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40B0F891-F171-4E32-A82B-740084DDC5A5}" xr6:coauthVersionLast="47" xr6:coauthVersionMax="47" xr10:uidLastSave="{00000000-0000-0000-0000-000000000000}"/>
  <bookViews>
    <workbookView xWindow="11928" yWindow="0" windowWidth="11112" windowHeight="12240" xr2:uid="{00000000-000D-0000-FFFF-FFFF00000000}"/>
  </bookViews>
  <sheets>
    <sheet name="LOSA NERVURADA" sheetId="1" r:id="rId1"/>
    <sheet name="Hoja1" sheetId="9" r:id="rId2"/>
    <sheet name="CROSS" sheetId="2" r:id="rId3"/>
    <sheet name="VIGAS" sheetId="3" r:id="rId4"/>
    <sheet name="COLUMNA 1" sheetId="4" r:id="rId5"/>
    <sheet name="COLUMNA 2" sheetId="5" r:id="rId6"/>
    <sheet name="ZAPATA 1 CONCENTRICA" sheetId="6" r:id="rId7"/>
    <sheet name="ZAPATA 2 CONCENTRICA" sheetId="7" r:id="rId8"/>
    <sheet name="ZAPATA EXCENTRICA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" i="1" l="1"/>
  <c r="Q63" i="1"/>
  <c r="L63" i="1"/>
  <c r="H63" i="1"/>
  <c r="D63" i="1"/>
  <c r="Q45" i="1"/>
  <c r="L45" i="1"/>
  <c r="H45" i="1"/>
  <c r="G74" i="1" s="1"/>
  <c r="D48" i="1"/>
  <c r="D42" i="1"/>
  <c r="E38" i="1"/>
  <c r="E37" i="1"/>
  <c r="G75" i="1"/>
  <c r="H80" i="1"/>
  <c r="E73" i="1"/>
  <c r="K80" i="1"/>
  <c r="J80" i="1"/>
  <c r="I80" i="1"/>
  <c r="G80" i="1"/>
  <c r="F80" i="1"/>
  <c r="E80" i="1"/>
  <c r="J79" i="1"/>
  <c r="I79" i="1"/>
  <c r="G79" i="1"/>
  <c r="F79" i="1"/>
  <c r="E79" i="1"/>
  <c r="R53" i="1"/>
  <c r="R52" i="1"/>
  <c r="M53" i="1"/>
  <c r="M52" i="1"/>
  <c r="I53" i="1"/>
  <c r="I52" i="1"/>
  <c r="E53" i="1"/>
  <c r="E52" i="1"/>
  <c r="R35" i="1"/>
  <c r="R34" i="1"/>
  <c r="M35" i="1"/>
  <c r="M34" i="1"/>
  <c r="I35" i="1"/>
  <c r="I34" i="1"/>
  <c r="I33" i="1"/>
  <c r="E35" i="1"/>
  <c r="E34" i="1"/>
  <c r="E33" i="1"/>
  <c r="L14" i="1"/>
  <c r="O7" i="1"/>
  <c r="O8" i="1" l="1"/>
  <c r="M8" i="1"/>
  <c r="R54" i="1"/>
  <c r="R56" i="1"/>
  <c r="R51" i="1"/>
  <c r="R36" i="1"/>
  <c r="M36" i="1"/>
  <c r="O9" i="1"/>
  <c r="O6" i="1"/>
  <c r="I37" i="1"/>
  <c r="M33" i="1"/>
  <c r="M37" i="1"/>
  <c r="R38" i="1"/>
  <c r="R33" i="1"/>
  <c r="O10" i="1"/>
  <c r="O11" i="1"/>
  <c r="O12" i="1"/>
  <c r="O5" i="1"/>
  <c r="M6" i="1"/>
  <c r="M11" i="1"/>
  <c r="L5" i="1"/>
  <c r="L8" i="1"/>
  <c r="A6" i="9"/>
  <c r="A5" i="9"/>
  <c r="L7" i="1"/>
  <c r="M7" i="1"/>
  <c r="L9" i="1"/>
  <c r="M9" i="1"/>
  <c r="L10" i="1"/>
  <c r="M10" i="1"/>
  <c r="L11" i="1"/>
  <c r="L12" i="1"/>
  <c r="M12" i="1" s="1"/>
  <c r="F129" i="2"/>
  <c r="G99" i="1"/>
  <c r="D85" i="1"/>
  <c r="R72" i="1"/>
  <c r="E36" i="1"/>
  <c r="G29" i="1"/>
  <c r="C4" i="9"/>
  <c r="C3" i="9"/>
  <c r="A3" i="9"/>
  <c r="C2" i="9"/>
  <c r="C1" i="9"/>
  <c r="A1" i="9"/>
  <c r="H131" i="4"/>
  <c r="R55" i="1" l="1"/>
  <c r="R57" i="1" s="1"/>
  <c r="R58" i="1" s="1"/>
  <c r="R37" i="1"/>
  <c r="R39" i="1" s="1"/>
  <c r="R40" i="1" s="1"/>
  <c r="K214" i="4"/>
  <c r="AH115" i="2"/>
  <c r="AH78" i="2"/>
  <c r="T114" i="2"/>
  <c r="AD92" i="2"/>
  <c r="AD129" i="2" s="1"/>
  <c r="Y92" i="2"/>
  <c r="Y129" i="2" s="1"/>
  <c r="P92" i="2"/>
  <c r="P129" i="2" s="1"/>
  <c r="K92" i="2"/>
  <c r="K129" i="2" s="1"/>
  <c r="F92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AG110" i="2"/>
  <c r="AA110" i="2"/>
  <c r="V110" i="2"/>
  <c r="S110" i="2"/>
  <c r="M110" i="2"/>
  <c r="AG108" i="2"/>
  <c r="AA108" i="2"/>
  <c r="V108" i="2"/>
  <c r="S108" i="2"/>
  <c r="M108" i="2"/>
  <c r="AG73" i="2"/>
  <c r="AA73" i="2"/>
  <c r="V73" i="2"/>
  <c r="AG71" i="2"/>
  <c r="AA71" i="2"/>
  <c r="V71" i="2"/>
  <c r="AE50" i="2"/>
  <c r="AB50" i="2"/>
  <c r="Y50" i="2"/>
  <c r="L50" i="2"/>
  <c r="I50" i="2"/>
  <c r="F50" i="2"/>
  <c r="Q60" i="1" l="1"/>
  <c r="Q66" i="1" s="1"/>
  <c r="S58" i="1"/>
  <c r="Q42" i="1"/>
  <c r="Q48" i="1" s="1"/>
  <c r="AA68" i="2"/>
  <c r="AA105" i="2" s="1"/>
  <c r="S68" i="2"/>
  <c r="S105" i="2" s="1"/>
  <c r="D67" i="2"/>
  <c r="D104" i="2" s="1"/>
  <c r="I67" i="2"/>
  <c r="I104" i="2" s="1"/>
  <c r="N67" i="2"/>
  <c r="N104" i="2" s="1"/>
  <c r="W67" i="2"/>
  <c r="W104" i="2" s="1"/>
  <c r="AB67" i="2"/>
  <c r="AB104" i="2" s="1"/>
  <c r="C68" i="2"/>
  <c r="C105" i="2" s="1"/>
  <c r="M68" i="2"/>
  <c r="M105" i="2" s="1"/>
  <c r="V68" i="2"/>
  <c r="V105" i="2" s="1"/>
  <c r="AG68" i="2"/>
  <c r="AG105" i="2" s="1"/>
  <c r="H67" i="2"/>
  <c r="H104" i="2" s="1"/>
  <c r="M67" i="2"/>
  <c r="M104" i="2" s="1"/>
  <c r="R67" i="2"/>
  <c r="R104" i="2" s="1"/>
  <c r="AA67" i="2"/>
  <c r="AA104" i="2" s="1"/>
  <c r="AF67" i="2"/>
  <c r="AF104" i="2" s="1"/>
  <c r="H68" i="2"/>
  <c r="H105" i="2" s="1"/>
  <c r="C85" i="1" l="1"/>
  <c r="C86" i="1"/>
  <c r="C87" i="1"/>
  <c r="S79" i="1"/>
  <c r="R79" i="1"/>
  <c r="S78" i="1"/>
  <c r="R78" i="1"/>
  <c r="S77" i="1"/>
  <c r="R77" i="1"/>
  <c r="S75" i="1"/>
  <c r="R75" i="1"/>
  <c r="S74" i="1"/>
  <c r="R74" i="1"/>
  <c r="S73" i="1"/>
  <c r="R73" i="1"/>
  <c r="S72" i="1"/>
  <c r="T155" i="8" l="1"/>
  <c r="T158" i="8" s="1"/>
  <c r="R155" i="8"/>
  <c r="Q155" i="8"/>
  <c r="Q158" i="8" s="1"/>
  <c r="O155" i="8"/>
  <c r="N175" i="8" s="1"/>
  <c r="N155" i="8"/>
  <c r="N158" i="8" s="1"/>
  <c r="H155" i="8"/>
  <c r="H158" i="8" s="1"/>
  <c r="F155" i="8"/>
  <c r="E155" i="8"/>
  <c r="E158" i="8" s="1"/>
  <c r="C155" i="8"/>
  <c r="B175" i="8" s="1"/>
  <c r="B155" i="8"/>
  <c r="B158" i="8" s="1"/>
  <c r="P144" i="8"/>
  <c r="N148" i="8" s="1"/>
  <c r="D144" i="8"/>
  <c r="B148" i="8" s="1"/>
  <c r="N140" i="8"/>
  <c r="B140" i="8"/>
  <c r="H100" i="8"/>
  <c r="E92" i="8"/>
  <c r="F57" i="8"/>
  <c r="F46" i="8"/>
  <c r="F45" i="8"/>
  <c r="F44" i="8"/>
  <c r="U43" i="8"/>
  <c r="P43" i="8"/>
  <c r="O37" i="8"/>
  <c r="AG33" i="8"/>
  <c r="A33" i="8"/>
  <c r="T120" i="7"/>
  <c r="R120" i="7"/>
  <c r="Q120" i="7"/>
  <c r="O120" i="7"/>
  <c r="N120" i="7"/>
  <c r="H120" i="7"/>
  <c r="F120" i="7"/>
  <c r="E120" i="7"/>
  <c r="C120" i="7"/>
  <c r="B120" i="7"/>
  <c r="P109" i="7"/>
  <c r="D109" i="7"/>
  <c r="F79" i="7"/>
  <c r="Q74" i="7"/>
  <c r="B105" i="7" s="1"/>
  <c r="N105" i="7" s="1"/>
  <c r="F58" i="7"/>
  <c r="F57" i="7"/>
  <c r="U56" i="7"/>
  <c r="P56" i="7"/>
  <c r="O50" i="7"/>
  <c r="V48" i="7"/>
  <c r="F59" i="7" s="1"/>
  <c r="AG46" i="7"/>
  <c r="T120" i="6"/>
  <c r="R120" i="6"/>
  <c r="Q120" i="6"/>
  <c r="O120" i="6"/>
  <c r="N120" i="6"/>
  <c r="H120" i="6"/>
  <c r="F120" i="6"/>
  <c r="E120" i="6"/>
  <c r="C120" i="6"/>
  <c r="B120" i="6"/>
  <c r="P109" i="6"/>
  <c r="D109" i="6"/>
  <c r="F79" i="6"/>
  <c r="Q74" i="6"/>
  <c r="B105" i="6" s="1"/>
  <c r="N105" i="6" s="1"/>
  <c r="F58" i="6"/>
  <c r="F57" i="6"/>
  <c r="U56" i="6"/>
  <c r="P56" i="6"/>
  <c r="O50" i="6"/>
  <c r="V48" i="6"/>
  <c r="F59" i="6" s="1"/>
  <c r="AG46" i="6"/>
  <c r="K259" i="5"/>
  <c r="E259" i="5"/>
  <c r="K258" i="5"/>
  <c r="F258" i="5"/>
  <c r="E258" i="5"/>
  <c r="D256" i="5"/>
  <c r="D255" i="5"/>
  <c r="E251" i="5"/>
  <c r="J262" i="5" s="1"/>
  <c r="I245" i="5"/>
  <c r="G247" i="5" s="1"/>
  <c r="H247" i="5" s="1"/>
  <c r="I247" i="5" s="1"/>
  <c r="I244" i="5"/>
  <c r="G246" i="5" s="1"/>
  <c r="H246" i="5" s="1"/>
  <c r="F242" i="5"/>
  <c r="F243" i="5" s="1"/>
  <c r="B243" i="5" s="1"/>
  <c r="B244" i="5" s="1"/>
  <c r="I239" i="5"/>
  <c r="K237" i="5"/>
  <c r="G239" i="5" s="1"/>
  <c r="D229" i="5"/>
  <c r="D228" i="5"/>
  <c r="M225" i="5"/>
  <c r="A220" i="5"/>
  <c r="D219" i="5"/>
  <c r="H226" i="5" s="1"/>
  <c r="E206" i="5"/>
  <c r="D203" i="5"/>
  <c r="D193" i="5"/>
  <c r="H192" i="5" s="1"/>
  <c r="M226" i="5" s="1"/>
  <c r="D191" i="5"/>
  <c r="D173" i="5"/>
  <c r="D172" i="5"/>
  <c r="K159" i="5"/>
  <c r="H157" i="5"/>
  <c r="F166" i="5" s="1"/>
  <c r="H156" i="5"/>
  <c r="D166" i="5" s="1"/>
  <c r="D137" i="5"/>
  <c r="N134" i="5"/>
  <c r="L133" i="5"/>
  <c r="L134" i="5" s="1"/>
  <c r="H132" i="5"/>
  <c r="H131" i="5"/>
  <c r="D126" i="5"/>
  <c r="D125" i="5"/>
  <c r="M96" i="5"/>
  <c r="E96" i="5"/>
  <c r="N77" i="5"/>
  <c r="F77" i="5"/>
  <c r="N76" i="5"/>
  <c r="F76" i="5"/>
  <c r="O73" i="5"/>
  <c r="G73" i="5"/>
  <c r="N72" i="5"/>
  <c r="F72" i="5"/>
  <c r="O71" i="5"/>
  <c r="G71" i="5"/>
  <c r="J41" i="5"/>
  <c r="G41" i="5"/>
  <c r="K37" i="5"/>
  <c r="H37" i="5"/>
  <c r="A220" i="4"/>
  <c r="K259" i="4"/>
  <c r="E259" i="4"/>
  <c r="K258" i="4"/>
  <c r="F258" i="4"/>
  <c r="E258" i="4"/>
  <c r="D256" i="4"/>
  <c r="D255" i="4"/>
  <c r="E251" i="4"/>
  <c r="J262" i="4" s="1"/>
  <c r="I245" i="4"/>
  <c r="G247" i="4" s="1"/>
  <c r="H247" i="4" s="1"/>
  <c r="I247" i="4" s="1"/>
  <c r="I244" i="4"/>
  <c r="G246" i="4" s="1"/>
  <c r="H246" i="4" s="1"/>
  <c r="I246" i="4" s="1"/>
  <c r="F242" i="4"/>
  <c r="F243" i="4" s="1"/>
  <c r="B243" i="4" s="1"/>
  <c r="I239" i="4"/>
  <c r="K237" i="4"/>
  <c r="G239" i="4" s="1"/>
  <c r="D229" i="4"/>
  <c r="D228" i="4"/>
  <c r="M225" i="4"/>
  <c r="D219" i="4"/>
  <c r="H226" i="4" s="1"/>
  <c r="E206" i="4"/>
  <c r="D203" i="4"/>
  <c r="D193" i="4"/>
  <c r="D191" i="4"/>
  <c r="D173" i="4"/>
  <c r="D172" i="4"/>
  <c r="K159" i="4"/>
  <c r="H157" i="4"/>
  <c r="F166" i="4" s="1"/>
  <c r="H156" i="4"/>
  <c r="D166" i="4" s="1"/>
  <c r="D137" i="4"/>
  <c r="N134" i="4"/>
  <c r="L133" i="4"/>
  <c r="L134" i="4" s="1"/>
  <c r="H132" i="4"/>
  <c r="D126" i="4"/>
  <c r="D125" i="4"/>
  <c r="M96" i="4"/>
  <c r="E96" i="4"/>
  <c r="N77" i="4"/>
  <c r="F77" i="4"/>
  <c r="N76" i="4"/>
  <c r="F76" i="4"/>
  <c r="O73" i="4"/>
  <c r="G73" i="4"/>
  <c r="N72" i="4"/>
  <c r="F72" i="4"/>
  <c r="O71" i="4"/>
  <c r="G71" i="4"/>
  <c r="C57" i="3"/>
  <c r="C54" i="3"/>
  <c r="C60" i="3" s="1"/>
  <c r="O57" i="3"/>
  <c r="I49" i="3"/>
  <c r="F49" i="3"/>
  <c r="U48" i="3"/>
  <c r="R48" i="3"/>
  <c r="I48" i="3"/>
  <c r="F48" i="3"/>
  <c r="F57" i="3" s="1"/>
  <c r="C21" i="3"/>
  <c r="C18" i="3"/>
  <c r="C24" i="3" s="1"/>
  <c r="O21" i="3"/>
  <c r="I13" i="3"/>
  <c r="F13" i="3"/>
  <c r="U12" i="3"/>
  <c r="R12" i="3"/>
  <c r="I12" i="3"/>
  <c r="L11" i="3"/>
  <c r="D81" i="5" l="1"/>
  <c r="F21" i="3"/>
  <c r="D81" i="4"/>
  <c r="L81" i="5"/>
  <c r="L81" i="4"/>
  <c r="E80" i="8"/>
  <c r="E133" i="5"/>
  <c r="D138" i="5" s="1"/>
  <c r="D162" i="5" s="1"/>
  <c r="D167" i="5" s="1"/>
  <c r="D209" i="4"/>
  <c r="D213" i="4" s="1"/>
  <c r="H214" i="4" s="1"/>
  <c r="H192" i="4"/>
  <c r="M226" i="4" s="1"/>
  <c r="G232" i="4" s="1"/>
  <c r="J232" i="4" s="1"/>
  <c r="F235" i="5"/>
  <c r="D209" i="5"/>
  <c r="D213" i="5" s="1"/>
  <c r="B244" i="4"/>
  <c r="B245" i="4" s="1"/>
  <c r="W78" i="8"/>
  <c r="W80" i="8"/>
  <c r="O145" i="8"/>
  <c r="E78" i="8"/>
  <c r="E79" i="8"/>
  <c r="W79" i="8"/>
  <c r="C145" i="8"/>
  <c r="N113" i="7"/>
  <c r="B113" i="7"/>
  <c r="O110" i="7"/>
  <c r="Y83" i="7"/>
  <c r="Q87" i="7" s="1"/>
  <c r="B85" i="7"/>
  <c r="C110" i="7"/>
  <c r="B113" i="6"/>
  <c r="N113" i="6"/>
  <c r="O110" i="6"/>
  <c r="Y83" i="6"/>
  <c r="Q87" i="6" s="1"/>
  <c r="B85" i="6"/>
  <c r="C110" i="6"/>
  <c r="B245" i="5"/>
  <c r="I246" i="5"/>
  <c r="G232" i="5"/>
  <c r="J232" i="5" s="1"/>
  <c r="L80" i="5"/>
  <c r="D80" i="5"/>
  <c r="E133" i="4"/>
  <c r="D138" i="4" s="1"/>
  <c r="D162" i="4" s="1"/>
  <c r="F235" i="4"/>
  <c r="L80" i="4"/>
  <c r="D80" i="4"/>
  <c r="D83" i="4" s="1"/>
  <c r="L47" i="3"/>
  <c r="R49" i="3"/>
  <c r="R54" i="3" s="1"/>
  <c r="O54" i="3"/>
  <c r="O65" i="3" s="1"/>
  <c r="R13" i="3"/>
  <c r="R21" i="3" s="1"/>
  <c r="O18" i="3"/>
  <c r="O29" i="3" s="1"/>
  <c r="F18" i="3"/>
  <c r="I21" i="3"/>
  <c r="C29" i="3"/>
  <c r="F54" i="3"/>
  <c r="I57" i="3"/>
  <c r="C65" i="3"/>
  <c r="U13" i="3"/>
  <c r="I18" i="3"/>
  <c r="U49" i="3"/>
  <c r="X47" i="3" s="1"/>
  <c r="I54" i="3"/>
  <c r="O60" i="3" l="1"/>
  <c r="D140" i="5"/>
  <c r="D176" i="5" s="1"/>
  <c r="D178" i="5" s="1"/>
  <c r="F167" i="5"/>
  <c r="L83" i="5"/>
  <c r="N91" i="5" s="1"/>
  <c r="D83" i="5"/>
  <c r="F91" i="5" s="1"/>
  <c r="C214" i="4"/>
  <c r="L83" i="4"/>
  <c r="N90" i="4" s="1"/>
  <c r="O24" i="3"/>
  <c r="Q89" i="7"/>
  <c r="R57" i="3"/>
  <c r="Q89" i="6"/>
  <c r="D140" i="4"/>
  <c r="D176" i="4" s="1"/>
  <c r="D178" i="4" s="1"/>
  <c r="C183" i="4" s="1"/>
  <c r="B246" i="4"/>
  <c r="F245" i="4" s="1"/>
  <c r="F244" i="4"/>
  <c r="R18" i="3"/>
  <c r="G214" i="4"/>
  <c r="H225" i="4" s="1"/>
  <c r="O79" i="8"/>
  <c r="B246" i="5"/>
  <c r="F245" i="5" s="1"/>
  <c r="F244" i="5"/>
  <c r="I229" i="5"/>
  <c r="AG79" i="8"/>
  <c r="Q85" i="7"/>
  <c r="Q85" i="6"/>
  <c r="C183" i="5"/>
  <c r="H214" i="5"/>
  <c r="C214" i="5"/>
  <c r="G214" i="5"/>
  <c r="F167" i="4"/>
  <c r="D167" i="4"/>
  <c r="I229" i="4"/>
  <c r="F91" i="4"/>
  <c r="F90" i="4"/>
  <c r="F93" i="4" s="1"/>
  <c r="U18" i="3"/>
  <c r="X11" i="3"/>
  <c r="U54" i="3"/>
  <c r="U57" i="3"/>
  <c r="U21" i="3"/>
  <c r="F90" i="5" l="1"/>
  <c r="F93" i="5" s="1"/>
  <c r="D97" i="5" s="1"/>
  <c r="N91" i="4"/>
  <c r="N93" i="4" s="1"/>
  <c r="L97" i="4" s="1"/>
  <c r="N90" i="5"/>
  <c r="N93" i="5" s="1"/>
  <c r="L97" i="5" s="1"/>
  <c r="C216" i="4"/>
  <c r="F248" i="4"/>
  <c r="F248" i="5"/>
  <c r="H225" i="5"/>
  <c r="C216" i="5"/>
  <c r="D97" i="4"/>
  <c r="J225" i="4"/>
  <c r="J226" i="4"/>
  <c r="G231" i="4"/>
  <c r="J231" i="4" s="1"/>
  <c r="J233" i="4" s="1"/>
  <c r="J226" i="5" l="1"/>
  <c r="J225" i="5"/>
  <c r="G231" i="5"/>
  <c r="J231" i="5" s="1"/>
  <c r="J233" i="5" s="1"/>
  <c r="M99" i="5"/>
  <c r="M98" i="5"/>
  <c r="M97" i="5"/>
  <c r="E99" i="5"/>
  <c r="E98" i="5"/>
  <c r="E97" i="5"/>
  <c r="H237" i="4"/>
  <c r="F240" i="4" s="1"/>
  <c r="E250" i="4" s="1"/>
  <c r="J261" i="4" s="1"/>
  <c r="J263" i="4" s="1"/>
  <c r="D236" i="4"/>
  <c r="M99" i="4"/>
  <c r="M98" i="4"/>
  <c r="M97" i="4"/>
  <c r="E99" i="4"/>
  <c r="E98" i="4"/>
  <c r="E97" i="4"/>
  <c r="H237" i="5" l="1"/>
  <c r="F240" i="5" s="1"/>
  <c r="E250" i="5" s="1"/>
  <c r="J261" i="5" s="1"/>
  <c r="J263" i="5" s="1"/>
  <c r="D236" i="5"/>
  <c r="K115" i="1" l="1"/>
  <c r="K112" i="1"/>
  <c r="G114" i="1"/>
  <c r="G115" i="1" s="1"/>
  <c r="C120" i="1"/>
  <c r="G110" i="1"/>
  <c r="F106" i="1"/>
  <c r="C94" i="1"/>
  <c r="C95" i="1" s="1"/>
  <c r="C93" i="1"/>
  <c r="D89" i="1"/>
  <c r="C124" i="1" s="1"/>
  <c r="D86" i="1"/>
  <c r="G98" i="1" l="1"/>
  <c r="E110" i="1"/>
  <c r="C123" i="1"/>
  <c r="C99" i="1"/>
  <c r="G100" i="1"/>
  <c r="C100" i="1"/>
  <c r="G101" i="1"/>
  <c r="B104" i="1" s="1"/>
  <c r="E111" i="1"/>
  <c r="C115" i="1"/>
  <c r="C122" i="1"/>
  <c r="G120" i="1" l="1"/>
  <c r="D123" i="1"/>
  <c r="D122" i="1"/>
  <c r="M56" i="1"/>
  <c r="I56" i="1"/>
  <c r="E56" i="1"/>
  <c r="M51" i="1"/>
  <c r="I51" i="1"/>
  <c r="E51" i="1"/>
  <c r="M38" i="1"/>
  <c r="I38" i="1"/>
  <c r="E77" i="1"/>
  <c r="E76" i="1"/>
  <c r="M54" i="1" l="1"/>
  <c r="E54" i="1"/>
  <c r="I36" i="1"/>
  <c r="I54" i="1"/>
  <c r="I55" i="1"/>
  <c r="I57" i="1" s="1"/>
  <c r="M39" i="1"/>
  <c r="I39" i="1"/>
  <c r="H42" i="1" s="1"/>
  <c r="E78" i="1"/>
  <c r="L6" i="1"/>
  <c r="E74" i="1" s="1"/>
  <c r="H60" i="1" l="1"/>
  <c r="H66" i="1" s="1"/>
  <c r="I58" i="1"/>
  <c r="M5" i="1"/>
  <c r="E55" i="1"/>
  <c r="E57" i="1" s="1"/>
  <c r="D60" i="1" s="1"/>
  <c r="G76" i="1" s="1"/>
  <c r="M55" i="1"/>
  <c r="M57" i="1" s="1"/>
  <c r="E39" i="1"/>
  <c r="J74" i="1"/>
  <c r="E75" i="1"/>
  <c r="I40" i="1"/>
  <c r="H48" i="1"/>
  <c r="L42" i="1"/>
  <c r="M40" i="1"/>
  <c r="I74" i="1" l="1"/>
  <c r="N78" i="1" s="1"/>
  <c r="F74" i="1"/>
  <c r="N72" i="1" s="1"/>
  <c r="J73" i="1"/>
  <c r="G73" i="1"/>
  <c r="N58" i="1"/>
  <c r="D26" i="2" s="1"/>
  <c r="E30" i="2" s="1"/>
  <c r="G77" i="1"/>
  <c r="J77" i="1"/>
  <c r="D66" i="1"/>
  <c r="I76" i="1" s="1"/>
  <c r="O77" i="1" s="1"/>
  <c r="L60" i="1"/>
  <c r="J78" i="1" s="1"/>
  <c r="J76" i="1"/>
  <c r="D54" i="4"/>
  <c r="D56" i="4" s="1"/>
  <c r="D54" i="5"/>
  <c r="D102" i="5" s="1"/>
  <c r="D104" i="5" s="1"/>
  <c r="D105" i="5" s="1"/>
  <c r="D108" i="5" s="1"/>
  <c r="J75" i="1"/>
  <c r="F77" i="1"/>
  <c r="O74" i="1" s="1"/>
  <c r="I77" i="1"/>
  <c r="O78" i="1" s="1"/>
  <c r="L48" i="1"/>
  <c r="F75" i="1" s="1"/>
  <c r="F76" i="1" l="1"/>
  <c r="N74" i="1" s="1"/>
  <c r="T74" i="1" s="1"/>
  <c r="I73" i="1"/>
  <c r="F73" i="1"/>
  <c r="O72" i="1" s="1"/>
  <c r="G30" i="2"/>
  <c r="I30" i="2" s="1"/>
  <c r="Y69" i="2" s="1"/>
  <c r="E31" i="2"/>
  <c r="E32" i="2" s="1"/>
  <c r="N77" i="1"/>
  <c r="L66" i="1"/>
  <c r="F78" i="1" s="1"/>
  <c r="N75" i="1" s="1"/>
  <c r="G78" i="1"/>
  <c r="L102" i="5"/>
  <c r="L104" i="5" s="1"/>
  <c r="L105" i="5" s="1"/>
  <c r="L108" i="5" s="1"/>
  <c r="O75" i="1"/>
  <c r="L102" i="4"/>
  <c r="L104" i="4" s="1"/>
  <c r="L105" i="4" s="1"/>
  <c r="L108" i="4" s="1"/>
  <c r="L112" i="4" s="1"/>
  <c r="D56" i="5"/>
  <c r="D102" i="4"/>
  <c r="D104" i="4" s="1"/>
  <c r="D105" i="4" s="1"/>
  <c r="D108" i="4" s="1"/>
  <c r="D112" i="4" s="1"/>
  <c r="J81" i="1"/>
  <c r="I75" i="1"/>
  <c r="N79" i="1" s="1"/>
  <c r="C116" i="1"/>
  <c r="G31" i="2"/>
  <c r="O73" i="1"/>
  <c r="N73" i="1"/>
  <c r="I4" i="6"/>
  <c r="D37" i="6" s="1"/>
  <c r="D183" i="4"/>
  <c r="E183" i="4"/>
  <c r="C184" i="4"/>
  <c r="C182" i="4"/>
  <c r="D119" i="4"/>
  <c r="P78" i="1"/>
  <c r="U78" i="1"/>
  <c r="T78" i="1"/>
  <c r="U74" i="1" l="1"/>
  <c r="P74" i="1"/>
  <c r="H30" i="2"/>
  <c r="AA66" i="2" s="1"/>
  <c r="L112" i="5"/>
  <c r="I78" i="1"/>
  <c r="O79" i="1" s="1"/>
  <c r="T79" i="1" s="1"/>
  <c r="G81" i="1"/>
  <c r="U75" i="1"/>
  <c r="T75" i="1"/>
  <c r="D119" i="5"/>
  <c r="T73" i="1"/>
  <c r="P75" i="1"/>
  <c r="D112" i="5"/>
  <c r="E183" i="5"/>
  <c r="D183" i="5"/>
  <c r="C182" i="5"/>
  <c r="I4" i="7"/>
  <c r="D37" i="7" s="1"/>
  <c r="E43" i="7" s="1"/>
  <c r="O43" i="7" s="1"/>
  <c r="C184" i="5"/>
  <c r="E3" i="8"/>
  <c r="G87" i="8" s="1"/>
  <c r="G32" i="2"/>
  <c r="E33" i="2"/>
  <c r="H31" i="2"/>
  <c r="I31" i="2"/>
  <c r="Y106" i="2" s="1"/>
  <c r="G122" i="1"/>
  <c r="C117" i="1"/>
  <c r="U73" i="1"/>
  <c r="P73" i="1"/>
  <c r="F61" i="6"/>
  <c r="E43" i="6"/>
  <c r="O43" i="6" s="1"/>
  <c r="P72" i="1"/>
  <c r="T72" i="1"/>
  <c r="U72" i="1"/>
  <c r="F61" i="7"/>
  <c r="U77" i="1"/>
  <c r="P77" i="1"/>
  <c r="T77" i="1"/>
  <c r="J30" i="2" l="1"/>
  <c r="P79" i="1"/>
  <c r="H85" i="1"/>
  <c r="H89" i="1" s="1"/>
  <c r="I89" i="1" s="1"/>
  <c r="H93" i="1" s="1"/>
  <c r="H94" i="1" s="1"/>
  <c r="T83" i="1"/>
  <c r="D25" i="8"/>
  <c r="F48" i="8" s="1"/>
  <c r="E34" i="2"/>
  <c r="G33" i="2"/>
  <c r="Z66" i="2"/>
  <c r="W66" i="2"/>
  <c r="AA103" i="2"/>
  <c r="J31" i="2"/>
  <c r="I32" i="2"/>
  <c r="H32" i="2"/>
  <c r="J32" i="2" s="1"/>
  <c r="H84" i="1" l="1"/>
  <c r="H88" i="1" s="1"/>
  <c r="I88" i="1" s="1"/>
  <c r="I90" i="1" s="1"/>
  <c r="C92" i="1" s="1"/>
  <c r="E93" i="1" s="1"/>
  <c r="E30" i="8"/>
  <c r="O30" i="8" s="1"/>
  <c r="E35" i="2"/>
  <c r="G34" i="2"/>
  <c r="Z103" i="2"/>
  <c r="W103" i="2"/>
  <c r="V70" i="2"/>
  <c r="W65" i="2"/>
  <c r="AA64" i="2" s="1"/>
  <c r="X66" i="2"/>
  <c r="I33" i="2"/>
  <c r="H33" i="2"/>
  <c r="J33" i="2" s="1"/>
  <c r="E36" i="2" l="1"/>
  <c r="G35" i="2"/>
  <c r="W102" i="2"/>
  <c r="AA101" i="2" s="1"/>
  <c r="X103" i="2"/>
  <c r="V107" i="2"/>
  <c r="I34" i="2"/>
  <c r="AD69" i="2" s="1"/>
  <c r="H34" i="2"/>
  <c r="I35" i="2" l="1"/>
  <c r="AD106" i="2" s="1"/>
  <c r="R11" i="3" s="1"/>
  <c r="H35" i="2"/>
  <c r="AF66" i="2"/>
  <c r="J34" i="2"/>
  <c r="E37" i="2"/>
  <c r="G36" i="2"/>
  <c r="E38" i="2" l="1"/>
  <c r="G37" i="2"/>
  <c r="AG70" i="2"/>
  <c r="AE66" i="2"/>
  <c r="AF65" i="2"/>
  <c r="AB64" i="2" s="1"/>
  <c r="AB66" i="2"/>
  <c r="R19" i="3"/>
  <c r="R20" i="3"/>
  <c r="O31" i="3" s="1"/>
  <c r="I36" i="2"/>
  <c r="H36" i="2"/>
  <c r="J36" i="2" s="1"/>
  <c r="AF103" i="2"/>
  <c r="J35" i="2"/>
  <c r="AE103" i="2" l="1"/>
  <c r="AG107" i="2"/>
  <c r="AB103" i="2"/>
  <c r="AF102" i="2"/>
  <c r="AB101" i="2" s="1"/>
  <c r="AA63" i="2"/>
  <c r="W62" i="2" s="1"/>
  <c r="AA72" i="2"/>
  <c r="AB63" i="2"/>
  <c r="AF62" i="2" s="1"/>
  <c r="E39" i="2"/>
  <c r="G38" i="2"/>
  <c r="AC66" i="2"/>
  <c r="AA65" i="2"/>
  <c r="W64" i="2" s="1"/>
  <c r="AA70" i="2"/>
  <c r="AB65" i="2"/>
  <c r="AF64" i="2" s="1"/>
  <c r="I37" i="2"/>
  <c r="H37" i="2"/>
  <c r="J37" i="2" s="1"/>
  <c r="AG72" i="2" l="1"/>
  <c r="AF63" i="2"/>
  <c r="AB62" i="2" s="1"/>
  <c r="W63" i="2"/>
  <c r="AA62" i="2" s="1"/>
  <c r="V72" i="2"/>
  <c r="I38" i="2"/>
  <c r="F69" i="2" s="1"/>
  <c r="H38" i="2"/>
  <c r="AF61" i="2"/>
  <c r="AG74" i="2"/>
  <c r="W61" i="2"/>
  <c r="V74" i="2"/>
  <c r="AC103" i="2"/>
  <c r="AA102" i="2"/>
  <c r="W101" i="2" s="1"/>
  <c r="AA107" i="2"/>
  <c r="AB102" i="2"/>
  <c r="AF101" i="2" s="1"/>
  <c r="E40" i="2"/>
  <c r="G39" i="2"/>
  <c r="AA100" i="2"/>
  <c r="W99" i="2" s="1"/>
  <c r="AA109" i="2"/>
  <c r="AB100" i="2"/>
  <c r="AF99" i="2" s="1"/>
  <c r="W60" i="2" l="1"/>
  <c r="X60" i="2" s="1"/>
  <c r="X63" i="2" s="1"/>
  <c r="AG75" i="2"/>
  <c r="AF87" i="2" s="1"/>
  <c r="AF60" i="2"/>
  <c r="AE60" i="2" s="1"/>
  <c r="AE63" i="2" s="1"/>
  <c r="AF98" i="2"/>
  <c r="AG111" i="2"/>
  <c r="W98" i="2"/>
  <c r="V111" i="2"/>
  <c r="E41" i="2"/>
  <c r="G40" i="2"/>
  <c r="AB61" i="2"/>
  <c r="AB60" i="2" s="1"/>
  <c r="AC60" i="2" s="1"/>
  <c r="AC63" i="2" s="1"/>
  <c r="AA74" i="2"/>
  <c r="AA75" i="2" s="1"/>
  <c r="AA61" i="2"/>
  <c r="AA60" i="2" s="1"/>
  <c r="Z60" i="2" s="1"/>
  <c r="Z63" i="2" s="1"/>
  <c r="H39" i="2"/>
  <c r="I39" i="2"/>
  <c r="F106" i="2" s="1"/>
  <c r="AF100" i="2"/>
  <c r="AB99" i="2" s="1"/>
  <c r="AG109" i="2"/>
  <c r="AG112" i="2" s="1"/>
  <c r="AF124" i="2" s="1"/>
  <c r="W100" i="2"/>
  <c r="AA99" i="2" s="1"/>
  <c r="V109" i="2"/>
  <c r="H66" i="2"/>
  <c r="J38" i="2"/>
  <c r="V75" i="2"/>
  <c r="W87" i="2" s="1"/>
  <c r="Y64" i="2" l="1"/>
  <c r="Y70" i="2" s="1"/>
  <c r="AD64" i="2"/>
  <c r="AD70" i="2" s="1"/>
  <c r="V112" i="2"/>
  <c r="W124" i="2" s="1"/>
  <c r="D66" i="2"/>
  <c r="G66" i="2"/>
  <c r="AA98" i="2"/>
  <c r="AA97" i="2" s="1"/>
  <c r="Z97" i="2" s="1"/>
  <c r="AA111" i="2"/>
  <c r="AA112" i="2" s="1"/>
  <c r="AA124" i="2" s="1"/>
  <c r="AB98" i="2"/>
  <c r="AB97" i="2" s="1"/>
  <c r="H103" i="2"/>
  <c r="J39" i="2"/>
  <c r="AA87" i="2"/>
  <c r="D53" i="4"/>
  <c r="G41" i="2"/>
  <c r="E42" i="2"/>
  <c r="W97" i="2"/>
  <c r="X97" i="2" s="1"/>
  <c r="AF97" i="2"/>
  <c r="I40" i="2"/>
  <c r="H40" i="2"/>
  <c r="J40" i="2" s="1"/>
  <c r="D53" i="5" l="1"/>
  <c r="H12" i="8" s="1"/>
  <c r="D26" i="8" s="1"/>
  <c r="D52" i="8" s="1"/>
  <c r="L52" i="8" s="1"/>
  <c r="C11" i="3"/>
  <c r="X100" i="2"/>
  <c r="I41" i="2"/>
  <c r="K69" i="2" s="1"/>
  <c r="H41" i="2"/>
  <c r="G103" i="2"/>
  <c r="D103" i="2"/>
  <c r="C70" i="2"/>
  <c r="E66" i="2"/>
  <c r="D65" i="2"/>
  <c r="H64" i="2" s="1"/>
  <c r="AE97" i="2"/>
  <c r="AE100" i="2" s="1"/>
  <c r="U11" i="3"/>
  <c r="G42" i="2"/>
  <c r="E43" i="2"/>
  <c r="H14" i="6"/>
  <c r="D39" i="6" s="1"/>
  <c r="D66" i="6" s="1"/>
  <c r="L66" i="6" s="1"/>
  <c r="L116" i="4"/>
  <c r="AC97" i="2"/>
  <c r="AC100" i="2" s="1"/>
  <c r="O11" i="3"/>
  <c r="Z100" i="2"/>
  <c r="I11" i="3"/>
  <c r="L116" i="5" l="1"/>
  <c r="D145" i="5" s="1"/>
  <c r="D149" i="5" s="1"/>
  <c r="F165" i="5" s="1"/>
  <c r="H14" i="7"/>
  <c r="D39" i="7" s="1"/>
  <c r="D66" i="7" s="1"/>
  <c r="L66" i="7" s="1"/>
  <c r="AD101" i="2"/>
  <c r="AD107" i="2" s="1"/>
  <c r="I20" i="3"/>
  <c r="I19" i="3"/>
  <c r="O19" i="3"/>
  <c r="O20" i="3"/>
  <c r="D121" i="4"/>
  <c r="D145" i="4"/>
  <c r="D149" i="4" s="1"/>
  <c r="F165" i="4" s="1"/>
  <c r="E44" i="2"/>
  <c r="G43" i="2"/>
  <c r="U19" i="3"/>
  <c r="U20" i="3"/>
  <c r="L60" i="8"/>
  <c r="R60" i="8" s="1"/>
  <c r="S52" i="8"/>
  <c r="AA52" i="8" s="1"/>
  <c r="C20" i="3"/>
  <c r="C19" i="3"/>
  <c r="H42" i="2"/>
  <c r="I42" i="2"/>
  <c r="K106" i="2" s="1"/>
  <c r="C107" i="2"/>
  <c r="E103" i="2"/>
  <c r="D102" i="2"/>
  <c r="H101" i="2" s="1"/>
  <c r="M66" i="2"/>
  <c r="J41" i="2"/>
  <c r="Y101" i="2"/>
  <c r="Y107" i="2" s="1"/>
  <c r="F11" i="3" s="1"/>
  <c r="D121" i="5" l="1"/>
  <c r="F20" i="3"/>
  <c r="C31" i="3" s="1"/>
  <c r="F19" i="3"/>
  <c r="L66" i="2"/>
  <c r="I66" i="2"/>
  <c r="M103" i="2"/>
  <c r="J42" i="2"/>
  <c r="C30" i="3"/>
  <c r="C25" i="3"/>
  <c r="H103" i="8"/>
  <c r="D71" i="8"/>
  <c r="E45" i="2"/>
  <c r="G44" i="2"/>
  <c r="D30" i="3"/>
  <c r="D25" i="3"/>
  <c r="M66" i="8"/>
  <c r="M63" i="8"/>
  <c r="B61" i="8"/>
  <c r="V99" i="8"/>
  <c r="P25" i="3"/>
  <c r="P30" i="3"/>
  <c r="I43" i="2"/>
  <c r="H43" i="2"/>
  <c r="J43" i="2" s="1"/>
  <c r="O25" i="3"/>
  <c r="O30" i="3"/>
  <c r="I71" i="8" l="1"/>
  <c r="F76" i="8" s="1"/>
  <c r="K82" i="8" s="1"/>
  <c r="J83" i="8" s="1"/>
  <c r="B166" i="8"/>
  <c r="B169" i="8" s="1"/>
  <c r="B172" i="8" s="1"/>
  <c r="B178" i="8" s="1"/>
  <c r="B183" i="8" s="1"/>
  <c r="B126" i="8"/>
  <c r="B129" i="8" s="1"/>
  <c r="L116" i="8"/>
  <c r="I44" i="2"/>
  <c r="P69" i="2" s="1"/>
  <c r="H44" i="2"/>
  <c r="I24" i="3"/>
  <c r="T30" i="3"/>
  <c r="U27" i="3" s="1"/>
  <c r="U24" i="3"/>
  <c r="AH99" i="8"/>
  <c r="I72" i="8"/>
  <c r="X76" i="8" s="1"/>
  <c r="AC82" i="8" s="1"/>
  <c r="E46" i="2"/>
  <c r="G46" i="2" s="1"/>
  <c r="G45" i="2"/>
  <c r="U96" i="8"/>
  <c r="K111" i="8" s="1"/>
  <c r="N103" i="8"/>
  <c r="H30" i="3"/>
  <c r="I27" i="3" s="1"/>
  <c r="L103" i="2"/>
  <c r="I103" i="2"/>
  <c r="J66" i="2"/>
  <c r="H65" i="2"/>
  <c r="D64" i="2" s="1"/>
  <c r="I65" i="2"/>
  <c r="M64" i="2" s="1"/>
  <c r="H70" i="2"/>
  <c r="J103" i="2" l="1"/>
  <c r="H107" i="2"/>
  <c r="I102" i="2"/>
  <c r="M101" i="2" s="1"/>
  <c r="H102" i="2"/>
  <c r="D101" i="2" s="1"/>
  <c r="I46" i="2"/>
  <c r="H46" i="2"/>
  <c r="J46" i="2" s="1"/>
  <c r="N126" i="8"/>
  <c r="N129" i="8" s="1"/>
  <c r="N166" i="8"/>
  <c r="N169" i="8" s="1"/>
  <c r="N172" i="8" s="1"/>
  <c r="N178" i="8" s="1"/>
  <c r="N183" i="8" s="1"/>
  <c r="AM99" i="8"/>
  <c r="R66" i="2"/>
  <c r="J44" i="2"/>
  <c r="C72" i="2"/>
  <c r="D63" i="2"/>
  <c r="H62" i="2" s="1"/>
  <c r="N106" i="8"/>
  <c r="K121" i="8"/>
  <c r="I45" i="2"/>
  <c r="P106" i="2" s="1"/>
  <c r="R47" i="3" s="1"/>
  <c r="H45" i="2"/>
  <c r="X27" i="3"/>
  <c r="R27" i="3"/>
  <c r="F27" i="3"/>
  <c r="L27" i="3"/>
  <c r="AA99" i="8"/>
  <c r="F96" i="8" s="1"/>
  <c r="X12" i="3" l="1"/>
  <c r="X13" i="3" s="1"/>
  <c r="L12" i="3"/>
  <c r="L13" i="3" s="1"/>
  <c r="R103" i="2"/>
  <c r="J45" i="2"/>
  <c r="C109" i="2"/>
  <c r="D100" i="2"/>
  <c r="H99" i="2" s="1"/>
  <c r="R55" i="3"/>
  <c r="R56" i="3"/>
  <c r="O67" i="3" s="1"/>
  <c r="V101" i="8"/>
  <c r="F113" i="8" s="1"/>
  <c r="I116" i="8"/>
  <c r="AH101" i="8"/>
  <c r="D131" i="8"/>
  <c r="B134" i="8" s="1"/>
  <c r="B137" i="8" s="1"/>
  <c r="E148" i="8" s="1"/>
  <c r="D148" i="8" s="1"/>
  <c r="B149" i="8" s="1"/>
  <c r="R65" i="2"/>
  <c r="N64" i="2" s="1"/>
  <c r="Q66" i="2"/>
  <c r="S70" i="2"/>
  <c r="N66" i="2"/>
  <c r="P131" i="8"/>
  <c r="N134" i="8" l="1"/>
  <c r="N137" i="8" s="1"/>
  <c r="Q148" i="8" s="1"/>
  <c r="P148" i="8" s="1"/>
  <c r="N149" i="8" s="1"/>
  <c r="M63" i="2"/>
  <c r="I62" i="2" s="1"/>
  <c r="M72" i="2"/>
  <c r="S107" i="2"/>
  <c r="N103" i="2"/>
  <c r="Q103" i="2"/>
  <c r="R102" i="2"/>
  <c r="N101" i="2" s="1"/>
  <c r="O66" i="2"/>
  <c r="M65" i="2"/>
  <c r="I64" i="2" s="1"/>
  <c r="N65" i="2"/>
  <c r="R64" i="2" s="1"/>
  <c r="M70" i="2"/>
  <c r="N63" i="2" s="1"/>
  <c r="R62" i="2" s="1"/>
  <c r="S72" i="2" l="1"/>
  <c r="R63" i="2"/>
  <c r="N62" i="2" s="1"/>
  <c r="S74" i="2"/>
  <c r="R61" i="2"/>
  <c r="H61" i="2"/>
  <c r="H74" i="2"/>
  <c r="I61" i="2"/>
  <c r="H63" i="2"/>
  <c r="D62" i="2" s="1"/>
  <c r="H72" i="2"/>
  <c r="I63" i="2"/>
  <c r="M62" i="2" s="1"/>
  <c r="M100" i="2"/>
  <c r="I99" i="2" s="1"/>
  <c r="M109" i="2"/>
  <c r="O103" i="2"/>
  <c r="M107" i="2"/>
  <c r="N100" i="2" s="1"/>
  <c r="R99" i="2" s="1"/>
  <c r="N102" i="2"/>
  <c r="R101" i="2" s="1"/>
  <c r="M102" i="2"/>
  <c r="I101" i="2" s="1"/>
  <c r="R60" i="2" l="1"/>
  <c r="Q60" i="2" s="1"/>
  <c r="Q63" i="2" s="1"/>
  <c r="H75" i="2"/>
  <c r="I87" i="2" s="1"/>
  <c r="I60" i="2"/>
  <c r="J60" i="2" s="1"/>
  <c r="J63" i="2" s="1"/>
  <c r="H60" i="2"/>
  <c r="G60" i="2" s="1"/>
  <c r="G63" i="2" s="1"/>
  <c r="S75" i="2"/>
  <c r="R87" i="2" s="1"/>
  <c r="S111" i="2"/>
  <c r="R98" i="2"/>
  <c r="I100" i="2"/>
  <c r="M99" i="2" s="1"/>
  <c r="H100" i="2"/>
  <c r="D99" i="2" s="1"/>
  <c r="H109" i="2"/>
  <c r="I98" i="2"/>
  <c r="H98" i="2"/>
  <c r="H111" i="2"/>
  <c r="S109" i="2"/>
  <c r="R100" i="2"/>
  <c r="N99" i="2" s="1"/>
  <c r="N61" i="2"/>
  <c r="N60" i="2" s="1"/>
  <c r="O60" i="2" s="1"/>
  <c r="O63" i="2" s="1"/>
  <c r="P64" i="2" s="1"/>
  <c r="P70" i="2" s="1"/>
  <c r="M74" i="2"/>
  <c r="M75" i="2" s="1"/>
  <c r="M87" i="2" s="1"/>
  <c r="M61" i="2"/>
  <c r="M60" i="2" s="1"/>
  <c r="L60" i="2" s="1"/>
  <c r="L63" i="2" s="1"/>
  <c r="K64" i="2" s="1"/>
  <c r="K70" i="2" s="1"/>
  <c r="C74" i="2"/>
  <c r="C75" i="2" s="1"/>
  <c r="D87" i="2" s="1"/>
  <c r="D61" i="2"/>
  <c r="D60" i="2" s="1"/>
  <c r="E60" i="2" s="1"/>
  <c r="E63" i="2" s="1"/>
  <c r="D52" i="4" l="1"/>
  <c r="D116" i="4" s="1"/>
  <c r="D52" i="5"/>
  <c r="H13" i="7" s="1"/>
  <c r="D38" i="7" s="1"/>
  <c r="D65" i="7" s="1"/>
  <c r="F64" i="2"/>
  <c r="F70" i="2" s="1"/>
  <c r="H97" i="2"/>
  <c r="I47" i="3" s="1"/>
  <c r="H112" i="2"/>
  <c r="N98" i="2"/>
  <c r="N97" i="2" s="1"/>
  <c r="M98" i="2"/>
  <c r="M97" i="2" s="1"/>
  <c r="L97" i="2" s="1"/>
  <c r="L100" i="2" s="1"/>
  <c r="M111" i="2"/>
  <c r="M112" i="2" s="1"/>
  <c r="S112" i="2"/>
  <c r="I97" i="2"/>
  <c r="J97" i="2" s="1"/>
  <c r="J100" i="2" s="1"/>
  <c r="D98" i="2"/>
  <c r="D97" i="2" s="1"/>
  <c r="C111" i="2"/>
  <c r="C112" i="2" s="1"/>
  <c r="R97" i="2"/>
  <c r="H13" i="6" l="1"/>
  <c r="D38" i="6" s="1"/>
  <c r="D65" i="6" s="1"/>
  <c r="S65" i="6" s="1"/>
  <c r="D116" i="5"/>
  <c r="D144" i="5" s="1"/>
  <c r="D148" i="5" s="1"/>
  <c r="D165" i="5" s="1"/>
  <c r="G97" i="2"/>
  <c r="G100" i="2" s="1"/>
  <c r="K101" i="2"/>
  <c r="K107" i="2" s="1"/>
  <c r="L65" i="7"/>
  <c r="AA65" i="7"/>
  <c r="E73" i="7" s="1"/>
  <c r="S65" i="7"/>
  <c r="O97" i="2"/>
  <c r="O100" i="2" s="1"/>
  <c r="O47" i="3"/>
  <c r="Q97" i="2"/>
  <c r="Q100" i="2" s="1"/>
  <c r="U47" i="3"/>
  <c r="E97" i="2"/>
  <c r="E100" i="2" s="1"/>
  <c r="C47" i="3"/>
  <c r="I56" i="3"/>
  <c r="I55" i="3"/>
  <c r="D144" i="4"/>
  <c r="D148" i="4" s="1"/>
  <c r="D165" i="4" s="1"/>
  <c r="D120" i="4"/>
  <c r="D120" i="5" l="1"/>
  <c r="AA65" i="6"/>
  <c r="E73" i="6" s="1"/>
  <c r="L65" i="6"/>
  <c r="F101" i="2"/>
  <c r="F107" i="2" s="1"/>
  <c r="F47" i="3" s="1"/>
  <c r="F56" i="3" s="1"/>
  <c r="C67" i="3" s="1"/>
  <c r="D61" i="3"/>
  <c r="D66" i="3"/>
  <c r="M75" i="6"/>
  <c r="AI65" i="6"/>
  <c r="O55" i="3"/>
  <c r="O56" i="3"/>
  <c r="M75" i="7"/>
  <c r="AI65" i="7"/>
  <c r="C56" i="3"/>
  <c r="C55" i="3"/>
  <c r="U55" i="3"/>
  <c r="U56" i="3"/>
  <c r="P101" i="2"/>
  <c r="P107" i="2" s="1"/>
  <c r="F55" i="3" l="1"/>
  <c r="P61" i="3"/>
  <c r="P66" i="3"/>
  <c r="B83" i="7"/>
  <c r="K84" i="7" s="1"/>
  <c r="B96" i="7"/>
  <c r="B102" i="7" s="1"/>
  <c r="Q83" i="7"/>
  <c r="Z86" i="7" s="1"/>
  <c r="O61" i="3"/>
  <c r="O66" i="3"/>
  <c r="B83" i="6"/>
  <c r="K84" i="6" s="1"/>
  <c r="B96" i="6"/>
  <c r="B102" i="6" s="1"/>
  <c r="Q83" i="6"/>
  <c r="Z86" i="6" s="1"/>
  <c r="C66" i="3"/>
  <c r="H66" i="3" s="1"/>
  <c r="I63" i="3" s="1"/>
  <c r="C61" i="3"/>
  <c r="I60" i="3" s="1"/>
  <c r="N102" i="6" l="1"/>
  <c r="Q113" i="6" s="1"/>
  <c r="P113" i="6" s="1"/>
  <c r="N114" i="6" s="1"/>
  <c r="E113" i="6"/>
  <c r="D113" i="6" s="1"/>
  <c r="B114" i="6" s="1"/>
  <c r="E113" i="7"/>
  <c r="D113" i="7" s="1"/>
  <c r="B114" i="7" s="1"/>
  <c r="N102" i="7"/>
  <c r="Q113" i="7" s="1"/>
  <c r="P113" i="7" s="1"/>
  <c r="N114" i="7" s="1"/>
  <c r="U60" i="3"/>
  <c r="F63" i="3"/>
  <c r="L63" i="3"/>
  <c r="T66" i="3"/>
  <c r="U63" i="3" s="1"/>
  <c r="L48" i="3" l="1"/>
  <c r="L49" i="3" s="1"/>
  <c r="X63" i="3"/>
  <c r="R63" i="3"/>
  <c r="X48" i="3" l="1"/>
  <c r="X49" i="3" s="1"/>
</calcChain>
</file>

<file path=xl/sharedStrings.xml><?xml version="1.0" encoding="utf-8"?>
<sst xmlns="http://schemas.openxmlformats.org/spreadsheetml/2006/main" count="1894" uniqueCount="525">
  <si>
    <t>LOSAS NERVURADAS</t>
  </si>
  <si>
    <t>LOSA 1</t>
  </si>
  <si>
    <t>LOSA2</t>
  </si>
  <si>
    <t>LOSA 3</t>
  </si>
  <si>
    <t>LOSA 4</t>
  </si>
  <si>
    <t>LOSA 5</t>
  </si>
  <si>
    <t>LOSA 6</t>
  </si>
  <si>
    <t>LOSA1</t>
  </si>
  <si>
    <t>A/B</t>
  </si>
  <si>
    <t>se tomara el t mayor =</t>
  </si>
  <si>
    <t>LOSA 2</t>
  </si>
  <si>
    <t>EJE X-X</t>
  </si>
  <si>
    <t>DISTRIBUCION DE NERVIOS DE 0.10 M</t>
  </si>
  <si>
    <t>EJE Y-Y</t>
  </si>
  <si>
    <t>RELLENOS</t>
  </si>
  <si>
    <t>2 de 0.40</t>
  </si>
  <si>
    <t>6 de 0.60</t>
  </si>
  <si>
    <t>7 de  0.60</t>
  </si>
  <si>
    <t>INTEGRACION DE CARGAS</t>
  </si>
  <si>
    <t>concreto=</t>
  </si>
  <si>
    <t>relleno=</t>
  </si>
  <si>
    <t>s/c=</t>
  </si>
  <si>
    <t>Wlosa de distribucion=</t>
  </si>
  <si>
    <t>W nervios x-x=</t>
  </si>
  <si>
    <t>W nervios y-y=</t>
  </si>
  <si>
    <t>W relleno =</t>
  </si>
  <si>
    <t>W propio =</t>
  </si>
  <si>
    <t>Carga Muerta Ultima Lineal</t>
  </si>
  <si>
    <t>C.M.U.L.=</t>
  </si>
  <si>
    <t>S/C=</t>
  </si>
  <si>
    <t>CM=</t>
  </si>
  <si>
    <t>Carga Viva Lineal</t>
  </si>
  <si>
    <t>C.V.U.L.=</t>
  </si>
  <si>
    <t>Carga Ultima Lineal</t>
  </si>
  <si>
    <t>C.U.L.=</t>
  </si>
  <si>
    <t>CALCULO DE MOMENTOS</t>
  </si>
  <si>
    <t>CASO</t>
  </si>
  <si>
    <t>MOMENTOS PARA X-X</t>
  </si>
  <si>
    <t>MOMENTOS PARA Y-Y</t>
  </si>
  <si>
    <t>CONTINUOS</t>
  </si>
  <si>
    <t>DISCONTINUO</t>
  </si>
  <si>
    <t>-</t>
  </si>
  <si>
    <t>+</t>
  </si>
  <si>
    <t>BALANCEO DE MOMENTOS</t>
  </si>
  <si>
    <t>D1</t>
  </si>
  <si>
    <t>D2</t>
  </si>
  <si>
    <t>MB1</t>
  </si>
  <si>
    <t>EJE X</t>
  </si>
  <si>
    <t>EJE Y</t>
  </si>
  <si>
    <t>MAYOR</t>
  </si>
  <si>
    <t>PROPUESTA DE ARMADO</t>
  </si>
  <si>
    <t>D varilla #4</t>
  </si>
  <si>
    <t>PERALTE FECTIVO</t>
  </si>
  <si>
    <t>CALCULO DE TIPO DE FALLA DE LA SECCION</t>
  </si>
  <si>
    <t>M(-) mayor=</t>
  </si>
  <si>
    <t>M(+) mayor=</t>
  </si>
  <si>
    <t>CALCULO DE AREA DE ACERO As(-) y As(+) PARA LOS MOMENTOS</t>
  </si>
  <si>
    <t>As(-)</t>
  </si>
  <si>
    <t>As(+)</t>
  </si>
  <si>
    <t>CALCULANDO</t>
  </si>
  <si>
    <t>FORMA EN QUE TRABAJA LA SECCION TRANSVERSAL</t>
  </si>
  <si>
    <t>CALCULO DE As min. PARA ARMADO MINIMO DE ACERO NEGATIVO</t>
  </si>
  <si>
    <t>ARMADO MINIMO</t>
  </si>
  <si>
    <t>1 varilla # 4 = 1.267 cm2</t>
  </si>
  <si>
    <t xml:space="preserve">CALCULO DE </t>
  </si>
  <si>
    <t>ARMADO MINIMO DE ACERO POSITIVO</t>
  </si>
  <si>
    <t xml:space="preserve"> </t>
  </si>
  <si>
    <t>1 varilla # 4 =</t>
  </si>
  <si>
    <t>2 varillas # 3 =</t>
  </si>
  <si>
    <t>area total</t>
  </si>
  <si>
    <t>MOMENTO QUE SATISFACE EL ACERO MINIMO</t>
  </si>
  <si>
    <t>momento negativo minimo</t>
  </si>
  <si>
    <t>momento positivo minimo</t>
  </si>
  <si>
    <t>PARA MOMENTOS NO SATISFECHOS</t>
  </si>
  <si>
    <t>DISEÑO A CORTE</t>
  </si>
  <si>
    <t>SE PROPONE ESTRIBOS DE VARILLA #2 = 0.317 cm2</t>
  </si>
  <si>
    <t>CHEQUEO DE Av COLOCADO Y Av MINIMO</t>
  </si>
  <si>
    <t>VERIFICANDO CORTE ULTIMO</t>
  </si>
  <si>
    <t>Vu= Vuc +Vus      Vuc= Vresist.</t>
  </si>
  <si>
    <t>ACERO POR TEMPERATURA</t>
  </si>
  <si>
    <t>As temp =0.002 x (area que se agrietara)</t>
  </si>
  <si>
    <t>As temp =0.002 x b x t´</t>
  </si>
  <si>
    <t>b=franja unitaria = 100 cm</t>
  </si>
  <si>
    <t>SEPARACION TEORICA</t>
  </si>
  <si>
    <t>DISTRIBUCION DE VIGAS</t>
  </si>
  <si>
    <t>V13</t>
  </si>
  <si>
    <t>V17</t>
  </si>
  <si>
    <t>V1</t>
  </si>
  <si>
    <t>V2</t>
  </si>
  <si>
    <t>V3</t>
  </si>
  <si>
    <t>V4</t>
  </si>
  <si>
    <t>V14</t>
  </si>
  <si>
    <t>V5</t>
  </si>
  <si>
    <t>V6</t>
  </si>
  <si>
    <t>V7</t>
  </si>
  <si>
    <t>V8</t>
  </si>
  <si>
    <t>V15</t>
  </si>
  <si>
    <t>V9</t>
  </si>
  <si>
    <t>V10</t>
  </si>
  <si>
    <t>V11</t>
  </si>
  <si>
    <t>V12</t>
  </si>
  <si>
    <t>V16</t>
  </si>
  <si>
    <t>Carga Última</t>
  </si>
  <si>
    <r>
      <t>Kg/m</t>
    </r>
    <r>
      <rPr>
        <b/>
        <vertAlign val="superscript"/>
        <sz val="11"/>
        <color rgb="FFC00000"/>
        <rFont val="Calibri"/>
        <family val="2"/>
      </rPr>
      <t>2</t>
    </r>
  </si>
  <si>
    <t>U =</t>
  </si>
  <si>
    <t>MOMENTOS CANÓNICOS</t>
  </si>
  <si>
    <t>PRIMER NIVEL</t>
  </si>
  <si>
    <t>Viga</t>
  </si>
  <si>
    <r>
      <t>AT            (m</t>
    </r>
    <r>
      <rPr>
        <b/>
        <vertAlign val="superscript"/>
        <sz val="11"/>
        <rFont val="Calibri"/>
        <family val="2"/>
      </rPr>
      <t>2</t>
    </r>
    <r>
      <rPr>
        <b/>
        <sz val="11"/>
        <rFont val="Calibri"/>
        <family val="2"/>
      </rPr>
      <t>)</t>
    </r>
  </si>
  <si>
    <r>
      <t>U        Kg/m</t>
    </r>
    <r>
      <rPr>
        <b/>
        <vertAlign val="superscript"/>
        <sz val="11"/>
        <rFont val="Calibri"/>
        <family val="2"/>
      </rPr>
      <t>2</t>
    </r>
  </si>
  <si>
    <t>L (m)</t>
  </si>
  <si>
    <r>
      <t>W = (U*A</t>
    </r>
    <r>
      <rPr>
        <b/>
        <vertAlign val="subscript"/>
        <sz val="11"/>
        <rFont val="Calibri"/>
        <family val="2"/>
      </rPr>
      <t>T</t>
    </r>
    <r>
      <rPr>
        <b/>
        <sz val="11"/>
        <rFont val="Calibri"/>
        <family val="2"/>
      </rPr>
      <t>)/L (kg/m)</t>
    </r>
  </si>
  <si>
    <r>
      <t>M</t>
    </r>
    <r>
      <rPr>
        <b/>
        <vertAlign val="superscript"/>
        <sz val="16"/>
        <rFont val="Calibri"/>
        <family val="2"/>
      </rPr>
      <t>-</t>
    </r>
    <r>
      <rPr>
        <b/>
        <sz val="11"/>
        <rFont val="Calibri"/>
        <family val="2"/>
      </rPr>
      <t>= (W*L</t>
    </r>
    <r>
      <rPr>
        <b/>
        <vertAlign val="superscript"/>
        <sz val="11"/>
        <rFont val="Calibri"/>
        <family val="2"/>
      </rPr>
      <t>2</t>
    </r>
    <r>
      <rPr>
        <b/>
        <sz val="11"/>
        <rFont val="Calibri"/>
        <family val="2"/>
      </rPr>
      <t>)/12 (kg-m)</t>
    </r>
  </si>
  <si>
    <r>
      <t>M</t>
    </r>
    <r>
      <rPr>
        <b/>
        <vertAlign val="superscript"/>
        <sz val="11"/>
        <rFont val="Calibri"/>
        <family val="2"/>
      </rPr>
      <t>+</t>
    </r>
    <r>
      <rPr>
        <b/>
        <sz val="11"/>
        <rFont val="Calibri"/>
        <family val="2"/>
      </rPr>
      <t>= (W*L</t>
    </r>
    <r>
      <rPr>
        <b/>
        <vertAlign val="superscript"/>
        <sz val="11"/>
        <rFont val="Calibri"/>
        <family val="2"/>
      </rPr>
      <t>2</t>
    </r>
    <r>
      <rPr>
        <b/>
        <sz val="11"/>
        <rFont val="Calibri"/>
        <family val="2"/>
      </rPr>
      <t>)/24 (kg-m)</t>
    </r>
  </si>
  <si>
    <t>psi</t>
  </si>
  <si>
    <t>E</t>
  </si>
  <si>
    <t>kg/cm2</t>
  </si>
  <si>
    <t>Icolumna</t>
  </si>
  <si>
    <t>cm4</t>
  </si>
  <si>
    <t>Iviga</t>
  </si>
  <si>
    <t>cm</t>
  </si>
  <si>
    <t>Prom</t>
  </si>
  <si>
    <t>COSTOS</t>
  </si>
  <si>
    <t>fy</t>
  </si>
  <si>
    <t>f`c</t>
  </si>
  <si>
    <t>ACERO</t>
  </si>
  <si>
    <t>°30</t>
  </si>
  <si>
    <t>°40</t>
  </si>
  <si>
    <t>°60</t>
  </si>
  <si>
    <t>CONCRETO</t>
  </si>
  <si>
    <t>3000/210</t>
  </si>
  <si>
    <t>4000/281</t>
  </si>
  <si>
    <t>5000/350</t>
  </si>
  <si>
    <t>Q/qq</t>
  </si>
  <si>
    <t>Q/m3</t>
  </si>
  <si>
    <t>1qq a 6m long. Y 9.23 cm2 de seccion acero</t>
  </si>
  <si>
    <t>HOJA DE CALCULO DE ACERO A FLEXION EN VIGAS.</t>
  </si>
  <si>
    <t>Para Área Sísmica y f´c&lt;325 kg/cm2</t>
  </si>
  <si>
    <t>f</t>
  </si>
  <si>
    <t>Mu-</t>
  </si>
  <si>
    <t>Kg-cm</t>
  </si>
  <si>
    <t>Mu+</t>
  </si>
  <si>
    <t>b</t>
  </si>
  <si>
    <t>d</t>
  </si>
  <si>
    <t>TOTAL</t>
  </si>
  <si>
    <t xml:space="preserve">fy </t>
  </si>
  <si>
    <t>Kg/cm2</t>
  </si>
  <si>
    <t>f'c</t>
  </si>
  <si>
    <r>
      <t>B</t>
    </r>
    <r>
      <rPr>
        <b/>
        <i/>
        <sz val="11"/>
        <rFont val="Arial"/>
        <family val="2"/>
      </rPr>
      <t>1</t>
    </r>
  </si>
  <si>
    <t>Asmin</t>
  </si>
  <si>
    <t>cm2</t>
  </si>
  <si>
    <t>As1</t>
  </si>
  <si>
    <t>As2</t>
  </si>
  <si>
    <t>Asmax</t>
  </si>
  <si>
    <t>Acero Cama Superior</t>
  </si>
  <si>
    <t>cs</t>
  </si>
  <si>
    <t>As-/3</t>
  </si>
  <si>
    <t>baston+</t>
  </si>
  <si>
    <t>cero</t>
  </si>
  <si>
    <t>baston-</t>
  </si>
  <si>
    <t>Acero Cama Inferior</t>
  </si>
  <si>
    <t>As-/2</t>
  </si>
  <si>
    <t>ci</t>
  </si>
  <si>
    <t>As+/2</t>
  </si>
  <si>
    <t>DISTRIBUCION DE COLUMNAS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</si>
  <si>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</si>
  <si>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</si>
  <si>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</si>
  <si>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</si>
  <si>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</si>
  <si>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</si>
  <si>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</si>
  <si>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</si>
  <si>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</si>
  <si>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</si>
  <si>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</si>
  <si>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</si>
  <si>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DISEÑO DE COLUMNAS  por el metodo de Amplificador de Momentos</t>
  </si>
  <si>
    <t xml:space="preserve">              DIRECCION</t>
  </si>
  <si>
    <t>SECCION DE COLUMNA</t>
  </si>
  <si>
    <t>SECCION DE VIGA</t>
  </si>
  <si>
    <t>Y</t>
  </si>
  <si>
    <t>X</t>
  </si>
  <si>
    <t>DATOS ESTRUCTURALES</t>
  </si>
  <si>
    <t>DIMENSIONES PROPUESTAS</t>
  </si>
  <si>
    <t>f´c =</t>
  </si>
  <si>
    <t>fy=</t>
  </si>
  <si>
    <t>b=</t>
  </si>
  <si>
    <t>cms.</t>
  </si>
  <si>
    <t>Seccion de viga</t>
  </si>
  <si>
    <t>h=</t>
  </si>
  <si>
    <t>Columna Superior</t>
  </si>
  <si>
    <t>Lu=</t>
  </si>
  <si>
    <t>Mux=</t>
  </si>
  <si>
    <t>kg-m</t>
  </si>
  <si>
    <t>Columna Media</t>
  </si>
  <si>
    <t>Muy=</t>
  </si>
  <si>
    <t>kg/m2</t>
  </si>
  <si>
    <t>Columna Inferior</t>
  </si>
  <si>
    <t>CV=</t>
  </si>
  <si>
    <t>Pu=</t>
  </si>
  <si>
    <t>kg</t>
  </si>
  <si>
    <t>vigas de arriba</t>
  </si>
  <si>
    <t>VIGA 0+X</t>
  </si>
  <si>
    <t>VIGA 0-X</t>
  </si>
  <si>
    <t>m2</t>
  </si>
  <si>
    <t>Longitud</t>
  </si>
  <si>
    <t>VIGA 0+Y</t>
  </si>
  <si>
    <t>VIGA 0-Y</t>
  </si>
  <si>
    <t>CALCULANDO LAS RIGIDECES DE LOS ELEMENTOS QUE LLEGAN A LA COLUMNA</t>
  </si>
  <si>
    <t>MAGNIFICANDO EN SENTIDO X-X</t>
  </si>
  <si>
    <t>MAGNIFICANDO EN SENTIDO Y-Y</t>
  </si>
  <si>
    <t>RIGIDECES DE LOS ELEMENTOS</t>
  </si>
  <si>
    <t xml:space="preserve">Columna Superior </t>
  </si>
  <si>
    <t>=</t>
  </si>
  <si>
    <t>Columna intermedia</t>
  </si>
  <si>
    <t>COLUMNA A DISEÑAR</t>
  </si>
  <si>
    <t>Columna inferior</t>
  </si>
  <si>
    <t>arriba</t>
  </si>
  <si>
    <t>Viga 0-X</t>
  </si>
  <si>
    <t>Viga 0-Y</t>
  </si>
  <si>
    <t>Viga 0+X</t>
  </si>
  <si>
    <t>Viga 0+Y</t>
  </si>
  <si>
    <t>DETERMINANDO Ψ  (Esto representa la capacidad del nodo para absorver energia)</t>
  </si>
  <si>
    <t>Ψ arriba =</t>
  </si>
  <si>
    <t>Ψ abajo =</t>
  </si>
  <si>
    <t xml:space="preserve"> Ψ promedio=</t>
  </si>
  <si>
    <t>CALCULO DEL FACTOR DE PANDEO</t>
  </si>
  <si>
    <t>Para marcos sin ladeo FORMULA DE CRANSTON</t>
  </si>
  <si>
    <t>k&lt;1</t>
  </si>
  <si>
    <t>0.5&lt;k&lt;1</t>
  </si>
  <si>
    <t>Para marcos con ladeo FORMULA DE FURLON</t>
  </si>
  <si>
    <t>FORMULA DE FURLON</t>
  </si>
  <si>
    <t>Si Ψ promedio &lt; 2    entonces</t>
  </si>
  <si>
    <t>K=</t>
  </si>
  <si>
    <t>Si Ψ promedio &gt; 2    entonces</t>
  </si>
  <si>
    <t>De donde tenemos entonces que K=</t>
  </si>
  <si>
    <t>CALCULO DE LA RELACION DE ESBELTEZ</t>
  </si>
  <si>
    <t>Radio de Giro=</t>
  </si>
  <si>
    <t>Es=</t>
  </si>
  <si>
    <r>
      <t xml:space="preserve">CALCULO DE   </t>
    </r>
    <r>
      <rPr>
        <b/>
        <sz val="11"/>
        <rFont val="Calibri"/>
        <family val="2"/>
      </rPr>
      <t xml:space="preserve"> EI equivalente</t>
    </r>
  </si>
  <si>
    <t>Flujo plastico</t>
  </si>
  <si>
    <t>Bd=</t>
  </si>
  <si>
    <t>EI equivale=</t>
  </si>
  <si>
    <t>kg-cm2</t>
  </si>
  <si>
    <t>Ton-mt2</t>
  </si>
  <si>
    <t>CALCULO DE LA CARGA CRITICA</t>
  </si>
  <si>
    <t>Pcr=</t>
  </si>
  <si>
    <t>Ton</t>
  </si>
  <si>
    <t>Carga a la que empieza a pandearse</t>
  </si>
  <si>
    <t>limite de estabilidad</t>
  </si>
  <si>
    <t>CALCULO DEL MAGNIFICADO EN X</t>
  </si>
  <si>
    <r>
      <t xml:space="preserve">                </t>
    </r>
    <r>
      <rPr>
        <b/>
        <sz val="11"/>
        <rFont val="Calibri"/>
        <family val="2"/>
      </rPr>
      <t xml:space="preserve"> factor</t>
    </r>
    <r>
      <rPr>
        <sz val="11"/>
        <rFont val="Calibri"/>
        <family val="2"/>
      </rPr>
      <t xml:space="preserve"> de reduccion de carga=</t>
    </r>
  </si>
  <si>
    <t>CALCULO DEL MAGNIFICADO EN Y</t>
  </si>
  <si>
    <t>δ x-x=</t>
  </si>
  <si>
    <t xml:space="preserve">                 0.70 para estribos </t>
  </si>
  <si>
    <t>δ y-y=</t>
  </si>
  <si>
    <t xml:space="preserve">                 0.75 para zunchos</t>
  </si>
  <si>
    <t>CALCULO DE MOMENTOS DE DISEÑO EN X</t>
  </si>
  <si>
    <t>Md x-x =</t>
  </si>
  <si>
    <t>kg-mts.</t>
  </si>
  <si>
    <t>Md y-y =</t>
  </si>
  <si>
    <t>DATOS DE DISEÑO</t>
  </si>
  <si>
    <t>Diametro "</t>
  </si>
  <si>
    <t>Numero</t>
  </si>
  <si>
    <t>Area (cm²)</t>
  </si>
  <si>
    <t>Observacion</t>
  </si>
  <si>
    <t>Varilla/qq</t>
  </si>
  <si>
    <t>kg.</t>
  </si>
  <si>
    <t>1/4</t>
  </si>
  <si>
    <t xml:space="preserve">liso </t>
  </si>
  <si>
    <t>3/8</t>
  </si>
  <si>
    <t>corrugado</t>
  </si>
  <si>
    <t>1/2</t>
  </si>
  <si>
    <t>5/8</t>
  </si>
  <si>
    <t>3/4</t>
  </si>
  <si>
    <t>PROPONIENDO ARMADO LONGITUDINAL</t>
  </si>
  <si>
    <t>7/8</t>
  </si>
  <si>
    <t>As minimo =</t>
  </si>
  <si>
    <t>Cms 2</t>
  </si>
  <si>
    <t>As maximo =</t>
  </si>
  <si>
    <t>9/8</t>
  </si>
  <si>
    <t>5/4</t>
  </si>
  <si>
    <t>11/8</t>
  </si>
  <si>
    <t>PROPONIENDO UN AREA DE ACERO</t>
  </si>
  <si>
    <t>3/2</t>
  </si>
  <si>
    <t>No. de varillas que se propone</t>
  </si>
  <si>
    <t>No. de varilla</t>
  </si>
  <si>
    <t>Area propuesta=</t>
  </si>
  <si>
    <t>Φ=</t>
  </si>
  <si>
    <t>factor de reduccion de columna (cambiarlo segun criterio)</t>
  </si>
  <si>
    <t>Ag=</t>
  </si>
  <si>
    <t>As=</t>
  </si>
  <si>
    <t>P'o=</t>
  </si>
  <si>
    <t>CALCULO DE EXENTRICIDADES</t>
  </si>
  <si>
    <t xml:space="preserve">ex= </t>
  </si>
  <si>
    <t>ey=</t>
  </si>
  <si>
    <t>CALCULO DE LA RELACION   e/h</t>
  </si>
  <si>
    <t>ex/hx   =</t>
  </si>
  <si>
    <t>ey/hy   =</t>
  </si>
  <si>
    <t>CALCULO DE RELACIONES DE SECCIONES</t>
  </si>
  <si>
    <t>recubriminento (en mts)=</t>
  </si>
  <si>
    <t>δx =</t>
  </si>
  <si>
    <t>b ch/ bx  =</t>
  </si>
  <si>
    <t>mts.</t>
  </si>
  <si>
    <t>minimo =</t>
  </si>
  <si>
    <t>0.03 mts.</t>
  </si>
  <si>
    <t>δy =</t>
  </si>
  <si>
    <t>h ch/ hy  =</t>
  </si>
  <si>
    <t>0.05 mts.</t>
  </si>
  <si>
    <t>b ch  Y  h ch =  longitudes de la columna menos el recubrimiento de arriba y de abajo</t>
  </si>
  <si>
    <t>Ach =</t>
  </si>
  <si>
    <t>Cms.</t>
  </si>
  <si>
    <t>CUANTILLA DE ARMADO TOTAL</t>
  </si>
  <si>
    <t>Γu =</t>
  </si>
  <si>
    <t>PARAMETROS PARA DETERMINAR K'x  Y  K'y  EN GRAFICOS DE DISEÑO</t>
  </si>
  <si>
    <t>Ingrese datos segun las graficas</t>
  </si>
  <si>
    <t>K'x =</t>
  </si>
  <si>
    <t>K'y =</t>
  </si>
  <si>
    <t>CALCULO DE P'x  Y  P'y</t>
  </si>
  <si>
    <t>P'x =</t>
  </si>
  <si>
    <t>Kg.</t>
  </si>
  <si>
    <t>P'y =</t>
  </si>
  <si>
    <t>CLCULO DE P'u</t>
  </si>
  <si>
    <t>1/P'u  =</t>
  </si>
  <si>
    <t>Entonces</t>
  </si>
  <si>
    <t>P'u =</t>
  </si>
  <si>
    <t>CHEQUEANDO EL ACERO</t>
  </si>
  <si>
    <t>P'u  Vrs. Pu</t>
  </si>
  <si>
    <t>ALTURA DE LA ZONA DE CONFINAMIENTO</t>
  </si>
  <si>
    <t>h/6 =</t>
  </si>
  <si>
    <t>Lo =</t>
  </si>
  <si>
    <t>45 cms.</t>
  </si>
  <si>
    <t>Constante</t>
  </si>
  <si>
    <t>De estos tres se toma el mayor</t>
  </si>
  <si>
    <t>lado mayor de la seccion de la columna</t>
  </si>
  <si>
    <t>Ingresar datos</t>
  </si>
  <si>
    <t>Mayor =</t>
  </si>
  <si>
    <t>CALCULO DEL ESPACIAMIENTO DE LOS ESTRIBOS</t>
  </si>
  <si>
    <t>Asv =</t>
  </si>
  <si>
    <t>Area transversal de la varilla utilizada</t>
  </si>
  <si>
    <t>Ln =</t>
  </si>
  <si>
    <t>Mayor distancia entre dos varillas</t>
  </si>
  <si>
    <t>ps =</t>
  </si>
  <si>
    <t>Relacion volumetrica de la seccion transversal</t>
  </si>
  <si>
    <t xml:space="preserve"> Ingrese No. de varilla a utilizar para estribos</t>
  </si>
  <si>
    <t>No. =</t>
  </si>
  <si>
    <t>Cms. 2</t>
  </si>
  <si>
    <t>Ingrese la mayor distancia entre dos varillas  Ln.</t>
  </si>
  <si>
    <t>Relacion Volumetrica de la seccion transversal</t>
  </si>
  <si>
    <t>POR LO TANTO</t>
  </si>
  <si>
    <t>So =</t>
  </si>
  <si>
    <r>
      <t xml:space="preserve">Donde </t>
    </r>
    <r>
      <rPr>
        <b/>
        <sz val="11"/>
        <rFont val="Calibri"/>
        <family val="2"/>
      </rPr>
      <t>So</t>
    </r>
    <r>
      <rPr>
        <sz val="11"/>
        <rFont val="Calibri"/>
        <family val="2"/>
      </rPr>
      <t xml:space="preserve"> es el espaciamiento de los estribos en la zona de confinamiento</t>
    </r>
  </si>
  <si>
    <t>S =</t>
  </si>
  <si>
    <t>Donde  S  es la separacion maxima  entre estribos en la zona NO confinada</t>
  </si>
  <si>
    <t>Ingrese los siguientes datos</t>
  </si>
  <si>
    <t xml:space="preserve">La Separacion  final de estribos en la zona de confinamiento es: </t>
  </si>
  <si>
    <t>La Separacion final de estribos en la zona NO confinada es:</t>
  </si>
  <si>
    <t>b ch =</t>
  </si>
  <si>
    <t>cms</t>
  </si>
  <si>
    <t>h ch =</t>
  </si>
  <si>
    <t>No. de estribos en la zona de confinamiento</t>
  </si>
  <si>
    <t xml:space="preserve">entonces necesitamos </t>
  </si>
  <si>
    <t>estribos</t>
  </si>
  <si>
    <t>No. de estribos en la zona NO confinada</t>
  </si>
  <si>
    <t>Cantidad Total de estribos en la columna</t>
  </si>
  <si>
    <t>Metros lineales  de varilla por estribo:</t>
  </si>
  <si>
    <t xml:space="preserve">Se necesitan </t>
  </si>
  <si>
    <t>metros lineales de acero</t>
  </si>
  <si>
    <t>Cantidad de Varillas que se necesitan para los estribos:</t>
  </si>
  <si>
    <t>Varillas de acero No.</t>
  </si>
  <si>
    <r>
      <t>Ingrese la cantidad de</t>
    </r>
    <r>
      <rPr>
        <b/>
        <sz val="11"/>
        <rFont val="Calibri"/>
        <family val="2"/>
      </rPr>
      <t xml:space="preserve"> varillas/qq</t>
    </r>
    <r>
      <rPr>
        <sz val="11"/>
        <rFont val="Calibri"/>
        <family val="2"/>
      </rPr>
      <t xml:space="preserve"> de acero numero</t>
    </r>
  </si>
  <si>
    <t xml:space="preserve">entonces tenemos que se necesitan </t>
  </si>
  <si>
    <t xml:space="preserve">qq de acero para los estribos </t>
  </si>
  <si>
    <t xml:space="preserve">        Longitud de varilla por columna   =</t>
  </si>
  <si>
    <t xml:space="preserve">                                Entonces se necesitan </t>
  </si>
  <si>
    <t>Metros lineales de acero</t>
  </si>
  <si>
    <t xml:space="preserve">                                            que equivalen a </t>
  </si>
  <si>
    <t>varilla de acero numero</t>
  </si>
  <si>
    <t xml:space="preserve">y </t>
  </si>
  <si>
    <r>
      <t xml:space="preserve">Ingrese la cantidad de </t>
    </r>
    <r>
      <rPr>
        <b/>
        <sz val="11"/>
        <rFont val="Calibri"/>
        <family val="2"/>
      </rPr>
      <t>varillas/qq</t>
    </r>
    <r>
      <rPr>
        <sz val="11"/>
        <rFont val="Calibri"/>
        <family val="2"/>
      </rPr>
      <t xml:space="preserve"> de acero numero</t>
    </r>
  </si>
  <si>
    <t>qq de acero para cubrir el area de acero transversal</t>
  </si>
  <si>
    <t xml:space="preserve">entonces se necesitan </t>
  </si>
  <si>
    <t>qq de acero para construir la columna</t>
  </si>
  <si>
    <t>Y (volumen de columna)</t>
  </si>
  <si>
    <t>Mts3  de Concreto para construir la columna</t>
  </si>
  <si>
    <t xml:space="preserve">Segun nuestros datos estructurales tenemos que </t>
  </si>
  <si>
    <t>kg/cm2  =</t>
  </si>
  <si>
    <r>
      <t xml:space="preserve">            que equivale a un concreto de  </t>
    </r>
    <r>
      <rPr>
        <sz val="11"/>
        <rFont val="Calibri"/>
        <family val="2"/>
      </rPr>
      <t>(ingrese dato)</t>
    </r>
  </si>
  <si>
    <t>PSI</t>
  </si>
  <si>
    <r>
      <t xml:space="preserve">       que equivale a un acero de grado </t>
    </r>
    <r>
      <rPr>
        <sz val="11"/>
        <rFont val="Calibri"/>
        <family val="2"/>
      </rPr>
      <t>(ingrese dato)</t>
    </r>
  </si>
  <si>
    <t xml:space="preserve">        El precio del concrteo </t>
  </si>
  <si>
    <t>es de   Q</t>
  </si>
  <si>
    <t xml:space="preserve">  El metro cubico</t>
  </si>
  <si>
    <t xml:space="preserve">y el precio del acero grado </t>
  </si>
  <si>
    <t xml:space="preserve">  El quintal</t>
  </si>
  <si>
    <t xml:space="preserve">                 por lo que el precio del acero para contruir la columna es de       Q</t>
  </si>
  <si>
    <t xml:space="preserve">                          y el precio del concrteo para construir la columna es de       Q             </t>
  </si>
  <si>
    <r>
      <t xml:space="preserve">                                                     que le dan un valor </t>
    </r>
    <r>
      <rPr>
        <b/>
        <sz val="14"/>
        <rFont val="Calibri"/>
        <family val="2"/>
      </rPr>
      <t>Total</t>
    </r>
    <r>
      <rPr>
        <sz val="14"/>
        <rFont val="Calibri"/>
        <family val="2"/>
      </rPr>
      <t xml:space="preserve"> a la columna de        Q</t>
    </r>
  </si>
  <si>
    <t>COLUMNAS CENTRALES</t>
  </si>
  <si>
    <t>ZAPATA CONCENTRICA PRINCIPAL</t>
  </si>
  <si>
    <t>COLUMNA</t>
  </si>
  <si>
    <t>suelo</t>
  </si>
  <si>
    <t>Altura de columna</t>
  </si>
  <si>
    <t>Ma x-x</t>
  </si>
  <si>
    <t>Ton-m.</t>
  </si>
  <si>
    <t>Ma y-y</t>
  </si>
  <si>
    <t>ZAPATA CONCENTRICA</t>
  </si>
  <si>
    <t>DATOS:</t>
  </si>
  <si>
    <t>Fcu</t>
  </si>
  <si>
    <t>Vs</t>
  </si>
  <si>
    <t>Ton/m^2</t>
  </si>
  <si>
    <t>Ws</t>
  </si>
  <si>
    <t>Ton/m^3</t>
  </si>
  <si>
    <t>Wc</t>
  </si>
  <si>
    <t>kg/cm^2</t>
  </si>
  <si>
    <t>CARGA POR SERVICIO</t>
  </si>
  <si>
    <t>P'</t>
  </si>
  <si>
    <t>Mx</t>
  </si>
  <si>
    <t>T-m.</t>
  </si>
  <si>
    <t>My</t>
  </si>
  <si>
    <t>DIMENSIONES DE ZAPATA SUGERIDAS</t>
  </si>
  <si>
    <t>AREA</t>
  </si>
  <si>
    <t>DIMENSION</t>
  </si>
  <si>
    <t>Nota:</t>
  </si>
  <si>
    <t>No se recomienda un area de zapata muy cercana al valor soporte.</t>
  </si>
  <si>
    <t>A PROPUESTA</t>
  </si>
  <si>
    <t>t' Grosor de Zapata</t>
  </si>
  <si>
    <t>40 + d</t>
  </si>
  <si>
    <t>40 + d/2</t>
  </si>
  <si>
    <t>Pcolumna</t>
  </si>
  <si>
    <t>Psuelo</t>
  </si>
  <si>
    <t>Pcimiento</t>
  </si>
  <si>
    <t>Pd</t>
  </si>
  <si>
    <t>Calculo de momento</t>
  </si>
  <si>
    <t>Excentricidad</t>
  </si>
  <si>
    <t>Presion Qmax</t>
  </si>
  <si>
    <t>Presion Qmin</t>
  </si>
  <si>
    <t>Presion Ultima</t>
  </si>
  <si>
    <t>ex</t>
  </si>
  <si>
    <t>m</t>
  </si>
  <si>
    <t>qmax</t>
  </si>
  <si>
    <t>Ton/m2</t>
  </si>
  <si>
    <t>qmin</t>
  </si>
  <si>
    <t>qult</t>
  </si>
  <si>
    <t>ey</t>
  </si>
  <si>
    <t>DIAGRAMA DE PRESIONES</t>
  </si>
  <si>
    <t>PERALTE EFECTIVO</t>
  </si>
  <si>
    <t>^</t>
  </si>
  <si>
    <t>CORTE SIMPLE</t>
  </si>
  <si>
    <t>CORTE PUNZONANTE</t>
  </si>
  <si>
    <t>REFUERZO POR FLEXION EN X-X</t>
  </si>
  <si>
    <t>MOMENTO ULTIMO ACTUANTE</t>
  </si>
  <si>
    <t>CHEQUEO POR FLEXION EJE X - X</t>
  </si>
  <si>
    <t>CHEQUEO POR FLEXION EJE Y - Y</t>
  </si>
  <si>
    <t>Momento Actuante</t>
  </si>
  <si>
    <t>As minimo</t>
  </si>
  <si>
    <t>cm^2</t>
  </si>
  <si>
    <t>Propuesta de Armado</t>
  </si>
  <si>
    <t>#</t>
  </si>
  <si>
    <t>@</t>
  </si>
  <si>
    <t>Momento Ultimo</t>
  </si>
  <si>
    <t>Cama Superior (X - X)</t>
  </si>
  <si>
    <t xml:space="preserve">ZAPATA CONCENTRICA </t>
  </si>
  <si>
    <t>ZAPATA EXCENTRICA</t>
  </si>
  <si>
    <t>Mmax</t>
  </si>
  <si>
    <t>Peralte "d"</t>
  </si>
  <si>
    <t>Mo</t>
  </si>
  <si>
    <t>Ton-m</t>
  </si>
  <si>
    <t>e</t>
  </si>
  <si>
    <t>Presion de terreno y cimiento</t>
  </si>
  <si>
    <t>q(s+c)</t>
  </si>
  <si>
    <t>ZAPATA</t>
  </si>
  <si>
    <t>a</t>
  </si>
  <si>
    <t>3a</t>
  </si>
  <si>
    <t>Comportamiento Lineal</t>
  </si>
  <si>
    <t>w(x) =</t>
  </si>
  <si>
    <t>x</t>
  </si>
  <si>
    <t>Comportamiento Cuadratico</t>
  </si>
  <si>
    <t>x^2</t>
  </si>
  <si>
    <t>CHEQUEO POR CORTE PUNZONANTE</t>
  </si>
  <si>
    <t>X =</t>
  </si>
  <si>
    <t>COMPORTAMIENTO LINEAL</t>
  </si>
  <si>
    <t>COMPORTAMIENTO CUADRATICO</t>
  </si>
  <si>
    <t>Vactuante</t>
  </si>
  <si>
    <t>Vres1</t>
  </si>
  <si>
    <t>Vres2</t>
  </si>
  <si>
    <t>Valor Minimo</t>
  </si>
  <si>
    <t>Vres3</t>
  </si>
  <si>
    <t>Criterio</t>
  </si>
  <si>
    <t>CHEQUEO POR CORTE SIMPLE</t>
  </si>
  <si>
    <t>Vact =</t>
  </si>
  <si>
    <t>Ton/m</t>
  </si>
  <si>
    <t>Franja Unitaria</t>
  </si>
  <si>
    <t>Momento de Sección</t>
  </si>
  <si>
    <t>Wrostro de columna</t>
  </si>
  <si>
    <t>Momento rostro de columna</t>
  </si>
  <si>
    <t>Wultimo maximo</t>
  </si>
  <si>
    <t>Cama Inferior (X - X)</t>
  </si>
  <si>
    <t>Carga para franja de diseño</t>
  </si>
  <si>
    <t>Carga de diseño YY</t>
  </si>
  <si>
    <t>Momento Actuante Rost Col</t>
  </si>
  <si>
    <t>Peralte Efectivo</t>
  </si>
  <si>
    <t>As</t>
  </si>
  <si>
    <t>Cama Superior (Y - Y)</t>
  </si>
  <si>
    <t>Cama Inferior (Y - Y)</t>
  </si>
  <si>
    <t>10 de 0.60</t>
  </si>
  <si>
    <t>7 de 0.60</t>
  </si>
  <si>
    <t>10 de  0.60</t>
  </si>
  <si>
    <t>12 de 0.60</t>
  </si>
  <si>
    <t>6 de  0.60</t>
  </si>
  <si>
    <t>HARDY CROSS PARA EJES 1 y 3</t>
  </si>
  <si>
    <t>HARDY CROSS PARA EJES A y D</t>
  </si>
  <si>
    <t>HARDY CROSS PARA EJE 2</t>
  </si>
  <si>
    <t>HARDY CROSS PARA EJES B y C</t>
  </si>
  <si>
    <t>VIGA L= 7.8 EJES A, B, C y D</t>
  </si>
  <si>
    <t>VIGA L= 4.1 EJES A, B, C y D</t>
  </si>
  <si>
    <t>VIGA EJES 1,2 y 3 L=7</t>
  </si>
  <si>
    <t>VIGA EJES 1,2 y 3 L=5.3</t>
  </si>
  <si>
    <t>COLUMNAS SECUNDARIAS</t>
  </si>
  <si>
    <t>LOSA 7</t>
  </si>
  <si>
    <t>LOSA 8</t>
  </si>
  <si>
    <t>LOSA1A</t>
  </si>
  <si>
    <t>LOSA 1A</t>
  </si>
  <si>
    <t>Losa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</si>
</sst>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4">
    <numFmt numFmtId="164" formatCode="\ &quot;A=&quot;\ 0.0"/>
    <numFmt numFmtId="165" formatCode="\ &quot;B=&quot;\ 0.00"/>
    <numFmt numFmtId="166" formatCode="\ &quot;A/B=&quot;\ 0.00"/>
    <numFmt numFmtId="167" formatCode="\ &quot;A=&quot;\ 0.00"/>
    <numFmt numFmtId="168" formatCode="\ &quot;t=&quot;\ 0.00"/>
    <numFmt numFmtId="169" formatCode="0.00\ &quot;kg/m3&quot;"/>
    <numFmt numFmtId="170" formatCode="0.00\ &quot;kg/m2&quot;"/>
    <numFmt numFmtId="171" formatCode="&quot;b=&quot;\ 0.0\ &quot;m&quot;"/>
    <numFmt numFmtId="172" formatCode="&quot;B=&quot;\ 0.0\ &quot;m&quot;"/>
    <numFmt numFmtId="173" formatCode="&quot;t-t´=&quot;\ 0.000\ &quot;m&quot;"/>
    <numFmt numFmtId="174" formatCode="&quot;t´=&quot;\ 0.00\ &quot;m&quot;"/>
    <numFmt numFmtId="175" formatCode="0.00\ &quot;kg/m&quot;"/>
    <numFmt numFmtId="176" formatCode="\ 0.00"/>
    <numFmt numFmtId="177" formatCode="\ &quot;M1=&quot;\ 0.00\ &quot;kg-m&quot;"/>
    <numFmt numFmtId="178" formatCode="\ &quot;M2=&quot;\ 0.00\ &quot;kg-m&quot;"/>
    <numFmt numFmtId="179" formatCode="0.00\ &quot;kg-m&quot;"/>
    <numFmt numFmtId="180" formatCode="0.0000\ &quot;mts&quot;"/>
    <numFmt numFmtId="181" formatCode="&quot;F´c=&quot;\ 0\ &quot;kgs/cm2&quot;"/>
    <numFmt numFmtId="182" formatCode="&quot;Fy=&quot;\ 0\ &quot;kgs/cm2&quot;"/>
    <numFmt numFmtId="183" formatCode="&quot;d=&quot;\ 0.0000\ &quot;cm&quot;"/>
    <numFmt numFmtId="184" formatCode="&quot;recubrimiento=&quot;\ 0\ &quot;cm&quot;"/>
    <numFmt numFmtId="185" formatCode="0.00\ &quot;cm2&quot;"/>
    <numFmt numFmtId="186" formatCode="&quot;ρ mayor=&quot;\ 0.000"/>
    <numFmt numFmtId="187" formatCode="&quot;ρ minimo=&quot;\ 0.0000"/>
    <numFmt numFmtId="188" formatCode="&quot;ρ balanceado=&quot;\ 0.000"/>
    <numFmt numFmtId="189" formatCode="&quot;ρ maximo=&quot;\ 0.000"/>
    <numFmt numFmtId="190" formatCode="&quot;As(+)=&quot;\ 0.00\ &quot;cm2&quot;"/>
    <numFmt numFmtId="191" formatCode="&quot;a=&quot;\ 0.00\ &quot;cm&quot;"/>
    <numFmt numFmtId="192" formatCode="&quot;As(-)sismico=&quot;\ 0.000\ &quot;cm2&quot;"/>
    <numFmt numFmtId="193" formatCode="&quot;As(-)min =&quot;\ 0.000\ &quot;cm2&quot;"/>
    <numFmt numFmtId="194" formatCode="&quot;As(+)min=&quot;\ 0.00\ &quot;cm2&quot;"/>
    <numFmt numFmtId="195" formatCode="&quot;As balanceado=&quot;\ 0.000\ &quot;cm2&quot;"/>
    <numFmt numFmtId="196" formatCode="&quot;As sismico=&quot;\ 0.000\ &quot;cm2&quot;"/>
    <numFmt numFmtId="197" formatCode="&quot;As max=&quot;\ 0.000\ &quot;cm2&quot;"/>
    <numFmt numFmtId="198" formatCode="0.000\ &quot;cm2&quot;"/>
    <numFmt numFmtId="199" formatCode="&quot;V resistente=&quot;\ 0.00\ &quot;kg/m&quot;"/>
    <numFmt numFmtId="200" formatCode="&quot;V actuante=&quot;\ 0.00\ &quot;kg/m&quot;"/>
    <numFmt numFmtId="201" formatCode="&quot;Av =&quot;\ 0.000\ &quot;cm2&quot;"/>
    <numFmt numFmtId="202" formatCode="&quot;Smax =&quot;\ 0\ &quot;cm&quot;"/>
    <numFmt numFmtId="203" formatCode="&quot;Vs=&quot;\ 0.00\ &quot;kg&quot;"/>
    <numFmt numFmtId="204" formatCode="&quot;E=&quot;\ 0.00\ &quot;kg&quot;"/>
    <numFmt numFmtId="205" formatCode="&quot;F=&quot;\ 0.00\ &quot;kg&quot;"/>
    <numFmt numFmtId="206" formatCode="&quot;Av min =&quot;\ 0.00\ &quot;cm2&quot;"/>
    <numFmt numFmtId="207" formatCode="&quot;Vu=&quot;\ 0.00\ &quot;kg&quot;"/>
    <numFmt numFmtId="208" formatCode="&quot;As temp=&quot;\ 0\ &quot;cm2&quot;"/>
    <numFmt numFmtId="209" formatCode="&quot;S =&quot;\ 0\ &quot;cm&quot;"/>
    <numFmt numFmtId="210" formatCode="0.00\ &quot;m&quot;"/>
    <numFmt numFmtId="211" formatCode="0.0\ &quot;m&quot;"/>
    <numFmt numFmtId="212" formatCode="0.0"/>
    <numFmt numFmtId="213" formatCode="#,##0.0"/>
    <numFmt numFmtId="214" formatCode="&quot;Q&quot;#,##0.00"/>
    <numFmt numFmtId="215" formatCode="0.000"/>
    <numFmt numFmtId="216" formatCode="&quot;AT=&quot;"/>
    <numFmt numFmtId="217" formatCode="&quot;recubrimiento= &quot;0.000\ &quot;m&quot;"/>
    <numFmt numFmtId="218" formatCode="&quot;diametro de varilla= &quot;0.000\ &quot;m&quot;"/>
    <numFmt numFmtId="219" formatCode="&quot;d= &quot;0.00\ &quot;m&quot;"/>
    <numFmt numFmtId="220" formatCode="&quot;V actuante= &quot;0.00\ &quot;T&quot;"/>
    <numFmt numFmtId="221" formatCode="&quot;b= &quot;0\ &quot;cm&quot;"/>
    <numFmt numFmtId="222" formatCode="&quot;V resistente= &quot;0.00\ &quot;T&quot;"/>
    <numFmt numFmtId="223" formatCode="&quot;V c1= &quot;0.00\ &quot;T&quot;"/>
    <numFmt numFmtId="224" formatCode="&quot;V c2= &quot;0.00\ &quot;T&quot;"/>
    <numFmt numFmtId="225" formatCode="&quot;V c3= &quot;0.00\ &quot;T&quot;"/>
    <numFmt numFmtId="226" formatCode="&quot;M= &quot;0\ &quot;kg-cm&quot;"/>
    <numFmt numFmtId="227" formatCode="&quot;t=&quot;\ 0.00\ &quot;m&quot;"/>
  </numFmts>
  <fonts count="8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0"/>
      <name val="Times New Roman"/>
      <family val="1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rgb="FFC00000"/>
      <name val="Arial"/>
      <family val="2"/>
    </font>
    <font>
      <b/>
      <sz val="11"/>
      <color rgb="FFC00000"/>
      <name val="Calibri"/>
      <family val="2"/>
    </font>
    <font>
      <b/>
      <vertAlign val="superscript"/>
      <sz val="11"/>
      <color rgb="FFC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vertAlign val="superscript"/>
      <sz val="11"/>
      <name val="Calibri"/>
      <family val="2"/>
    </font>
    <font>
      <b/>
      <vertAlign val="subscript"/>
      <sz val="11"/>
      <name val="Calibri"/>
      <family val="2"/>
    </font>
    <font>
      <b/>
      <vertAlign val="superscript"/>
      <sz val="16"/>
      <name val="Calibri"/>
      <family val="2"/>
    </font>
    <font>
      <b/>
      <sz val="16"/>
      <name val="Arial"/>
      <family val="2"/>
    </font>
    <font>
      <b/>
      <i/>
      <sz val="10"/>
      <name val="Arial"/>
      <family val="2"/>
    </font>
    <font>
      <b/>
      <sz val="10"/>
      <color theme="9" tint="-0.249977111117893"/>
      <name val="Arial"/>
      <family val="2"/>
    </font>
    <font>
      <b/>
      <sz val="11"/>
      <color indexed="53"/>
      <name val="Arial"/>
      <family val="2"/>
    </font>
    <font>
      <b/>
      <sz val="10"/>
      <name val="Calibri"/>
      <family val="2"/>
    </font>
    <font>
      <b/>
      <sz val="10"/>
      <color rgb="FFFF0000"/>
      <name val="Arial"/>
      <family val="2"/>
    </font>
    <font>
      <b/>
      <sz val="10"/>
      <color indexed="10"/>
      <name val="Arial"/>
      <family val="2"/>
    </font>
    <font>
      <b/>
      <sz val="12"/>
      <color indexed="10"/>
      <name val="Arial"/>
      <family val="2"/>
    </font>
    <font>
      <b/>
      <sz val="10"/>
      <color rgb="FF00B050"/>
      <name val="Arial"/>
      <family val="2"/>
    </font>
    <font>
      <sz val="10"/>
      <color indexed="12"/>
      <name val="Arial"/>
      <family val="2"/>
    </font>
    <font>
      <sz val="11"/>
      <name val="Arial"/>
      <family val="2"/>
    </font>
    <font>
      <sz val="10"/>
      <name val="Calibri"/>
      <family val="2"/>
    </font>
    <font>
      <b/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0"/>
      <color indexed="57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i/>
      <sz val="14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0"/>
      <name val="Symbol"/>
      <family val="1"/>
      <charset val="2"/>
    </font>
    <font>
      <b/>
      <i/>
      <u/>
      <sz val="10"/>
      <name val="Arial"/>
      <family val="2"/>
    </font>
    <font>
      <b/>
      <sz val="12"/>
      <color rgb="FFC00000"/>
      <name val="Arial"/>
      <family val="2"/>
    </font>
    <font>
      <b/>
      <sz val="11"/>
      <name val="Symbol"/>
      <family val="1"/>
      <charset val="2"/>
    </font>
    <font>
      <b/>
      <sz val="11"/>
      <color indexed="10"/>
      <name val="Arial"/>
      <family val="2"/>
    </font>
    <font>
      <b/>
      <sz val="11"/>
      <color indexed="12"/>
      <name val="Arial"/>
      <family val="2"/>
    </font>
    <font>
      <b/>
      <i/>
      <sz val="11"/>
      <name val="Symbol"/>
      <family val="1"/>
      <charset val="2"/>
    </font>
    <font>
      <b/>
      <i/>
      <sz val="11"/>
      <name val="Arial"/>
      <family val="2"/>
    </font>
    <font>
      <b/>
      <sz val="10"/>
      <color indexed="57"/>
      <name val="Arial"/>
      <family val="2"/>
    </font>
    <font>
      <b/>
      <sz val="18"/>
      <color theme="6" tint="-0.249977111117893"/>
      <name val="Calibri"/>
      <family val="2"/>
      <scheme val="minor"/>
    </font>
    <font>
      <b/>
      <sz val="14"/>
      <color theme="7" tint="0.3999755851924192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Arial"/>
      <family val="2"/>
    </font>
    <font>
      <sz val="11"/>
      <name val="Calibri"/>
      <family val="2"/>
    </font>
    <font>
      <sz val="14"/>
      <name val="Calibri"/>
      <family val="2"/>
      <scheme val="minor"/>
    </font>
    <font>
      <b/>
      <sz val="14"/>
      <name val="Calibri"/>
      <family val="2"/>
    </font>
    <font>
      <sz val="14"/>
      <name val="Calibri"/>
      <family val="2"/>
    </font>
    <font>
      <b/>
      <sz val="16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b/>
      <i/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4">
    <xf numFmtId="0" fontId="0" fillId="0" borderId="0" xfId="0"/>
    <xf numFmtId="0" fontId="3" fillId="0" borderId="0" xfId="0" applyFont="1"/>
    <xf numFmtId="0" fontId="4" fillId="0" borderId="0" xfId="0" applyFont="1"/>
    <xf numFmtId="0" fontId="0" fillId="2" borderId="10" xfId="0" applyFill="1" applyBorder="1"/>
    <xf numFmtId="164" fontId="0" fillId="0" borderId="10" xfId="0" applyNumberFormat="1" applyBorder="1" applyAlignment="1">
      <alignment horizontal="left" vertical="top"/>
    </xf>
    <xf numFmtId="165" fontId="0" fillId="0" borderId="10" xfId="0" applyNumberFormat="1" applyBorder="1" applyAlignment="1">
      <alignment horizontal="left" vertical="top"/>
    </xf>
    <xf numFmtId="166" fontId="0" fillId="0" borderId="10" xfId="0" applyNumberFormat="1" applyBorder="1" applyAlignment="1">
      <alignment horizontal="left" vertical="top"/>
    </xf>
    <xf numFmtId="167" fontId="0" fillId="0" borderId="10" xfId="0" applyNumberFormat="1" applyBorder="1" applyAlignment="1">
      <alignment horizontal="left" vertical="top"/>
    </xf>
    <xf numFmtId="168" fontId="0" fillId="0" borderId="10" xfId="0" applyNumberFormat="1" applyBorder="1" applyAlignment="1">
      <alignment horizontal="left" vertical="top"/>
    </xf>
    <xf numFmtId="168" fontId="0" fillId="0" borderId="0" xfId="0" applyNumberFormat="1" applyFill="1" applyBorder="1" applyAlignment="1">
      <alignment horizontal="left" vertical="top"/>
    </xf>
    <xf numFmtId="0" fontId="5" fillId="0" borderId="0" xfId="0" applyFont="1"/>
    <xf numFmtId="0" fontId="0" fillId="0" borderId="10" xfId="0" applyBorder="1"/>
    <xf numFmtId="0" fontId="5" fillId="0" borderId="1" xfId="0" applyFont="1" applyBorder="1"/>
    <xf numFmtId="0" fontId="0" fillId="0" borderId="15" xfId="0" applyBorder="1"/>
    <xf numFmtId="0" fontId="0" fillId="0" borderId="16" xfId="0" applyBorder="1"/>
    <xf numFmtId="0" fontId="7" fillId="0" borderId="17" xfId="0" applyFont="1" applyBorder="1"/>
    <xf numFmtId="0" fontId="7" fillId="0" borderId="18" xfId="0" applyFont="1" applyBorder="1"/>
    <xf numFmtId="0" fontId="7" fillId="0" borderId="19" xfId="0" applyFont="1" applyBorder="1"/>
    <xf numFmtId="0" fontId="8" fillId="0" borderId="0" xfId="0" applyFon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0" fontId="1" fillId="0" borderId="0" xfId="0" applyFont="1"/>
    <xf numFmtId="170" fontId="5" fillId="0" borderId="0" xfId="0" applyNumberFormat="1" applyFont="1"/>
    <xf numFmtId="0" fontId="7" fillId="0" borderId="0" xfId="0" applyFont="1"/>
    <xf numFmtId="0" fontId="9" fillId="0" borderId="0" xfId="0" applyFont="1"/>
    <xf numFmtId="170" fontId="7" fillId="0" borderId="0" xfId="0" applyNumberFormat="1" applyFont="1"/>
    <xf numFmtId="0" fontId="2" fillId="5" borderId="10" xfId="0" applyFont="1" applyFill="1" applyBorder="1"/>
    <xf numFmtId="175" fontId="2" fillId="5" borderId="10" xfId="0" applyNumberFormat="1" applyFont="1" applyFill="1" applyBorder="1"/>
    <xf numFmtId="0" fontId="10" fillId="0" borderId="0" xfId="0" applyFont="1"/>
    <xf numFmtId="0" fontId="11" fillId="5" borderId="1" xfId="0" applyFont="1" applyFill="1" applyBorder="1"/>
    <xf numFmtId="2" fontId="0" fillId="0" borderId="10" xfId="0" applyNumberFormat="1" applyBorder="1"/>
    <xf numFmtId="0" fontId="0" fillId="0" borderId="10" xfId="0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76" fontId="0" fillId="0" borderId="22" xfId="0" applyNumberFormat="1" applyBorder="1" applyAlignment="1">
      <alignment horizontal="center" vertical="center"/>
    </xf>
    <xf numFmtId="176" fontId="0" fillId="5" borderId="22" xfId="0" applyNumberFormat="1" applyFill="1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0" xfId="0" applyFont="1"/>
    <xf numFmtId="0" fontId="0" fillId="6" borderId="10" xfId="0" applyFill="1" applyBorder="1"/>
    <xf numFmtId="177" fontId="0" fillId="0" borderId="10" xfId="0" applyNumberFormat="1" applyBorder="1"/>
    <xf numFmtId="178" fontId="0" fillId="0" borderId="10" xfId="0" applyNumberFormat="1" applyBorder="1"/>
    <xf numFmtId="179" fontId="0" fillId="6" borderId="10" xfId="0" applyNumberFormat="1" applyFill="1" applyBorder="1"/>
    <xf numFmtId="179" fontId="0" fillId="0" borderId="10" xfId="0" applyNumberFormat="1" applyBorder="1"/>
    <xf numFmtId="179" fontId="0" fillId="0" borderId="0" xfId="0" applyNumberFormat="1" applyFill="1"/>
    <xf numFmtId="179" fontId="0" fillId="0" borderId="0" xfId="0" applyNumberFormat="1"/>
    <xf numFmtId="0" fontId="0" fillId="0" borderId="36" xfId="0" applyBorder="1"/>
    <xf numFmtId="179" fontId="0" fillId="6" borderId="36" xfId="0" applyNumberFormat="1" applyFill="1" applyBorder="1"/>
    <xf numFmtId="0" fontId="8" fillId="0" borderId="14" xfId="0" applyFont="1" applyBorder="1"/>
    <xf numFmtId="179" fontId="12" fillId="0" borderId="1" xfId="0" applyNumberFormat="1" applyFont="1" applyBorder="1"/>
    <xf numFmtId="0" fontId="0" fillId="0" borderId="0" xfId="0" applyBorder="1" applyAlignment="1"/>
    <xf numFmtId="2" fontId="5" fillId="0" borderId="0" xfId="0" applyNumberFormat="1" applyFont="1"/>
    <xf numFmtId="185" fontId="0" fillId="0" borderId="0" xfId="0" applyNumberFormat="1" applyBorder="1" applyAlignment="1"/>
    <xf numFmtId="185" fontId="12" fillId="5" borderId="1" xfId="0" applyNumberFormat="1" applyFont="1" applyFill="1" applyBorder="1" applyAlignment="1"/>
    <xf numFmtId="0" fontId="13" fillId="0" borderId="0" xfId="0" applyFont="1"/>
    <xf numFmtId="186" fontId="0" fillId="0" borderId="0" xfId="0" applyNumberFormat="1" applyFont="1" applyAlignment="1"/>
    <xf numFmtId="0" fontId="12" fillId="0" borderId="0" xfId="0" applyFont="1"/>
    <xf numFmtId="0" fontId="14" fillId="0" borderId="0" xfId="0" applyFont="1"/>
    <xf numFmtId="183" fontId="12" fillId="5" borderId="1" xfId="0" applyNumberFormat="1" applyFont="1" applyFill="1" applyBorder="1"/>
    <xf numFmtId="179" fontId="8" fillId="5" borderId="41" xfId="0" applyNumberFormat="1" applyFont="1" applyFill="1" applyBorder="1"/>
    <xf numFmtId="201" fontId="0" fillId="0" borderId="0" xfId="0" applyNumberFormat="1"/>
    <xf numFmtId="0" fontId="15" fillId="0" borderId="0" xfId="0" applyFont="1"/>
    <xf numFmtId="203" fontId="16" fillId="0" borderId="0" xfId="0" applyNumberFormat="1" applyFont="1"/>
    <xf numFmtId="204" fontId="16" fillId="0" borderId="0" xfId="0" applyNumberFormat="1" applyFont="1"/>
    <xf numFmtId="205" fontId="16" fillId="0" borderId="0" xfId="0" applyNumberFormat="1" applyFont="1"/>
    <xf numFmtId="0" fontId="0" fillId="5" borderId="41" xfId="0" applyFill="1" applyBorder="1"/>
    <xf numFmtId="0" fontId="12" fillId="5" borderId="41" xfId="0" applyFont="1" applyFill="1" applyBorder="1"/>
    <xf numFmtId="207" fontId="16" fillId="0" borderId="0" xfId="0" applyNumberFormat="1" applyFont="1"/>
    <xf numFmtId="0" fontId="18" fillId="0" borderId="0" xfId="0" applyFont="1"/>
    <xf numFmtId="0" fontId="19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80" fontId="16" fillId="0" borderId="0" xfId="0" applyNumberFormat="1" applyFont="1"/>
    <xf numFmtId="184" fontId="16" fillId="0" borderId="0" xfId="0" applyNumberFormat="1" applyFont="1"/>
    <xf numFmtId="171" fontId="16" fillId="0" borderId="0" xfId="0" applyNumberFormat="1" applyFont="1"/>
    <xf numFmtId="174" fontId="16" fillId="0" borderId="0" xfId="0" applyNumberFormat="1" applyFont="1"/>
    <xf numFmtId="181" fontId="16" fillId="0" borderId="0" xfId="0" applyNumberFormat="1" applyFont="1"/>
    <xf numFmtId="172" fontId="16" fillId="0" borderId="0" xfId="0" applyNumberFormat="1" applyFont="1"/>
    <xf numFmtId="173" fontId="16" fillId="0" borderId="0" xfId="0" applyNumberFormat="1" applyFont="1"/>
    <xf numFmtId="182" fontId="16" fillId="0" borderId="0" xfId="0" applyNumberFormat="1" applyFont="1"/>
    <xf numFmtId="0" fontId="16" fillId="0" borderId="0" xfId="0" applyFont="1"/>
    <xf numFmtId="209" fontId="20" fillId="5" borderId="41" xfId="0" applyNumberFormat="1" applyFont="1" applyFill="1" applyBorder="1"/>
    <xf numFmtId="0" fontId="15" fillId="7" borderId="0" xfId="0" applyFont="1" applyFill="1"/>
    <xf numFmtId="194" fontId="0" fillId="7" borderId="1" xfId="0" applyNumberFormat="1" applyFill="1" applyBorder="1"/>
    <xf numFmtId="198" fontId="0" fillId="7" borderId="1" xfId="0" applyNumberFormat="1" applyFill="1" applyBorder="1"/>
    <xf numFmtId="0" fontId="0" fillId="7" borderId="1" xfId="0" applyFill="1" applyBorder="1"/>
    <xf numFmtId="0" fontId="12" fillId="7" borderId="1" xfId="0" applyFont="1" applyFill="1" applyBorder="1"/>
    <xf numFmtId="198" fontId="12" fillId="7" borderId="1" xfId="0" applyNumberFormat="1" applyFont="1" applyFill="1" applyBorder="1"/>
    <xf numFmtId="202" fontId="17" fillId="7" borderId="1" xfId="0" applyNumberFormat="1" applyFont="1" applyFill="1" applyBorder="1"/>
    <xf numFmtId="211" fontId="0" fillId="0" borderId="0" xfId="0" applyNumberFormat="1" applyAlignment="1"/>
    <xf numFmtId="0" fontId="5" fillId="0" borderId="0" xfId="0" applyFont="1" applyBorder="1" applyAlignment="1">
      <alignment horizontal="left"/>
    </xf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/>
    </xf>
    <xf numFmtId="0" fontId="23" fillId="0" borderId="0" xfId="0" applyFont="1" applyAlignment="1">
      <alignment horizontal="right"/>
    </xf>
    <xf numFmtId="2" fontId="23" fillId="3" borderId="0" xfId="0" applyNumberFormat="1" applyFont="1" applyFill="1" applyAlignment="1">
      <alignment horizontal="center" vertical="center"/>
    </xf>
    <xf numFmtId="0" fontId="26" fillId="0" borderId="0" xfId="0" applyFont="1" applyAlignment="1">
      <alignment horizontal="right"/>
    </xf>
    <xf numFmtId="2" fontId="0" fillId="0" borderId="0" xfId="0" applyNumberFormat="1" applyFill="1"/>
    <xf numFmtId="0" fontId="27" fillId="0" borderId="0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/>
    </xf>
    <xf numFmtId="0" fontId="27" fillId="0" borderId="27" xfId="0" applyFont="1" applyBorder="1" applyAlignment="1">
      <alignment horizontal="center"/>
    </xf>
    <xf numFmtId="0" fontId="0" fillId="0" borderId="28" xfId="0" applyBorder="1"/>
    <xf numFmtId="2" fontId="0" fillId="0" borderId="28" xfId="0" applyNumberFormat="1" applyBorder="1" applyAlignment="1">
      <alignment horizontal="center"/>
    </xf>
    <xf numFmtId="210" fontId="0" fillId="0" borderId="28" xfId="0" applyNumberFormat="1" applyBorder="1"/>
    <xf numFmtId="2" fontId="0" fillId="0" borderId="28" xfId="0" applyNumberFormat="1" applyBorder="1"/>
    <xf numFmtId="2" fontId="0" fillId="0" borderId="29" xfId="0" applyNumberFormat="1" applyBorder="1"/>
    <xf numFmtId="0" fontId="27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10" fontId="0" fillId="0" borderId="0" xfId="0" applyNumberFormat="1" applyBorder="1"/>
    <xf numFmtId="2" fontId="0" fillId="0" borderId="0" xfId="0" applyNumberFormat="1" applyBorder="1"/>
    <xf numFmtId="0" fontId="27" fillId="0" borderId="30" xfId="0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10" fontId="0" fillId="0" borderId="10" xfId="0" applyNumberFormat="1" applyBorder="1"/>
    <xf numFmtId="2" fontId="0" fillId="0" borderId="31" xfId="0" applyNumberFormat="1" applyBorder="1"/>
    <xf numFmtId="211" fontId="0" fillId="0" borderId="10" xfId="0" applyNumberFormat="1" applyBorder="1"/>
    <xf numFmtId="211" fontId="0" fillId="0" borderId="0" xfId="0" applyNumberFormat="1" applyBorder="1"/>
    <xf numFmtId="0" fontId="27" fillId="0" borderId="32" xfId="0" applyFont="1" applyBorder="1" applyAlignment="1">
      <alignment horizontal="center"/>
    </xf>
    <xf numFmtId="0" fontId="0" fillId="0" borderId="33" xfId="0" applyBorder="1"/>
    <xf numFmtId="2" fontId="0" fillId="0" borderId="33" xfId="0" applyNumberFormat="1" applyBorder="1" applyAlignment="1">
      <alignment horizontal="center"/>
    </xf>
    <xf numFmtId="211" fontId="0" fillId="0" borderId="33" xfId="0" applyNumberFormat="1" applyBorder="1"/>
    <xf numFmtId="2" fontId="0" fillId="0" borderId="33" xfId="0" applyNumberFormat="1" applyBorder="1"/>
    <xf numFmtId="2" fontId="0" fillId="0" borderId="34" xfId="0" applyNumberFormat="1" applyBorder="1"/>
    <xf numFmtId="2" fontId="26" fillId="0" borderId="0" xfId="0" applyNumberFormat="1" applyFont="1" applyBorder="1" applyAlignment="1">
      <alignment horizontal="right"/>
    </xf>
    <xf numFmtId="0" fontId="26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27" fillId="0" borderId="0" xfId="0" applyFont="1" applyAlignment="1">
      <alignment horizontal="right"/>
    </xf>
    <xf numFmtId="4" fontId="33" fillId="0" borderId="0" xfId="0" applyNumberFormat="1" applyFont="1"/>
    <xf numFmtId="0" fontId="27" fillId="0" borderId="0" xfId="0" applyFont="1"/>
    <xf numFmtId="3" fontId="33" fillId="0" borderId="0" xfId="0" applyNumberFormat="1" applyFont="1"/>
    <xf numFmtId="0" fontId="0" fillId="0" borderId="0" xfId="0" applyAlignment="1">
      <alignment horizontal="center"/>
    </xf>
    <xf numFmtId="0" fontId="22" fillId="0" borderId="0" xfId="0" applyFont="1"/>
    <xf numFmtId="0" fontId="0" fillId="0" borderId="0" xfId="0" applyFill="1" applyBorder="1"/>
    <xf numFmtId="4" fontId="27" fillId="0" borderId="0" xfId="0" applyNumberFormat="1" applyFont="1" applyFill="1" applyBorder="1" applyAlignment="1">
      <alignment horizontal="center"/>
    </xf>
    <xf numFmtId="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" fontId="34" fillId="0" borderId="0" xfId="0" applyNumberFormat="1" applyFont="1" applyFill="1" applyBorder="1" applyAlignment="1">
      <alignment horizontal="center"/>
    </xf>
    <xf numFmtId="4" fontId="35" fillId="0" borderId="0" xfId="0" applyNumberFormat="1" applyFont="1" applyFill="1" applyBorder="1" applyAlignment="1">
      <alignment horizontal="center"/>
    </xf>
    <xf numFmtId="2" fontId="35" fillId="8" borderId="0" xfId="0" applyNumberFormat="1" applyFont="1" applyFill="1" applyBorder="1" applyAlignment="1">
      <alignment horizontal="center"/>
    </xf>
    <xf numFmtId="4" fontId="0" fillId="0" borderId="0" xfId="0" applyNumberFormat="1" applyFill="1" applyAlignment="1">
      <alignment horizontal="center"/>
    </xf>
    <xf numFmtId="2" fontId="2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2" fontId="37" fillId="0" borderId="0" xfId="0" applyNumberFormat="1" applyFont="1" applyAlignment="1">
      <alignment horizontal="center"/>
    </xf>
    <xf numFmtId="4" fontId="38" fillId="0" borderId="0" xfId="0" applyNumberFormat="1" applyFont="1" applyAlignment="1">
      <alignment horizontal="center"/>
    </xf>
    <xf numFmtId="4" fontId="39" fillId="0" borderId="0" xfId="0" applyNumberFormat="1" applyFont="1" applyFill="1" applyAlignment="1">
      <alignment horizontal="center"/>
    </xf>
    <xf numFmtId="2" fontId="27" fillId="0" borderId="1" xfId="0" applyNumberFormat="1" applyFont="1" applyBorder="1" applyAlignment="1">
      <alignment horizontal="center"/>
    </xf>
    <xf numFmtId="2" fontId="40" fillId="0" borderId="1" xfId="0" applyNumberFormat="1" applyFont="1" applyBorder="1" applyAlignment="1">
      <alignment horizontal="center"/>
    </xf>
    <xf numFmtId="2" fontId="40" fillId="0" borderId="21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" fontId="41" fillId="0" borderId="0" xfId="0" applyNumberFormat="1" applyFont="1" applyBorder="1" applyAlignment="1">
      <alignment horizontal="center"/>
    </xf>
    <xf numFmtId="2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2" fontId="9" fillId="0" borderId="0" xfId="0" applyNumberFormat="1" applyFont="1" applyFill="1" applyAlignment="1">
      <alignment horizontal="center"/>
    </xf>
    <xf numFmtId="4" fontId="37" fillId="4" borderId="0" xfId="0" applyNumberFormat="1" applyFont="1" applyFill="1" applyAlignment="1">
      <alignment horizontal="center"/>
    </xf>
    <xf numFmtId="4" fontId="9" fillId="0" borderId="0" xfId="0" applyNumberFormat="1" applyFont="1" applyFill="1" applyBorder="1" applyAlignment="1">
      <alignment horizontal="center"/>
    </xf>
    <xf numFmtId="1" fontId="26" fillId="0" borderId="0" xfId="0" applyNumberFormat="1" applyFont="1" applyFill="1" applyBorder="1" applyAlignment="1">
      <alignment horizontal="center"/>
    </xf>
    <xf numFmtId="4" fontId="9" fillId="0" borderId="0" xfId="0" applyNumberFormat="1" applyFont="1" applyFill="1" applyAlignment="1">
      <alignment horizontal="center"/>
    </xf>
    <xf numFmtId="2" fontId="9" fillId="0" borderId="0" xfId="0" applyNumberFormat="1" applyFont="1" applyBorder="1" applyAlignment="1">
      <alignment horizontal="center"/>
    </xf>
    <xf numFmtId="4" fontId="26" fillId="0" borderId="0" xfId="0" applyNumberFormat="1" applyFont="1" applyFill="1" applyBorder="1" applyAlignment="1">
      <alignment horizontal="center"/>
    </xf>
    <xf numFmtId="4" fontId="42" fillId="0" borderId="0" xfId="0" applyNumberFormat="1" applyFont="1" applyFill="1" applyBorder="1" applyAlignment="1">
      <alignment horizontal="center"/>
    </xf>
    <xf numFmtId="2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2" fontId="35" fillId="0" borderId="0" xfId="0" applyNumberFormat="1" applyFont="1" applyFill="1" applyBorder="1" applyAlignment="1">
      <alignment horizontal="center"/>
    </xf>
    <xf numFmtId="0" fontId="43" fillId="0" borderId="0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2" fontId="37" fillId="0" borderId="0" xfId="0" applyNumberFormat="1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center"/>
    </xf>
    <xf numFmtId="1" fontId="42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44" fillId="0" borderId="0" xfId="0" applyNumberFormat="1" applyFont="1" applyBorder="1" applyAlignment="1">
      <alignment horizontal="center"/>
    </xf>
    <xf numFmtId="2" fontId="44" fillId="0" borderId="0" xfId="0" applyNumberFormat="1" applyFont="1" applyFill="1" applyBorder="1" applyAlignment="1">
      <alignment horizontal="center"/>
    </xf>
    <xf numFmtId="0" fontId="45" fillId="0" borderId="0" xfId="0" applyFont="1" applyFill="1" applyBorder="1" applyAlignment="1">
      <alignment horizontal="center"/>
    </xf>
    <xf numFmtId="0" fontId="45" fillId="0" borderId="0" xfId="0" applyFont="1"/>
    <xf numFmtId="2" fontId="40" fillId="0" borderId="0" xfId="0" applyNumberFormat="1" applyFont="1" applyBorder="1" applyAlignment="1">
      <alignment horizontal="center"/>
    </xf>
    <xf numFmtId="0" fontId="46" fillId="0" borderId="0" xfId="0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2" fontId="47" fillId="0" borderId="0" xfId="0" applyNumberFormat="1" applyFont="1" applyFill="1" applyBorder="1" applyAlignment="1">
      <alignment horizontal="center"/>
    </xf>
    <xf numFmtId="4" fontId="37" fillId="0" borderId="0" xfId="0" applyNumberFormat="1" applyFont="1" applyFill="1" applyBorder="1" applyAlignment="1">
      <alignment horizontal="center"/>
    </xf>
    <xf numFmtId="212" fontId="26" fillId="0" borderId="0" xfId="0" applyNumberFormat="1" applyFont="1" applyFill="1" applyBorder="1" applyAlignment="1">
      <alignment horizontal="center"/>
    </xf>
    <xf numFmtId="211" fontId="9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13" fontId="0" fillId="0" borderId="0" xfId="0" applyNumberFormat="1" applyFont="1" applyAlignment="1">
      <alignment horizontal="center"/>
    </xf>
    <xf numFmtId="210" fontId="0" fillId="0" borderId="0" xfId="0" applyNumberFormat="1" applyBorder="1" applyAlignment="1"/>
    <xf numFmtId="0" fontId="7" fillId="0" borderId="0" xfId="0" applyFont="1" applyBorder="1" applyAlignment="1">
      <alignment vertical="center"/>
    </xf>
    <xf numFmtId="0" fontId="22" fillId="0" borderId="0" xfId="0" applyFont="1" applyBorder="1" applyAlignment="1">
      <alignment horizontal="left"/>
    </xf>
    <xf numFmtId="0" fontId="50" fillId="0" borderId="0" xfId="0" applyFont="1" applyBorder="1" applyAlignment="1">
      <alignment horizontal="left"/>
    </xf>
    <xf numFmtId="0" fontId="51" fillId="0" borderId="0" xfId="0" applyFont="1"/>
    <xf numFmtId="0" fontId="32" fillId="0" borderId="23" xfId="0" applyFont="1" applyBorder="1"/>
    <xf numFmtId="0" fontId="0" fillId="0" borderId="24" xfId="0" applyBorder="1"/>
    <xf numFmtId="0" fontId="0" fillId="0" borderId="23" xfId="0" applyBorder="1"/>
    <xf numFmtId="0" fontId="0" fillId="0" borderId="52" xfId="0" applyBorder="1"/>
    <xf numFmtId="0" fontId="52" fillId="0" borderId="0" xfId="0" applyFont="1" applyBorder="1" applyAlignment="1">
      <alignment horizontal="center"/>
    </xf>
    <xf numFmtId="0" fontId="52" fillId="0" borderId="53" xfId="0" applyFont="1" applyBorder="1" applyAlignment="1">
      <alignment horizontal="center"/>
    </xf>
    <xf numFmtId="0" fontId="26" fillId="0" borderId="52" xfId="0" applyFont="1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25" xfId="0" applyBorder="1"/>
    <xf numFmtId="0" fontId="0" fillId="0" borderId="2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5" xfId="0" applyBorder="1" applyAlignment="1">
      <alignment horizontal="center"/>
    </xf>
    <xf numFmtId="0" fontId="53" fillId="0" borderId="0" xfId="0" applyFont="1"/>
    <xf numFmtId="0" fontId="48" fillId="0" borderId="0" xfId="0" applyFont="1"/>
    <xf numFmtId="0" fontId="54" fillId="0" borderId="0" xfId="0" applyFont="1"/>
    <xf numFmtId="0" fontId="55" fillId="0" borderId="23" xfId="0" applyFont="1" applyBorder="1" applyAlignment="1">
      <alignment horizontal="right"/>
    </xf>
    <xf numFmtId="0" fontId="0" fillId="0" borderId="51" xfId="0" applyBorder="1"/>
    <xf numFmtId="0" fontId="56" fillId="0" borderId="52" xfId="0" applyFont="1" applyBorder="1" applyAlignment="1">
      <alignment horizontal="right"/>
    </xf>
    <xf numFmtId="4" fontId="0" fillId="0" borderId="0" xfId="0" applyNumberFormat="1" applyBorder="1"/>
    <xf numFmtId="0" fontId="0" fillId="0" borderId="53" xfId="0" applyBorder="1"/>
    <xf numFmtId="2" fontId="0" fillId="0" borderId="0" xfId="0" applyNumberFormat="1"/>
    <xf numFmtId="0" fontId="49" fillId="0" borderId="52" xfId="0" applyFont="1" applyBorder="1" applyAlignment="1">
      <alignment horizontal="right"/>
    </xf>
    <xf numFmtId="214" fontId="27" fillId="0" borderId="0" xfId="0" applyNumberFormat="1" applyFont="1"/>
    <xf numFmtId="2" fontId="27" fillId="0" borderId="0" xfId="0" applyNumberFormat="1" applyFont="1"/>
    <xf numFmtId="0" fontId="57" fillId="0" borderId="52" xfId="0" applyFont="1" applyBorder="1" applyAlignment="1">
      <alignment horizontal="right"/>
    </xf>
    <xf numFmtId="0" fontId="41" fillId="0" borderId="0" xfId="0" applyFont="1" applyBorder="1"/>
    <xf numFmtId="0" fontId="41" fillId="0" borderId="53" xfId="0" applyFont="1" applyBorder="1"/>
    <xf numFmtId="0" fontId="58" fillId="0" borderId="52" xfId="0" applyFont="1" applyBorder="1" applyAlignment="1">
      <alignment horizontal="right"/>
    </xf>
    <xf numFmtId="215" fontId="27" fillId="0" borderId="0" xfId="0" applyNumberFormat="1" applyFont="1" applyBorder="1"/>
    <xf numFmtId="215" fontId="0" fillId="0" borderId="0" xfId="0" applyNumberFormat="1" applyBorder="1"/>
    <xf numFmtId="0" fontId="49" fillId="0" borderId="25" xfId="0" applyFont="1" applyBorder="1" applyAlignment="1">
      <alignment horizontal="right"/>
    </xf>
    <xf numFmtId="215" fontId="27" fillId="0" borderId="26" xfId="0" applyNumberFormat="1" applyFont="1" applyBorder="1"/>
    <xf numFmtId="0" fontId="49" fillId="0" borderId="0" xfId="0" applyFont="1" applyFill="1" applyBorder="1" applyAlignment="1">
      <alignment horizontal="left"/>
    </xf>
    <xf numFmtId="0" fontId="49" fillId="0" borderId="0" xfId="0" applyFont="1" applyFill="1" applyBorder="1" applyAlignment="1">
      <alignment horizontal="right"/>
    </xf>
    <xf numFmtId="215" fontId="0" fillId="0" borderId="0" xfId="0" applyNumberFormat="1"/>
    <xf numFmtId="215" fontId="26" fillId="0" borderId="0" xfId="0" applyNumberFormat="1" applyFont="1"/>
    <xf numFmtId="215" fontId="27" fillId="0" borderId="0" xfId="0" applyNumberFormat="1" applyFont="1"/>
    <xf numFmtId="2" fontId="38" fillId="0" borderId="0" xfId="0" applyNumberFormat="1" applyFont="1"/>
    <xf numFmtId="0" fontId="38" fillId="0" borderId="0" xfId="0" applyFont="1"/>
    <xf numFmtId="2" fontId="60" fillId="0" borderId="0" xfId="0" applyNumberFormat="1" applyFont="1"/>
    <xf numFmtId="0" fontId="60" fillId="0" borderId="0" xfId="0" applyFont="1"/>
    <xf numFmtId="0" fontId="49" fillId="0" borderId="0" xfId="0" applyFont="1"/>
    <xf numFmtId="0" fontId="49" fillId="0" borderId="0" xfId="0" applyFont="1" applyAlignment="1">
      <alignment horizontal="right"/>
    </xf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9" fillId="0" borderId="0" xfId="0" applyFont="1" applyBorder="1"/>
    <xf numFmtId="0" fontId="7" fillId="9" borderId="2" xfId="0" applyFont="1" applyFill="1" applyBorder="1"/>
    <xf numFmtId="0" fontId="9" fillId="9" borderId="4" xfId="0" applyFont="1" applyFill="1" applyBorder="1"/>
    <xf numFmtId="0" fontId="66" fillId="9" borderId="5" xfId="0" applyFont="1" applyFill="1" applyBorder="1" applyAlignment="1">
      <alignment horizontal="center"/>
    </xf>
    <xf numFmtId="0" fontId="9" fillId="9" borderId="6" xfId="0" applyFont="1" applyFill="1" applyBorder="1"/>
    <xf numFmtId="0" fontId="9" fillId="9" borderId="5" xfId="0" applyFont="1" applyFill="1" applyBorder="1"/>
    <xf numFmtId="0" fontId="66" fillId="9" borderId="6" xfId="0" applyFont="1" applyFill="1" applyBorder="1" applyAlignment="1">
      <alignment horizontal="right"/>
    </xf>
    <xf numFmtId="0" fontId="9" fillId="9" borderId="7" xfId="0" applyFont="1" applyFill="1" applyBorder="1"/>
    <xf numFmtId="0" fontId="66" fillId="9" borderId="9" xfId="0" applyFont="1" applyFill="1" applyBorder="1" applyAlignment="1">
      <alignment horizontal="center"/>
    </xf>
    <xf numFmtId="0" fontId="66" fillId="9" borderId="7" xfId="0" applyFont="1" applyFill="1" applyBorder="1" applyAlignment="1">
      <alignment horizontal="right"/>
    </xf>
    <xf numFmtId="0" fontId="9" fillId="9" borderId="9" xfId="0" applyFont="1" applyFill="1" applyBorder="1"/>
    <xf numFmtId="0" fontId="7" fillId="0" borderId="23" xfId="0" applyFont="1" applyBorder="1"/>
    <xf numFmtId="0" fontId="9" fillId="0" borderId="24" xfId="0" applyFont="1" applyBorder="1"/>
    <xf numFmtId="0" fontId="9" fillId="0" borderId="51" xfId="0" applyFont="1" applyBorder="1"/>
    <xf numFmtId="0" fontId="7" fillId="0" borderId="52" xfId="0" applyFont="1" applyBorder="1"/>
    <xf numFmtId="0" fontId="7" fillId="0" borderId="53" xfId="0" applyFont="1" applyBorder="1"/>
    <xf numFmtId="0" fontId="7" fillId="0" borderId="25" xfId="0" applyFont="1" applyBorder="1"/>
    <xf numFmtId="0" fontId="9" fillId="0" borderId="26" xfId="0" applyFont="1" applyBorder="1"/>
    <xf numFmtId="0" fontId="7" fillId="0" borderId="15" xfId="0" applyFont="1" applyBorder="1"/>
    <xf numFmtId="0" fontId="7" fillId="0" borderId="0" xfId="0" applyFont="1" applyBorder="1"/>
    <xf numFmtId="2" fontId="9" fillId="0" borderId="0" xfId="0" applyNumberFormat="1" applyFont="1" applyBorder="1"/>
    <xf numFmtId="0" fontId="7" fillId="0" borderId="24" xfId="0" applyFont="1" applyBorder="1"/>
    <xf numFmtId="0" fontId="7" fillId="0" borderId="51" xfId="0" applyFont="1" applyBorder="1"/>
    <xf numFmtId="0" fontId="7" fillId="0" borderId="26" xfId="0" applyFont="1" applyBorder="1"/>
    <xf numFmtId="216" fontId="7" fillId="0" borderId="25" xfId="0" applyNumberFormat="1" applyFont="1" applyBorder="1" applyAlignment="1">
      <alignment horizontal="left"/>
    </xf>
    <xf numFmtId="0" fontId="7" fillId="0" borderId="22" xfId="0" applyFont="1" applyBorder="1"/>
    <xf numFmtId="0" fontId="9" fillId="0" borderId="54" xfId="0" applyFont="1" applyBorder="1"/>
    <xf numFmtId="0" fontId="9" fillId="0" borderId="16" xfId="0" applyFont="1" applyBorder="1"/>
    <xf numFmtId="0" fontId="9" fillId="0" borderId="52" xfId="0" applyFont="1" applyBorder="1"/>
    <xf numFmtId="0" fontId="9" fillId="0" borderId="53" xfId="0" applyFont="1" applyBorder="1"/>
    <xf numFmtId="0" fontId="9" fillId="0" borderId="23" xfId="0" applyFont="1" applyBorder="1"/>
    <xf numFmtId="0" fontId="67" fillId="0" borderId="52" xfId="0" applyFont="1" applyBorder="1"/>
    <xf numFmtId="2" fontId="9" fillId="0" borderId="26" xfId="0" applyNumberFormat="1" applyFont="1" applyBorder="1"/>
    <xf numFmtId="0" fontId="9" fillId="0" borderId="15" xfId="0" applyFont="1" applyBorder="1"/>
    <xf numFmtId="0" fontId="9" fillId="0" borderId="52" xfId="0" applyFont="1" applyFill="1" applyBorder="1"/>
    <xf numFmtId="0" fontId="9" fillId="0" borderId="0" xfId="0" applyFont="1" applyBorder="1" applyAlignment="1">
      <alignment horizontal="right"/>
    </xf>
    <xf numFmtId="0" fontId="7" fillId="0" borderId="25" xfId="0" applyFont="1" applyFill="1" applyBorder="1"/>
    <xf numFmtId="0" fontId="7" fillId="0" borderId="23" xfId="0" applyFont="1" applyFill="1" applyBorder="1"/>
    <xf numFmtId="0" fontId="7" fillId="0" borderId="52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9" fillId="0" borderId="25" xfId="0" applyFont="1" applyBorder="1"/>
    <xf numFmtId="0" fontId="7" fillId="0" borderId="52" xfId="0" applyFont="1" applyBorder="1" applyAlignment="1">
      <alignment horizontal="right"/>
    </xf>
    <xf numFmtId="0" fontId="7" fillId="0" borderId="51" xfId="0" applyFont="1" applyBorder="1" applyAlignment="1">
      <alignment horizontal="left"/>
    </xf>
    <xf numFmtId="0" fontId="28" fillId="0" borderId="52" xfId="0" applyFont="1" applyBorder="1"/>
    <xf numFmtId="215" fontId="9" fillId="0" borderId="0" xfId="0" applyNumberFormat="1" applyFont="1" applyBorder="1"/>
    <xf numFmtId="0" fontId="7" fillId="0" borderId="25" xfId="0" applyFont="1" applyBorder="1" applyAlignment="1">
      <alignment horizontal="right"/>
    </xf>
    <xf numFmtId="0" fontId="7" fillId="0" borderId="27" xfId="0" applyFont="1" applyBorder="1"/>
    <xf numFmtId="0" fontId="9" fillId="0" borderId="28" xfId="0" applyFont="1" applyBorder="1"/>
    <xf numFmtId="0" fontId="9" fillId="0" borderId="29" xfId="0" applyFont="1" applyBorder="1"/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7" fillId="0" borderId="30" xfId="0" applyFont="1" applyBorder="1" applyAlignment="1">
      <alignment horizontal="right"/>
    </xf>
    <xf numFmtId="0" fontId="9" fillId="0" borderId="10" xfId="0" applyFont="1" applyBorder="1"/>
    <xf numFmtId="0" fontId="7" fillId="0" borderId="31" xfId="0" applyFont="1" applyBorder="1"/>
    <xf numFmtId="49" fontId="9" fillId="0" borderId="30" xfId="0" applyNumberFormat="1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31" xfId="0" applyFont="1" applyBorder="1" applyAlignment="1">
      <alignment horizontal="center"/>
    </xf>
    <xf numFmtId="2" fontId="9" fillId="0" borderId="10" xfId="0" applyNumberFormat="1" applyFont="1" applyBorder="1"/>
    <xf numFmtId="0" fontId="7" fillId="0" borderId="32" xfId="0" applyFont="1" applyBorder="1" applyAlignment="1">
      <alignment horizontal="right"/>
    </xf>
    <xf numFmtId="2" fontId="9" fillId="0" borderId="33" xfId="0" applyNumberFormat="1" applyFont="1" applyBorder="1"/>
    <xf numFmtId="0" fontId="7" fillId="0" borderId="34" xfId="0" applyFont="1" applyBorder="1"/>
    <xf numFmtId="12" fontId="9" fillId="0" borderId="31" xfId="0" applyNumberFormat="1" applyFont="1" applyBorder="1" applyAlignment="1">
      <alignment horizontal="center"/>
    </xf>
    <xf numFmtId="0" fontId="7" fillId="0" borderId="2" xfId="0" applyFont="1" applyFill="1" applyBorder="1" applyAlignment="1">
      <alignment horizontal="left"/>
    </xf>
    <xf numFmtId="0" fontId="9" fillId="0" borderId="3" xfId="0" applyFont="1" applyBorder="1"/>
    <xf numFmtId="0" fontId="9" fillId="0" borderId="4" xfId="0" applyFont="1" applyBorder="1"/>
    <xf numFmtId="0" fontId="9" fillId="0" borderId="5" xfId="0" applyFont="1" applyBorder="1"/>
    <xf numFmtId="0" fontId="9" fillId="0" borderId="6" xfId="0" applyFont="1" applyBorder="1"/>
    <xf numFmtId="0" fontId="9" fillId="0" borderId="30" xfId="0" applyNumberFormat="1" applyFont="1" applyBorder="1" applyAlignment="1">
      <alignment horizontal="center"/>
    </xf>
    <xf numFmtId="0" fontId="9" fillId="0" borderId="7" xfId="0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31" xfId="0" applyFont="1" applyBorder="1"/>
    <xf numFmtId="0" fontId="7" fillId="0" borderId="2" xfId="0" applyFont="1" applyBorder="1"/>
    <xf numFmtId="49" fontId="9" fillId="0" borderId="32" xfId="0" applyNumberFormat="1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9" fillId="0" borderId="33" xfId="0" applyFont="1" applyBorder="1"/>
    <xf numFmtId="0" fontId="9" fillId="0" borderId="34" xfId="0" applyFont="1" applyBorder="1"/>
    <xf numFmtId="0" fontId="7" fillId="0" borderId="5" xfId="0" applyFont="1" applyBorder="1"/>
    <xf numFmtId="0" fontId="7" fillId="0" borderId="6" xfId="0" applyFont="1" applyBorder="1"/>
    <xf numFmtId="49" fontId="9" fillId="0" borderId="0" xfId="0" applyNumberFormat="1" applyFont="1" applyBorder="1" applyAlignment="1">
      <alignment horizontal="center"/>
    </xf>
    <xf numFmtId="0" fontId="9" fillId="4" borderId="55" xfId="0" applyFont="1" applyFill="1" applyBorder="1" applyAlignment="1">
      <alignment horizontal="center"/>
    </xf>
    <xf numFmtId="0" fontId="9" fillId="0" borderId="26" xfId="0" applyFont="1" applyBorder="1" applyAlignment="1">
      <alignment horizontal="center"/>
    </xf>
    <xf numFmtId="2" fontId="9" fillId="0" borderId="56" xfId="0" applyNumberFormat="1" applyFont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7" fillId="0" borderId="57" xfId="0" applyFont="1" applyBorder="1"/>
    <xf numFmtId="0" fontId="9" fillId="0" borderId="58" xfId="0" applyFont="1" applyBorder="1"/>
    <xf numFmtId="2" fontId="9" fillId="0" borderId="58" xfId="0" applyNumberFormat="1" applyFont="1" applyBorder="1"/>
    <xf numFmtId="0" fontId="9" fillId="0" borderId="59" xfId="0" applyFont="1" applyBorder="1"/>
    <xf numFmtId="0" fontId="28" fillId="0" borderId="2" xfId="0" applyFont="1" applyBorder="1" applyAlignment="1">
      <alignment horizontal="right"/>
    </xf>
    <xf numFmtId="0" fontId="9" fillId="0" borderId="3" xfId="0" applyFont="1" applyBorder="1" applyAlignment="1">
      <alignment horizontal="center"/>
    </xf>
    <xf numFmtId="12" fontId="9" fillId="0" borderId="0" xfId="0" applyNumberFormat="1" applyFont="1" applyBorder="1" applyAlignment="1">
      <alignment horizontal="center"/>
    </xf>
    <xf numFmtId="0" fontId="28" fillId="0" borderId="5" xfId="0" applyFont="1" applyFill="1" applyBorder="1" applyAlignment="1">
      <alignment horizontal="right"/>
    </xf>
    <xf numFmtId="0" fontId="7" fillId="0" borderId="14" xfId="0" applyFont="1" applyBorder="1" applyAlignment="1">
      <alignment horizontal="right"/>
    </xf>
    <xf numFmtId="0" fontId="9" fillId="0" borderId="20" xfId="0" applyFont="1" applyBorder="1"/>
    <xf numFmtId="0" fontId="9" fillId="0" borderId="21" xfId="0" applyFont="1" applyBorder="1"/>
    <xf numFmtId="0" fontId="7" fillId="0" borderId="5" xfId="0" applyFont="1" applyBorder="1" applyAlignment="1">
      <alignment horizontal="right"/>
    </xf>
    <xf numFmtId="2" fontId="9" fillId="0" borderId="0" xfId="0" applyNumberFormat="1" applyFont="1" applyBorder="1" applyAlignment="1">
      <alignment horizontal="left"/>
    </xf>
    <xf numFmtId="0" fontId="7" fillId="0" borderId="7" xfId="0" applyFont="1" applyBorder="1" applyAlignment="1">
      <alignment horizontal="right"/>
    </xf>
    <xf numFmtId="2" fontId="9" fillId="0" borderId="8" xfId="0" applyNumberFormat="1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9" fillId="0" borderId="2" xfId="0" applyFont="1" applyBorder="1"/>
    <xf numFmtId="0" fontId="9" fillId="0" borderId="0" xfId="0" applyFont="1" applyBorder="1" applyAlignment="1">
      <alignment horizontal="left"/>
    </xf>
    <xf numFmtId="0" fontId="28" fillId="0" borderId="5" xfId="0" applyFont="1" applyBorder="1" applyAlignment="1">
      <alignment horizontal="right"/>
    </xf>
    <xf numFmtId="0" fontId="7" fillId="0" borderId="0" xfId="0" applyFont="1" applyFill="1" applyBorder="1"/>
    <xf numFmtId="0" fontId="28" fillId="0" borderId="7" xfId="0" applyFont="1" applyFill="1" applyBorder="1" applyAlignment="1">
      <alignment horizontal="right"/>
    </xf>
    <xf numFmtId="0" fontId="7" fillId="0" borderId="8" xfId="0" applyFont="1" applyBorder="1"/>
    <xf numFmtId="2" fontId="9" fillId="0" borderId="8" xfId="0" applyNumberFormat="1" applyFont="1" applyBorder="1"/>
    <xf numFmtId="0" fontId="9" fillId="0" borderId="8" xfId="0" applyFont="1" applyBorder="1" applyAlignment="1">
      <alignment horizontal="right"/>
    </xf>
    <xf numFmtId="0" fontId="9" fillId="0" borderId="8" xfId="0" applyFont="1" applyBorder="1" applyAlignment="1">
      <alignment horizontal="left"/>
    </xf>
    <xf numFmtId="0" fontId="28" fillId="0" borderId="7" xfId="0" applyFont="1" applyBorder="1"/>
    <xf numFmtId="0" fontId="7" fillId="0" borderId="9" xfId="0" applyFont="1" applyBorder="1"/>
    <xf numFmtId="0" fontId="28" fillId="0" borderId="0" xfId="0" applyFont="1" applyFill="1" applyBorder="1" applyAlignment="1">
      <alignment horizontal="right"/>
    </xf>
    <xf numFmtId="0" fontId="28" fillId="0" borderId="0" xfId="0" applyFont="1" applyBorder="1" applyAlignment="1">
      <alignment horizontal="right"/>
    </xf>
    <xf numFmtId="0" fontId="28" fillId="0" borderId="5" xfId="0" applyFont="1" applyFill="1" applyBorder="1" applyAlignment="1">
      <alignment horizontal="left"/>
    </xf>
    <xf numFmtId="0" fontId="28" fillId="0" borderId="8" xfId="0" applyFont="1" applyFill="1" applyBorder="1" applyAlignment="1">
      <alignment horizontal="right"/>
    </xf>
    <xf numFmtId="0" fontId="28" fillId="0" borderId="2" xfId="0" applyFont="1" applyFill="1" applyBorder="1" applyAlignment="1">
      <alignment horizontal="left"/>
    </xf>
    <xf numFmtId="0" fontId="9" fillId="0" borderId="5" xfId="0" applyFont="1" applyBorder="1" applyAlignment="1">
      <alignment horizontal="right"/>
    </xf>
    <xf numFmtId="0" fontId="7" fillId="0" borderId="3" xfId="0" applyFont="1" applyBorder="1"/>
    <xf numFmtId="2" fontId="9" fillId="0" borderId="5" xfId="0" applyNumberFormat="1" applyFont="1" applyBorder="1"/>
    <xf numFmtId="0" fontId="66" fillId="0" borderId="0" xfId="0" applyFont="1" applyBorder="1" applyAlignment="1">
      <alignment horizontal="center"/>
    </xf>
    <xf numFmtId="0" fontId="7" fillId="0" borderId="7" xfId="0" applyFont="1" applyBorder="1"/>
    <xf numFmtId="0" fontId="9" fillId="0" borderId="60" xfId="0" applyFont="1" applyBorder="1"/>
    <xf numFmtId="0" fontId="9" fillId="0" borderId="61" xfId="0" applyFont="1" applyBorder="1"/>
    <xf numFmtId="0" fontId="9" fillId="0" borderId="62" xfId="0" applyFont="1" applyBorder="1"/>
    <xf numFmtId="0" fontId="9" fillId="0" borderId="63" xfId="0" applyFont="1" applyBorder="1"/>
    <xf numFmtId="0" fontId="7" fillId="0" borderId="0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9" fillId="0" borderId="6" xfId="0" applyFont="1" applyBorder="1" applyAlignment="1">
      <alignment horizontal="left"/>
    </xf>
    <xf numFmtId="1" fontId="9" fillId="0" borderId="0" xfId="0" applyNumberFormat="1" applyFont="1" applyBorder="1" applyAlignment="1">
      <alignment horizontal="right"/>
    </xf>
    <xf numFmtId="0" fontId="9" fillId="0" borderId="23" xfId="0" applyFont="1" applyBorder="1" applyAlignment="1">
      <alignment horizontal="right"/>
    </xf>
    <xf numFmtId="0" fontId="9" fillId="0" borderId="25" xfId="0" applyFont="1" applyBorder="1" applyAlignment="1">
      <alignment horizontal="right"/>
    </xf>
    <xf numFmtId="1" fontId="9" fillId="0" borderId="0" xfId="0" applyNumberFormat="1" applyFont="1" applyBorder="1" applyAlignment="1">
      <alignment horizontal="left"/>
    </xf>
    <xf numFmtId="1" fontId="9" fillId="0" borderId="0" xfId="0" applyNumberFormat="1" applyFont="1" applyBorder="1" applyAlignment="1">
      <alignment horizontal="center"/>
    </xf>
    <xf numFmtId="1" fontId="9" fillId="0" borderId="26" xfId="0" applyNumberFormat="1" applyFont="1" applyBorder="1" applyAlignment="1">
      <alignment horizontal="center"/>
    </xf>
    <xf numFmtId="2" fontId="9" fillId="0" borderId="24" xfId="0" applyNumberFormat="1" applyFont="1" applyBorder="1"/>
    <xf numFmtId="0" fontId="9" fillId="0" borderId="30" xfId="0" applyFont="1" applyBorder="1" applyAlignment="1">
      <alignment horizontal="center"/>
    </xf>
    <xf numFmtId="2" fontId="9" fillId="10" borderId="0" xfId="0" applyNumberFormat="1" applyFont="1" applyFill="1" applyBorder="1" applyAlignment="1">
      <alignment horizontal="center"/>
    </xf>
    <xf numFmtId="0" fontId="9" fillId="10" borderId="53" xfId="0" applyFont="1" applyFill="1" applyBorder="1" applyAlignment="1">
      <alignment horizontal="left"/>
    </xf>
    <xf numFmtId="0" fontId="9" fillId="11" borderId="0" xfId="0" applyFont="1" applyFill="1" applyBorder="1" applyAlignment="1">
      <alignment horizontal="center"/>
    </xf>
    <xf numFmtId="2" fontId="9" fillId="0" borderId="26" xfId="0" applyNumberFormat="1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10" borderId="0" xfId="0" applyFont="1" applyFill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66" fillId="0" borderId="23" xfId="0" applyFont="1" applyBorder="1"/>
    <xf numFmtId="0" fontId="66" fillId="0" borderId="24" xfId="0" applyFont="1" applyBorder="1"/>
    <xf numFmtId="2" fontId="66" fillId="0" borderId="24" xfId="0" applyNumberFormat="1" applyFont="1" applyBorder="1" applyAlignment="1">
      <alignment horizontal="center"/>
    </xf>
    <xf numFmtId="0" fontId="66" fillId="0" borderId="51" xfId="0" applyFont="1" applyBorder="1"/>
    <xf numFmtId="0" fontId="66" fillId="0" borderId="25" xfId="0" applyFont="1" applyBorder="1"/>
    <xf numFmtId="0" fontId="66" fillId="0" borderId="26" xfId="0" applyFont="1" applyBorder="1"/>
    <xf numFmtId="0" fontId="66" fillId="0" borderId="26" xfId="0" applyFont="1" applyBorder="1" applyAlignment="1">
      <alignment horizontal="center"/>
    </xf>
    <xf numFmtId="0" fontId="66" fillId="0" borderId="15" xfId="0" applyFont="1" applyBorder="1"/>
    <xf numFmtId="0" fontId="9" fillId="0" borderId="0" xfId="0" applyFont="1" applyAlignment="1">
      <alignment horizontal="left"/>
    </xf>
    <xf numFmtId="2" fontId="9" fillId="11" borderId="0" xfId="0" applyNumberFormat="1" applyFont="1" applyFill="1"/>
    <xf numFmtId="0" fontId="69" fillId="0" borderId="0" xfId="0" applyFont="1"/>
    <xf numFmtId="2" fontId="69" fillId="0" borderId="0" xfId="0" applyNumberFormat="1" applyFont="1"/>
    <xf numFmtId="2" fontId="69" fillId="0" borderId="64" xfId="0" applyNumberFormat="1" applyFont="1" applyBorder="1"/>
    <xf numFmtId="2" fontId="72" fillId="0" borderId="0" xfId="0" applyNumberFormat="1" applyFont="1"/>
    <xf numFmtId="0" fontId="0" fillId="0" borderId="0" xfId="0" applyBorder="1" applyAlignment="1">
      <alignment horizontal="right"/>
    </xf>
    <xf numFmtId="0" fontId="2" fillId="0" borderId="3" xfId="0" applyFont="1" applyBorder="1" applyAlignment="1"/>
    <xf numFmtId="0" fontId="73" fillId="0" borderId="0" xfId="0" applyFont="1"/>
    <xf numFmtId="0" fontId="0" fillId="0" borderId="26" xfId="0" applyBorder="1"/>
    <xf numFmtId="0" fontId="0" fillId="0" borderId="64" xfId="0" applyBorder="1"/>
    <xf numFmtId="0" fontId="0" fillId="0" borderId="8" xfId="0" applyBorder="1"/>
    <xf numFmtId="0" fontId="0" fillId="0" borderId="67" xfId="0" applyBorder="1"/>
    <xf numFmtId="0" fontId="2" fillId="0" borderId="0" xfId="0" applyFont="1" applyAlignment="1"/>
    <xf numFmtId="0" fontId="13" fillId="0" borderId="21" xfId="0" applyFont="1" applyBorder="1"/>
    <xf numFmtId="0" fontId="0" fillId="0" borderId="14" xfId="0" applyBorder="1"/>
    <xf numFmtId="0" fontId="0" fillId="0" borderId="21" xfId="0" applyBorder="1"/>
    <xf numFmtId="0" fontId="2" fillId="0" borderId="0" xfId="0" applyFont="1" applyBorder="1" applyAlignment="1"/>
    <xf numFmtId="0" fontId="0" fillId="0" borderId="21" xfId="0" applyBorder="1" applyAlignment="1">
      <alignment horizontal="center" vertical="center"/>
    </xf>
    <xf numFmtId="0" fontId="2" fillId="0" borderId="14" xfId="0" applyFont="1" applyBorder="1"/>
    <xf numFmtId="0" fontId="2" fillId="0" borderId="21" xfId="0" applyFont="1" applyBorder="1"/>
    <xf numFmtId="212" fontId="0" fillId="0" borderId="0" xfId="0" applyNumberFormat="1"/>
    <xf numFmtId="219" fontId="0" fillId="0" borderId="0" xfId="0" applyNumberFormat="1" applyAlignment="1"/>
    <xf numFmtId="222" fontId="0" fillId="0" borderId="0" xfId="0" applyNumberFormat="1" applyBorder="1" applyAlignment="1"/>
    <xf numFmtId="0" fontId="5" fillId="0" borderId="0" xfId="0" applyFont="1" applyBorder="1" applyAlignment="1"/>
    <xf numFmtId="0" fontId="0" fillId="3" borderId="0" xfId="0" applyFill="1"/>
    <xf numFmtId="0" fontId="0" fillId="0" borderId="0" xfId="0" applyFill="1" applyBorder="1" applyAlignment="1"/>
    <xf numFmtId="0" fontId="5" fillId="0" borderId="0" xfId="0" applyFont="1" applyAlignment="1">
      <alignment horizontal="center" wrapText="1"/>
    </xf>
    <xf numFmtId="0" fontId="0" fillId="0" borderId="0" xfId="0" applyFill="1"/>
    <xf numFmtId="0" fontId="0" fillId="0" borderId="70" xfId="0" applyBorder="1"/>
    <xf numFmtId="0" fontId="0" fillId="0" borderId="71" xfId="0" applyBorder="1"/>
    <xf numFmtId="2" fontId="0" fillId="0" borderId="0" xfId="0" applyNumberFormat="1" applyAlignment="1"/>
    <xf numFmtId="0" fontId="0" fillId="0" borderId="62" xfId="0" applyBorder="1"/>
    <xf numFmtId="0" fontId="0" fillId="0" borderId="60" xfId="0" applyBorder="1"/>
    <xf numFmtId="0" fontId="2" fillId="0" borderId="1" xfId="0" applyFont="1" applyBorder="1"/>
    <xf numFmtId="0" fontId="2" fillId="0" borderId="0" xfId="0" applyFont="1" applyBorder="1" applyAlignment="1">
      <alignment horizontal="center"/>
    </xf>
    <xf numFmtId="0" fontId="0" fillId="0" borderId="21" xfId="0" applyBorder="1" applyAlignment="1"/>
    <xf numFmtId="0" fontId="0" fillId="0" borderId="0" xfId="0" applyAlignment="1"/>
    <xf numFmtId="0" fontId="0" fillId="0" borderId="21" xfId="0" applyBorder="1" applyAlignment="1">
      <alignment horizontal="left"/>
    </xf>
    <xf numFmtId="0" fontId="0" fillId="0" borderId="53" xfId="0" applyBorder="1" applyAlignment="1"/>
    <xf numFmtId="0" fontId="0" fillId="0" borderId="63" xfId="0" applyBorder="1"/>
    <xf numFmtId="0" fontId="76" fillId="0" borderId="0" xfId="0" applyFont="1" applyAlignment="1">
      <alignment horizontal="center" wrapText="1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textRotation="90"/>
    </xf>
    <xf numFmtId="0" fontId="7" fillId="0" borderId="0" xfId="0" applyFont="1" applyBorder="1" applyAlignment="1">
      <alignment horizontal="center" vertical="center"/>
    </xf>
    <xf numFmtId="0" fontId="0" fillId="0" borderId="72" xfId="0" applyBorder="1"/>
    <xf numFmtId="0" fontId="0" fillId="0" borderId="29" xfId="0" applyBorder="1"/>
    <xf numFmtId="0" fontId="0" fillId="0" borderId="6" xfId="0" applyBorder="1"/>
    <xf numFmtId="0" fontId="0" fillId="0" borderId="31" xfId="0" applyBorder="1"/>
    <xf numFmtId="0" fontId="0" fillId="0" borderId="73" xfId="0" applyBorder="1"/>
    <xf numFmtId="0" fontId="0" fillId="0" borderId="34" xfId="0" applyBorder="1"/>
    <xf numFmtId="0" fontId="0" fillId="0" borderId="27" xfId="0" applyBorder="1"/>
    <xf numFmtId="0" fontId="0" fillId="0" borderId="30" xfId="0" applyBorder="1"/>
    <xf numFmtId="0" fontId="0" fillId="0" borderId="32" xfId="0" applyBorder="1"/>
    <xf numFmtId="0" fontId="11" fillId="0" borderId="0" xfId="0" applyFont="1" applyFill="1" applyBorder="1"/>
    <xf numFmtId="0" fontId="5" fillId="0" borderId="0" xfId="0" applyFont="1" applyFill="1" applyBorder="1"/>
    <xf numFmtId="0" fontId="10" fillId="0" borderId="0" xfId="0" applyFont="1" applyFill="1" applyBorder="1"/>
    <xf numFmtId="0" fontId="2" fillId="0" borderId="0" xfId="0" applyFont="1" applyFill="1" applyBorder="1"/>
    <xf numFmtId="0" fontId="5" fillId="10" borderId="5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65" xfId="0" applyFont="1" applyFill="1" applyBorder="1" applyAlignment="1">
      <alignment horizontal="center" vertical="center"/>
    </xf>
    <xf numFmtId="0" fontId="5" fillId="10" borderId="66" xfId="0" applyFont="1" applyFill="1" applyBorder="1" applyAlignment="1">
      <alignment horizontal="center" vertical="center"/>
    </xf>
    <xf numFmtId="0" fontId="5" fillId="10" borderId="68" xfId="0" applyFont="1" applyFill="1" applyBorder="1" applyAlignment="1">
      <alignment horizontal="center" vertical="center"/>
    </xf>
    <xf numFmtId="2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7" fontId="0" fillId="0" borderId="0" xfId="0" applyNumberFormat="1"/>
    <xf numFmtId="227" fontId="16" fillId="0" borderId="0" xfId="0" applyNumberFormat="1" applyFont="1"/>
    <xf numFmtId="0" fontId="77" fillId="0" borderId="0" xfId="0" applyFont="1"/>
    <xf numFmtId="0" fontId="5" fillId="10" borderId="2" xfId="0" applyFont="1" applyFill="1" applyBorder="1" applyAlignment="1">
      <alignment horizontal="center"/>
    </xf>
    <xf numFmtId="0" fontId="5" fillId="10" borderId="5" xfId="0" applyFont="1" applyFill="1" applyBorder="1" applyAlignment="1">
      <alignment horizontal="center"/>
    </xf>
    <xf numFmtId="0" fontId="5" fillId="10" borderId="0" xfId="0" applyFont="1" applyFill="1" applyBorder="1" applyAlignment="1">
      <alignment vertical="center"/>
    </xf>
    <xf numFmtId="0" fontId="5" fillId="10" borderId="5" xfId="0" applyFont="1" applyFill="1" applyBorder="1" applyAlignment="1">
      <alignment horizontal="left"/>
    </xf>
    <xf numFmtId="0" fontId="5" fillId="10" borderId="7" xfId="0" applyFont="1" applyFill="1" applyBorder="1" applyAlignment="1">
      <alignment horizontal="left"/>
    </xf>
    <xf numFmtId="0" fontId="5" fillId="10" borderId="2" xfId="0" applyFont="1" applyFill="1" applyBorder="1" applyAlignment="1">
      <alignment horizontal="left" vertical="center"/>
    </xf>
    <xf numFmtId="0" fontId="5" fillId="10" borderId="5" xfId="0" applyFont="1" applyFill="1" applyBorder="1" applyAlignment="1">
      <alignment horizontal="left" vertical="center"/>
    </xf>
    <xf numFmtId="0" fontId="5" fillId="10" borderId="4" xfId="0" applyFont="1" applyFill="1" applyBorder="1" applyAlignment="1">
      <alignment horizontal="left"/>
    </xf>
    <xf numFmtId="0" fontId="5" fillId="10" borderId="6" xfId="0" applyFont="1" applyFill="1" applyBorder="1" applyAlignment="1">
      <alignment horizontal="left"/>
    </xf>
    <xf numFmtId="0" fontId="5" fillId="10" borderId="9" xfId="0" applyFont="1" applyFill="1" applyBorder="1" applyAlignment="1">
      <alignment horizontal="left"/>
    </xf>
    <xf numFmtId="0" fontId="5" fillId="10" borderId="4" xfId="0" applyFont="1" applyFill="1" applyBorder="1" applyAlignment="1">
      <alignment horizontal="left" vertical="center"/>
    </xf>
    <xf numFmtId="0" fontId="5" fillId="10" borderId="6" xfId="0" applyFont="1" applyFill="1" applyBorder="1" applyAlignment="1">
      <alignment horizontal="left" vertical="center"/>
    </xf>
    <xf numFmtId="0" fontId="5" fillId="10" borderId="9" xfId="0" applyFont="1" applyFill="1" applyBorder="1" applyAlignment="1">
      <alignment horizontal="left" vertical="center"/>
    </xf>
    <xf numFmtId="0" fontId="5" fillId="10" borderId="66" xfId="0" applyFont="1" applyFill="1" applyBorder="1" applyAlignment="1">
      <alignment horizontal="left" vertical="center"/>
    </xf>
    <xf numFmtId="0" fontId="27" fillId="0" borderId="12" xfId="0" applyFont="1" applyBorder="1" applyAlignment="1">
      <alignment horizontal="center" vertical="center"/>
    </xf>
    <xf numFmtId="0" fontId="28" fillId="0" borderId="40" xfId="0" applyFont="1" applyBorder="1" applyAlignment="1">
      <alignment horizontal="center" vertical="center" wrapText="1"/>
    </xf>
    <xf numFmtId="0" fontId="27" fillId="0" borderId="40" xfId="0" applyFont="1" applyFill="1" applyBorder="1" applyAlignment="1">
      <alignment horizontal="center" vertical="center"/>
    </xf>
    <xf numFmtId="0" fontId="28" fillId="0" borderId="13" xfId="0" applyFont="1" applyBorder="1" applyAlignment="1">
      <alignment horizontal="center" vertical="center" wrapText="1"/>
    </xf>
    <xf numFmtId="2" fontId="45" fillId="0" borderId="0" xfId="0" applyNumberFormat="1" applyFont="1" applyFill="1" applyBorder="1"/>
    <xf numFmtId="210" fontId="0" fillId="0" borderId="0" xfId="0" applyNumberFormat="1" applyAlignment="1">
      <alignment horizontal="center"/>
    </xf>
    <xf numFmtId="0" fontId="9" fillId="0" borderId="0" xfId="0" applyNumberFormat="1" applyFont="1" applyFill="1" applyBorder="1" applyAlignment="1">
      <alignment horizontal="center"/>
    </xf>
    <xf numFmtId="4" fontId="37" fillId="0" borderId="0" xfId="0" applyNumberFormat="1" applyFont="1" applyFill="1" applyAlignment="1">
      <alignment horizontal="center"/>
    </xf>
    <xf numFmtId="170" fontId="78" fillId="0" borderId="0" xfId="0" applyNumberFormat="1" applyFont="1"/>
    <xf numFmtId="0" fontId="73" fillId="0" borderId="0" xfId="0" applyFont="1" applyBorder="1" applyAlignment="1">
      <alignment horizontal="right"/>
    </xf>
    <xf numFmtId="0" fontId="73" fillId="0" borderId="0" xfId="0" applyFont="1" applyBorder="1"/>
    <xf numFmtId="0" fontId="7" fillId="0" borderId="0" xfId="0" applyFont="1" applyBorder="1" applyAlignment="1">
      <alignment horizontal="right" vertical="center"/>
    </xf>
    <xf numFmtId="0" fontId="50" fillId="0" borderId="0" xfId="0" applyFont="1" applyBorder="1" applyAlignment="1">
      <alignment vertical="center"/>
    </xf>
    <xf numFmtId="0" fontId="5" fillId="10" borderId="2" xfId="0" applyFont="1" applyFill="1" applyBorder="1" applyAlignment="1">
      <alignment horizontal="left"/>
    </xf>
    <xf numFmtId="0" fontId="5" fillId="10" borderId="65" xfId="0" applyFont="1" applyFill="1" applyBorder="1" applyAlignment="1">
      <alignment horizontal="left" vertical="center"/>
    </xf>
    <xf numFmtId="0" fontId="5" fillId="10" borderId="68" xfId="0" applyFont="1" applyFill="1" applyBorder="1" applyAlignment="1">
      <alignment horizontal="left" vertical="center"/>
    </xf>
    <xf numFmtId="0" fontId="5" fillId="10" borderId="7" xfId="0" applyFont="1" applyFill="1" applyBorder="1" applyAlignment="1">
      <alignment horizontal="left" vertical="center"/>
    </xf>
    <xf numFmtId="211" fontId="0" fillId="0" borderId="0" xfId="0" applyNumberFormat="1" applyBorder="1" applyAlignment="1"/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79" fillId="0" borderId="0" xfId="0" applyFont="1" applyAlignment="1">
      <alignment horizontal="left"/>
    </xf>
    <xf numFmtId="0" fontId="66" fillId="0" borderId="0" xfId="0" applyFont="1" applyBorder="1" applyAlignment="1">
      <alignment horizontal="center" vertical="center"/>
    </xf>
    <xf numFmtId="0" fontId="5" fillId="10" borderId="65" xfId="0" applyFont="1" applyFill="1" applyBorder="1" applyAlignment="1">
      <alignment horizontal="center" vertical="center"/>
    </xf>
    <xf numFmtId="0" fontId="5" fillId="10" borderId="66" xfId="0" applyFont="1" applyFill="1" applyBorder="1" applyAlignment="1">
      <alignment horizontal="center" vertical="center"/>
    </xf>
    <xf numFmtId="0" fontId="5" fillId="10" borderId="68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8" fillId="0" borderId="14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190" fontId="0" fillId="0" borderId="0" xfId="0" applyNumberFormat="1" applyBorder="1" applyAlignment="1">
      <alignment horizontal="center"/>
    </xf>
    <xf numFmtId="191" fontId="0" fillId="0" borderId="0" xfId="0" applyNumberFormat="1" applyBorder="1" applyAlignment="1">
      <alignment horizontal="center"/>
    </xf>
    <xf numFmtId="186" fontId="0" fillId="0" borderId="0" xfId="0" applyNumberFormat="1" applyFont="1" applyAlignment="1">
      <alignment horizontal="center"/>
    </xf>
    <xf numFmtId="187" fontId="0" fillId="0" borderId="0" xfId="0" applyNumberFormat="1" applyFont="1" applyAlignment="1">
      <alignment horizontal="center"/>
    </xf>
    <xf numFmtId="0" fontId="12" fillId="5" borderId="1" xfId="0" applyFont="1" applyFill="1" applyBorder="1" applyAlignment="1">
      <alignment horizontal="center"/>
    </xf>
    <xf numFmtId="206" fontId="8" fillId="0" borderId="0" xfId="0" applyNumberFormat="1" applyFont="1" applyAlignment="1">
      <alignment horizontal="center"/>
    </xf>
    <xf numFmtId="0" fontId="8" fillId="5" borderId="42" xfId="0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8" fillId="5" borderId="45" xfId="0" applyFont="1" applyFill="1" applyBorder="1" applyAlignment="1">
      <alignment horizontal="center" vertical="center"/>
    </xf>
    <xf numFmtId="0" fontId="8" fillId="5" borderId="46" xfId="0" applyFont="1" applyFill="1" applyBorder="1" applyAlignment="1">
      <alignment horizontal="center" vertical="center"/>
    </xf>
    <xf numFmtId="0" fontId="8" fillId="5" borderId="47" xfId="0" applyFont="1" applyFill="1" applyBorder="1" applyAlignment="1">
      <alignment horizontal="center" vertical="center"/>
    </xf>
    <xf numFmtId="0" fontId="12" fillId="5" borderId="48" xfId="0" applyFont="1" applyFill="1" applyBorder="1" applyAlignment="1">
      <alignment horizontal="center"/>
    </xf>
    <xf numFmtId="0" fontId="12" fillId="5" borderId="49" xfId="0" applyFont="1" applyFill="1" applyBorder="1" applyAlignment="1">
      <alignment horizontal="center"/>
    </xf>
    <xf numFmtId="0" fontId="12" fillId="5" borderId="50" xfId="0" applyFont="1" applyFill="1" applyBorder="1" applyAlignment="1">
      <alignment horizontal="center"/>
    </xf>
    <xf numFmtId="0" fontId="12" fillId="5" borderId="41" xfId="0" applyFont="1" applyFill="1" applyBorder="1" applyAlignment="1">
      <alignment horizontal="center"/>
    </xf>
    <xf numFmtId="199" fontId="8" fillId="0" borderId="0" xfId="0" applyNumberFormat="1" applyFont="1" applyAlignment="1">
      <alignment horizontal="center"/>
    </xf>
    <xf numFmtId="200" fontId="8" fillId="0" borderId="0" xfId="0" applyNumberFormat="1" applyFont="1" applyAlignment="1">
      <alignment horizontal="center"/>
    </xf>
    <xf numFmtId="0" fontId="2" fillId="0" borderId="65" xfId="0" applyFont="1" applyBorder="1" applyAlignment="1">
      <alignment horizontal="center" vertical="center" textRotation="90"/>
    </xf>
    <xf numFmtId="0" fontId="2" fillId="0" borderId="66" xfId="0" applyFont="1" applyBorder="1" applyAlignment="1">
      <alignment horizontal="center" vertical="center" textRotation="90"/>
    </xf>
    <xf numFmtId="0" fontId="2" fillId="0" borderId="68" xfId="0" applyFont="1" applyBorder="1" applyAlignment="1">
      <alignment horizontal="center" vertical="center" textRotation="90"/>
    </xf>
    <xf numFmtId="0" fontId="7" fillId="0" borderId="3" xfId="0" applyFont="1" applyBorder="1" applyAlignment="1">
      <alignment horizontal="center" vertical="center"/>
    </xf>
    <xf numFmtId="208" fontId="5" fillId="5" borderId="41" xfId="0" applyNumberFormat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 vertical="center"/>
    </xf>
    <xf numFmtId="194" fontId="0" fillId="0" borderId="0" xfId="0" applyNumberFormat="1" applyAlignment="1">
      <alignment horizontal="center"/>
    </xf>
    <xf numFmtId="19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93" fontId="0" fillId="0" borderId="0" xfId="0" applyNumberFormat="1" applyBorder="1" applyAlignment="1">
      <alignment horizontal="center"/>
    </xf>
    <xf numFmtId="192" fontId="0" fillId="0" borderId="0" xfId="0" applyNumberFormat="1" applyBorder="1" applyAlignment="1">
      <alignment horizontal="center"/>
    </xf>
    <xf numFmtId="0" fontId="12" fillId="0" borderId="0" xfId="0" applyFont="1" applyAlignment="1">
      <alignment horizontal="center"/>
    </xf>
    <xf numFmtId="195" fontId="0" fillId="0" borderId="0" xfId="0" applyNumberFormat="1" applyFont="1" applyAlignment="1">
      <alignment horizontal="center"/>
    </xf>
    <xf numFmtId="196" fontId="0" fillId="0" borderId="0" xfId="0" applyNumberFormat="1" applyFont="1" applyAlignment="1">
      <alignment horizontal="center"/>
    </xf>
    <xf numFmtId="197" fontId="0" fillId="0" borderId="0" xfId="0" applyNumberFormat="1" applyFont="1" applyAlignment="1">
      <alignment horizontal="center"/>
    </xf>
    <xf numFmtId="188" fontId="0" fillId="0" borderId="0" xfId="0" applyNumberFormat="1" applyFont="1" applyAlignment="1">
      <alignment horizontal="center"/>
    </xf>
    <xf numFmtId="189" fontId="0" fillId="0" borderId="0" xfId="0" applyNumberFormat="1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7" fillId="0" borderId="0" xfId="0" applyFont="1" applyAlignment="1">
      <alignment horizontal="center"/>
    </xf>
    <xf numFmtId="0" fontId="0" fillId="0" borderId="24" xfId="0" applyBorder="1" applyAlignment="1">
      <alignment horizontal="center"/>
    </xf>
    <xf numFmtId="0" fontId="0" fillId="0" borderId="51" xfId="0" applyBorder="1" applyAlignment="1">
      <alignment horizontal="center"/>
    </xf>
    <xf numFmtId="211" fontId="0" fillId="0" borderId="0" xfId="0" applyNumberFormat="1" applyAlignment="1">
      <alignment horizontal="center"/>
    </xf>
    <xf numFmtId="0" fontId="5" fillId="0" borderId="0" xfId="0" applyFont="1" applyAlignment="1">
      <alignment horizontal="center" wrapText="1"/>
    </xf>
    <xf numFmtId="0" fontId="76" fillId="0" borderId="0" xfId="0" applyFont="1" applyAlignment="1">
      <alignment horizontal="center" wrapText="1"/>
    </xf>
    <xf numFmtId="0" fontId="0" fillId="0" borderId="14" xfId="0" applyBorder="1" applyAlignment="1">
      <alignment horizontal="center"/>
    </xf>
    <xf numFmtId="0" fontId="0" fillId="0" borderId="21" xfId="0" applyBorder="1" applyAlignment="1">
      <alignment horizontal="center"/>
    </xf>
    <xf numFmtId="2" fontId="2" fillId="13" borderId="14" xfId="0" applyNumberFormat="1" applyFont="1" applyFill="1" applyBorder="1" applyAlignment="1">
      <alignment horizontal="center"/>
    </xf>
    <xf numFmtId="2" fontId="2" fillId="13" borderId="20" xfId="0" applyNumberFormat="1" applyFont="1" applyFill="1" applyBorder="1" applyAlignment="1">
      <alignment horizontal="center"/>
    </xf>
    <xf numFmtId="2" fontId="2" fillId="13" borderId="21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21" xfId="0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226" fontId="0" fillId="0" borderId="14" xfId="0" applyNumberFormat="1" applyBorder="1" applyAlignment="1">
      <alignment horizontal="center"/>
    </xf>
    <xf numFmtId="226" fontId="0" fillId="0" borderId="20" xfId="0" applyNumberFormat="1" applyBorder="1" applyAlignment="1">
      <alignment horizontal="center"/>
    </xf>
    <xf numFmtId="226" fontId="0" fillId="0" borderId="21" xfId="0" applyNumberForma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222" fontId="0" fillId="0" borderId="14" xfId="0" applyNumberFormat="1" applyBorder="1" applyAlignment="1">
      <alignment horizontal="center"/>
    </xf>
    <xf numFmtId="222" fontId="0" fillId="0" borderId="20" xfId="0" applyNumberFormat="1" applyBorder="1" applyAlignment="1">
      <alignment horizontal="center"/>
    </xf>
    <xf numFmtId="222" fontId="0" fillId="0" borderId="21" xfId="0" applyNumberFormat="1" applyBorder="1" applyAlignment="1">
      <alignment horizontal="center"/>
    </xf>
    <xf numFmtId="223" fontId="0" fillId="0" borderId="14" xfId="0" applyNumberFormat="1" applyBorder="1" applyAlignment="1">
      <alignment horizontal="center"/>
    </xf>
    <xf numFmtId="223" fontId="0" fillId="0" borderId="20" xfId="0" applyNumberFormat="1" applyBorder="1" applyAlignment="1">
      <alignment horizontal="center"/>
    </xf>
    <xf numFmtId="223" fontId="0" fillId="0" borderId="21" xfId="0" applyNumberFormat="1" applyBorder="1" applyAlignment="1">
      <alignment horizontal="center"/>
    </xf>
    <xf numFmtId="224" fontId="0" fillId="0" borderId="14" xfId="0" applyNumberFormat="1" applyBorder="1" applyAlignment="1">
      <alignment horizontal="center"/>
    </xf>
    <xf numFmtId="224" fontId="0" fillId="0" borderId="20" xfId="0" applyNumberFormat="1" applyBorder="1" applyAlignment="1">
      <alignment horizontal="center"/>
    </xf>
    <xf numFmtId="224" fontId="0" fillId="0" borderId="21" xfId="0" applyNumberFormat="1" applyBorder="1" applyAlignment="1">
      <alignment horizontal="center"/>
    </xf>
    <xf numFmtId="225" fontId="0" fillId="0" borderId="14" xfId="0" applyNumberFormat="1" applyBorder="1" applyAlignment="1">
      <alignment horizontal="center"/>
    </xf>
    <xf numFmtId="225" fontId="0" fillId="0" borderId="20" xfId="0" applyNumberFormat="1" applyBorder="1" applyAlignment="1">
      <alignment horizontal="center"/>
    </xf>
    <xf numFmtId="225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16" xfId="0" applyBorder="1" applyAlignment="1">
      <alignment horizontal="center"/>
    </xf>
    <xf numFmtId="220" fontId="0" fillId="0" borderId="14" xfId="0" applyNumberFormat="1" applyBorder="1" applyAlignment="1">
      <alignment horizontal="center"/>
    </xf>
    <xf numFmtId="220" fontId="0" fillId="0" borderId="20" xfId="0" applyNumberFormat="1" applyBorder="1" applyAlignment="1">
      <alignment horizontal="center"/>
    </xf>
    <xf numFmtId="220" fontId="0" fillId="0" borderId="21" xfId="0" applyNumberFormat="1" applyBorder="1" applyAlignment="1">
      <alignment horizontal="center"/>
    </xf>
    <xf numFmtId="221" fontId="0" fillId="0" borderId="14" xfId="0" applyNumberFormat="1" applyBorder="1" applyAlignment="1">
      <alignment horizontal="center"/>
    </xf>
    <xf numFmtId="221" fontId="0" fillId="0" borderId="20" xfId="0" applyNumberFormat="1" applyBorder="1" applyAlignment="1">
      <alignment horizontal="center"/>
    </xf>
    <xf numFmtId="221" fontId="0" fillId="0" borderId="21" xfId="0" applyNumberFormat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66" xfId="0" applyBorder="1" applyAlignment="1">
      <alignment horizontal="center"/>
    </xf>
    <xf numFmtId="217" fontId="0" fillId="0" borderId="0" xfId="0" applyNumberFormat="1" applyAlignment="1">
      <alignment horizontal="center"/>
    </xf>
    <xf numFmtId="218" fontId="0" fillId="0" borderId="0" xfId="0" applyNumberFormat="1" applyAlignment="1">
      <alignment horizontal="center"/>
    </xf>
    <xf numFmtId="2" fontId="0" fillId="0" borderId="36" xfId="0" applyNumberFormat="1" applyBorder="1" applyAlignment="1">
      <alignment horizontal="center" textRotation="90"/>
    </xf>
    <xf numFmtId="2" fontId="0" fillId="0" borderId="69" xfId="0" applyNumberFormat="1" applyBorder="1" applyAlignment="1">
      <alignment horizontal="center" textRotation="90"/>
    </xf>
    <xf numFmtId="2" fontId="0" fillId="0" borderId="52" xfId="0" applyNumberFormat="1" applyBorder="1" applyAlignment="1">
      <alignment horizontal="center" textRotation="90"/>
    </xf>
    <xf numFmtId="2" fontId="0" fillId="0" borderId="11" xfId="0" applyNumberFormat="1" applyBorder="1" applyAlignment="1">
      <alignment horizontal="center" textRotation="90"/>
    </xf>
    <xf numFmtId="219" fontId="0" fillId="0" borderId="14" xfId="0" applyNumberFormat="1" applyBorder="1" applyAlignment="1">
      <alignment horizontal="center"/>
    </xf>
    <xf numFmtId="219" fontId="0" fillId="0" borderId="20" xfId="0" applyNumberFormat="1" applyBorder="1" applyAlignment="1">
      <alignment horizontal="center"/>
    </xf>
    <xf numFmtId="219" fontId="0" fillId="0" borderId="21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51" xfId="0" applyNumberFormat="1" applyBorder="1" applyAlignment="1">
      <alignment horizontal="center" textRotation="90"/>
    </xf>
    <xf numFmtId="0" fontId="0" fillId="0" borderId="5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4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14" xfId="0" applyBorder="1" applyAlignment="1">
      <alignment horizontal="left"/>
    </xf>
    <xf numFmtId="0" fontId="0" fillId="0" borderId="20" xfId="0" applyBorder="1" applyAlignment="1">
      <alignment horizontal="left"/>
    </xf>
    <xf numFmtId="2" fontId="2" fillId="0" borderId="14" xfId="0" applyNumberFormat="1" applyFont="1" applyBorder="1" applyAlignment="1">
      <alignment horizontal="right"/>
    </xf>
    <xf numFmtId="2" fontId="2" fillId="0" borderId="20" xfId="0" applyNumberFormat="1" applyFont="1" applyBorder="1" applyAlignment="1">
      <alignment horizontal="right"/>
    </xf>
    <xf numFmtId="2" fontId="2" fillId="0" borderId="21" xfId="0" applyNumberFormat="1" applyFont="1" applyBorder="1" applyAlignment="1">
      <alignment horizontal="right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12" borderId="53" xfId="0" applyFill="1" applyBorder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2" fillId="0" borderId="14" xfId="0" quotePrefix="1" applyFont="1" applyBorder="1" applyAlignment="1">
      <alignment horizontal="center"/>
    </xf>
    <xf numFmtId="0" fontId="2" fillId="0" borderId="20" xfId="0" quotePrefix="1" applyFont="1" applyBorder="1" applyAlignment="1">
      <alignment horizontal="center"/>
    </xf>
    <xf numFmtId="0" fontId="2" fillId="0" borderId="21" xfId="0" quotePrefix="1" applyFont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75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0" fontId="0" fillId="12" borderId="2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textRotation="45"/>
    </xf>
    <xf numFmtId="0" fontId="0" fillId="0" borderId="3" xfId="0" applyBorder="1" applyAlignment="1">
      <alignment horizontal="center" vertical="center" textRotation="45"/>
    </xf>
    <xf numFmtId="0" fontId="0" fillId="0" borderId="4" xfId="0" applyBorder="1" applyAlignment="1">
      <alignment horizontal="center" vertical="center" textRotation="45"/>
    </xf>
    <xf numFmtId="0" fontId="0" fillId="0" borderId="5" xfId="0" applyBorder="1" applyAlignment="1">
      <alignment horizontal="center" vertical="center" textRotation="45"/>
    </xf>
    <xf numFmtId="0" fontId="0" fillId="0" borderId="0" xfId="0" applyBorder="1" applyAlignment="1">
      <alignment horizontal="center" vertical="center" textRotation="45"/>
    </xf>
    <xf numFmtId="0" fontId="0" fillId="0" borderId="6" xfId="0" applyBorder="1" applyAlignment="1">
      <alignment horizontal="center" vertical="center" textRotation="45"/>
    </xf>
    <xf numFmtId="0" fontId="0" fillId="0" borderId="7" xfId="0" applyBorder="1" applyAlignment="1">
      <alignment horizontal="center" vertical="center" textRotation="45"/>
    </xf>
    <xf numFmtId="0" fontId="0" fillId="0" borderId="8" xfId="0" applyBorder="1" applyAlignment="1">
      <alignment horizontal="center" vertical="center" textRotation="45"/>
    </xf>
    <xf numFmtId="0" fontId="0" fillId="0" borderId="9" xfId="0" applyBorder="1" applyAlignment="1">
      <alignment horizontal="center" vertical="center" textRotation="45"/>
    </xf>
    <xf numFmtId="0" fontId="0" fillId="12" borderId="14" xfId="0" applyFill="1" applyBorder="1" applyAlignment="1">
      <alignment horizontal="right"/>
    </xf>
    <xf numFmtId="0" fontId="0" fillId="12" borderId="20" xfId="0" applyFill="1" applyBorder="1" applyAlignment="1">
      <alignment horizontal="right"/>
    </xf>
    <xf numFmtId="0" fontId="0" fillId="12" borderId="21" xfId="0" applyFill="1" applyBorder="1" applyAlignment="1">
      <alignment horizontal="right"/>
    </xf>
    <xf numFmtId="0" fontId="2" fillId="0" borderId="14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2" fontId="0" fillId="12" borderId="14" xfId="0" applyNumberFormat="1" applyFill="1" applyBorder="1" applyAlignment="1">
      <alignment horizontal="center"/>
    </xf>
    <xf numFmtId="2" fontId="0" fillId="12" borderId="20" xfId="0" applyNumberFormat="1" applyFill="1" applyBorder="1" applyAlignment="1">
      <alignment horizontal="center"/>
    </xf>
    <xf numFmtId="2" fontId="0" fillId="12" borderId="21" xfId="0" applyNumberFormat="1" applyFill="1" applyBorder="1" applyAlignment="1">
      <alignment horizontal="center"/>
    </xf>
    <xf numFmtId="0" fontId="74" fillId="0" borderId="14" xfId="0" applyFont="1" applyBorder="1" applyAlignment="1">
      <alignment horizontal="center"/>
    </xf>
    <xf numFmtId="0" fontId="74" fillId="0" borderId="20" xfId="0" applyFont="1" applyBorder="1" applyAlignment="1">
      <alignment horizontal="center"/>
    </xf>
    <xf numFmtId="0" fontId="74" fillId="0" borderId="21" xfId="0" applyFont="1" applyBorder="1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212" fontId="0" fillId="12" borderId="14" xfId="0" applyNumberFormat="1" applyFill="1" applyBorder="1" applyAlignment="1">
      <alignment horizontal="center"/>
    </xf>
    <xf numFmtId="212" fontId="0" fillId="12" borderId="3" xfId="0" applyNumberFormat="1" applyFill="1" applyBorder="1" applyAlignment="1">
      <alignment horizontal="center"/>
    </xf>
    <xf numFmtId="212" fontId="0" fillId="12" borderId="21" xfId="0" applyNumberFormat="1" applyFill="1" applyBorder="1" applyAlignment="1">
      <alignment horizontal="center"/>
    </xf>
    <xf numFmtId="0" fontId="0" fillId="0" borderId="68" xfId="0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0" fillId="12" borderId="24" xfId="0" applyFill="1" applyBorder="1" applyAlignment="1">
      <alignment horizontal="center"/>
    </xf>
    <xf numFmtId="0" fontId="0" fillId="12" borderId="51" xfId="0" applyFill="1" applyBorder="1" applyAlignment="1">
      <alignment horizontal="center"/>
    </xf>
    <xf numFmtId="0" fontId="0" fillId="12" borderId="53" xfId="0" applyFill="1" applyBorder="1" applyAlignment="1">
      <alignment horizontal="center" textRotation="90"/>
    </xf>
    <xf numFmtId="0" fontId="0" fillId="0" borderId="14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51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2" fontId="0" fillId="0" borderId="14" xfId="0" applyNumberFormat="1" applyBorder="1" applyAlignment="1">
      <alignment horizontal="right"/>
    </xf>
    <xf numFmtId="2" fontId="0" fillId="0" borderId="20" xfId="0" applyNumberFormat="1" applyBorder="1" applyAlignment="1">
      <alignment horizontal="right"/>
    </xf>
    <xf numFmtId="0" fontId="0" fillId="0" borderId="21" xfId="0" applyBorder="1" applyAlignment="1">
      <alignment horizontal="left"/>
    </xf>
    <xf numFmtId="0" fontId="0" fillId="12" borderId="20" xfId="0" applyFill="1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8" xfId="0" applyBorder="1" applyAlignment="1">
      <alignment horizontal="center"/>
    </xf>
    <xf numFmtId="0" fontId="21" fillId="14" borderId="14" xfId="0" applyFont="1" applyFill="1" applyBorder="1" applyAlignment="1">
      <alignment horizontal="center"/>
    </xf>
    <xf numFmtId="0" fontId="21" fillId="14" borderId="20" xfId="0" applyFont="1" applyFill="1" applyBorder="1" applyAlignment="1">
      <alignment horizontal="center"/>
    </xf>
    <xf numFmtId="0" fontId="21" fillId="14" borderId="21" xfId="0" applyFont="1" applyFill="1" applyBorder="1" applyAlignment="1">
      <alignment horizontal="center"/>
    </xf>
    <xf numFmtId="2" fontId="0" fillId="0" borderId="36" xfId="0" applyNumberFormat="1" applyBorder="1" applyAlignment="1">
      <alignment horizontal="center" vertical="center" textRotation="90"/>
    </xf>
    <xf numFmtId="2" fontId="0" fillId="0" borderId="69" xfId="0" applyNumberFormat="1" applyBorder="1" applyAlignment="1">
      <alignment horizontal="center" vertical="center" textRotation="90"/>
    </xf>
    <xf numFmtId="2" fontId="0" fillId="0" borderId="11" xfId="0" applyNumberFormat="1" applyBorder="1" applyAlignment="1">
      <alignment horizontal="center" vertical="center" textRotation="90"/>
    </xf>
    <xf numFmtId="2" fontId="0" fillId="0" borderId="0" xfId="0" applyNumberFormat="1" applyAlignment="1">
      <alignment horizontal="right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0" fillId="0" borderId="21" xfId="0" applyNumberFormat="1" applyBorder="1" applyAlignment="1">
      <alignment horizontal="right"/>
    </xf>
    <xf numFmtId="212" fontId="0" fillId="12" borderId="2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50</xdr:row>
      <xdr:rowOff>66675</xdr:rowOff>
    </xdr:from>
    <xdr:to>
      <xdr:col>11</xdr:col>
      <xdr:colOff>723900</xdr:colOff>
      <xdr:row>53</xdr:row>
      <xdr:rowOff>66675</xdr:rowOff>
    </xdr:to>
    <xdr:grpSp>
      <xdr:nvGrpSpPr>
        <xdr:cNvPr id="79" name="78 Grupo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GrpSpPr/>
      </xdr:nvGrpSpPr>
      <xdr:grpSpPr>
        <a:xfrm>
          <a:off x="8294370" y="9896475"/>
          <a:ext cx="2663190" cy="548640"/>
          <a:chOff x="18697575" y="571500"/>
          <a:chExt cx="2809875" cy="400050"/>
        </a:xfrm>
      </xdr:grpSpPr>
      <xdr:sp macro="" textlink="">
        <xdr:nvSpPr>
          <xdr:cNvPr id="80" name="Rectangle 37">
            <a:extLst>
              <a:ext uri="{FF2B5EF4-FFF2-40B4-BE49-F238E27FC236}">
                <a16:creationId xmlns:a16="http://schemas.microsoft.com/office/drawing/2014/main" id="{00000000-0008-0000-0100-000050000000}"/>
              </a:ext>
            </a:extLst>
          </xdr:cNvPr>
          <xdr:cNvSpPr>
            <a:spLocks noChangeArrowheads="1"/>
          </xdr:cNvSpPr>
        </xdr:nvSpPr>
        <xdr:spPr bwMode="auto">
          <a:xfrm>
            <a:off x="18697575" y="581025"/>
            <a:ext cx="400050" cy="390525"/>
          </a:xfrm>
          <a:prstGeom prst="rect">
            <a:avLst/>
          </a:prstGeom>
          <a:solidFill>
            <a:srgbClr val="969696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1" name="Rectangle 38">
            <a:extLst>
              <a:ext uri="{FF2B5EF4-FFF2-40B4-BE49-F238E27FC236}">
                <a16:creationId xmlns:a16="http://schemas.microsoft.com/office/drawing/2014/main" id="{00000000-0008-0000-0100-000051000000}"/>
              </a:ext>
            </a:extLst>
          </xdr:cNvPr>
          <xdr:cNvSpPr>
            <a:spLocks noChangeArrowheads="1"/>
          </xdr:cNvSpPr>
        </xdr:nvSpPr>
        <xdr:spPr bwMode="auto">
          <a:xfrm>
            <a:off x="21240750" y="571500"/>
            <a:ext cx="266700" cy="390525"/>
          </a:xfrm>
          <a:prstGeom prst="rect">
            <a:avLst/>
          </a:prstGeom>
          <a:solidFill>
            <a:srgbClr val="969696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17</xdr:col>
      <xdr:colOff>756356</xdr:colOff>
      <xdr:row>66</xdr:row>
      <xdr:rowOff>176428</xdr:rowOff>
    </xdr:from>
    <xdr:to>
      <xdr:col>19</xdr:col>
      <xdr:colOff>470652</xdr:colOff>
      <xdr:row>87</xdr:row>
      <xdr:rowOff>94160</xdr:rowOff>
    </xdr:to>
    <xdr:grpSp>
      <xdr:nvGrpSpPr>
        <xdr:cNvPr id="82" name="81 Grupo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GrpSpPr/>
      </xdr:nvGrpSpPr>
      <xdr:grpSpPr>
        <a:xfrm>
          <a:off x="15744896" y="13000888"/>
          <a:ext cx="1299256" cy="3925852"/>
          <a:chOff x="9239205" y="14273428"/>
          <a:chExt cx="1238296" cy="3994140"/>
        </a:xfrm>
      </xdr:grpSpPr>
      <xdr:sp macro="" textlink="">
        <xdr:nvSpPr>
          <xdr:cNvPr id="83" name="Line 39">
            <a:extLst>
              <a:ext uri="{FF2B5EF4-FFF2-40B4-BE49-F238E27FC236}">
                <a16:creationId xmlns:a16="http://schemas.microsoft.com/office/drawing/2014/main" id="{00000000-0008-0000-0100-000053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9789363" y="14273428"/>
            <a:ext cx="643769" cy="945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7" name="Line 40">
            <a:extLst>
              <a:ext uri="{FF2B5EF4-FFF2-40B4-BE49-F238E27FC236}">
                <a16:creationId xmlns:a16="http://schemas.microsoft.com/office/drawing/2014/main" id="{00000000-0008-0000-0100-00006B000000}"/>
              </a:ext>
            </a:extLst>
          </xdr:cNvPr>
          <xdr:cNvSpPr>
            <a:spLocks noChangeShapeType="1"/>
          </xdr:cNvSpPr>
        </xdr:nvSpPr>
        <xdr:spPr bwMode="auto">
          <a:xfrm>
            <a:off x="9239205" y="18267568"/>
            <a:ext cx="1238296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8" name="Line 41">
            <a:extLst>
              <a:ext uri="{FF2B5EF4-FFF2-40B4-BE49-F238E27FC236}">
                <a16:creationId xmlns:a16="http://schemas.microsoft.com/office/drawing/2014/main" id="{00000000-0008-0000-0100-00006C000000}"/>
              </a:ext>
            </a:extLst>
          </xdr:cNvPr>
          <xdr:cNvSpPr>
            <a:spLocks noChangeShapeType="1"/>
          </xdr:cNvSpPr>
        </xdr:nvSpPr>
        <xdr:spPr bwMode="auto">
          <a:xfrm>
            <a:off x="10184675" y="14292330"/>
            <a:ext cx="8873" cy="393721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arrow" w="med" len="med"/>
            <a:tailEnd type="arrow" w="med" len="med"/>
          </a:ln>
        </xdr:spPr>
      </xdr:sp>
    </xdr:grpSp>
    <xdr:clientData/>
  </xdr:twoCellAnchor>
  <xdr:twoCellAnchor>
    <xdr:from>
      <xdr:col>3</xdr:col>
      <xdr:colOff>22412</xdr:colOff>
      <xdr:row>66</xdr:row>
      <xdr:rowOff>201652</xdr:rowOff>
    </xdr:from>
    <xdr:to>
      <xdr:col>18</xdr:col>
      <xdr:colOff>8</xdr:colOff>
      <xdr:row>67</xdr:row>
      <xdr:rowOff>11206</xdr:rowOff>
    </xdr:to>
    <xdr:cxnSp macro="">
      <xdr:nvCxnSpPr>
        <xdr:cNvPr id="109" name="108 Conector recto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CxnSpPr/>
      </xdr:nvCxnSpPr>
      <xdr:spPr>
        <a:xfrm flipV="1">
          <a:off x="1546412" y="14441527"/>
          <a:ext cx="11683821" cy="9579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807944</xdr:colOff>
      <xdr:row>88</xdr:row>
      <xdr:rowOff>93906</xdr:rowOff>
    </xdr:from>
    <xdr:to>
      <xdr:col>7</xdr:col>
      <xdr:colOff>813204</xdr:colOff>
      <xdr:row>92</xdr:row>
      <xdr:rowOff>153684</xdr:rowOff>
    </xdr:to>
    <xdr:sp macro="" textlink="">
      <xdr:nvSpPr>
        <xdr:cNvPr id="110" name="Line 43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SpPr>
          <a:spLocks noChangeShapeType="1"/>
        </xdr:cNvSpPr>
      </xdr:nvSpPr>
      <xdr:spPr bwMode="auto">
        <a:xfrm flipH="1">
          <a:off x="5522819" y="18648606"/>
          <a:ext cx="5260" cy="86940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750795</xdr:colOff>
      <xdr:row>90</xdr:row>
      <xdr:rowOff>98605</xdr:rowOff>
    </xdr:from>
    <xdr:to>
      <xdr:col>8</xdr:col>
      <xdr:colOff>11207</xdr:colOff>
      <xdr:row>90</xdr:row>
      <xdr:rowOff>98605</xdr:rowOff>
    </xdr:to>
    <xdr:sp macro="" textlink="">
      <xdr:nvSpPr>
        <xdr:cNvPr id="111" name="Line 45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SpPr>
          <a:spLocks noChangeShapeType="1"/>
        </xdr:cNvSpPr>
      </xdr:nvSpPr>
      <xdr:spPr bwMode="auto">
        <a:xfrm>
          <a:off x="1512795" y="19081930"/>
          <a:ext cx="4041962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arrow" w="med" len="med"/>
          <a:tailEnd type="arrow" w="med" len="med"/>
        </a:ln>
      </xdr:spPr>
    </xdr:sp>
    <xdr:clientData/>
  </xdr:twoCellAnchor>
  <xdr:twoCellAnchor>
    <xdr:from>
      <xdr:col>2</xdr:col>
      <xdr:colOff>750794</xdr:colOff>
      <xdr:row>88</xdr:row>
      <xdr:rowOff>158626</xdr:rowOff>
    </xdr:from>
    <xdr:to>
      <xdr:col>2</xdr:col>
      <xdr:colOff>754154</xdr:colOff>
      <xdr:row>93</xdr:row>
      <xdr:rowOff>7909</xdr:rowOff>
    </xdr:to>
    <xdr:sp macro="" textlink="">
      <xdr:nvSpPr>
        <xdr:cNvPr id="112" name="Line 42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SpPr>
          <a:spLocks noChangeShapeType="1"/>
        </xdr:cNvSpPr>
      </xdr:nvSpPr>
      <xdr:spPr bwMode="auto">
        <a:xfrm flipH="1">
          <a:off x="1512794" y="18713326"/>
          <a:ext cx="3360" cy="8494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88</xdr:row>
      <xdr:rowOff>42414</xdr:rowOff>
    </xdr:from>
    <xdr:to>
      <xdr:col>13</xdr:col>
      <xdr:colOff>4697</xdr:colOff>
      <xdr:row>92</xdr:row>
      <xdr:rowOff>176046</xdr:rowOff>
    </xdr:to>
    <xdr:sp macro="" textlink="">
      <xdr:nvSpPr>
        <xdr:cNvPr id="113" name="Line 44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SpPr>
          <a:spLocks noChangeShapeType="1"/>
        </xdr:cNvSpPr>
      </xdr:nvSpPr>
      <xdr:spPr bwMode="auto">
        <a:xfrm flipH="1">
          <a:off x="9420225" y="18597114"/>
          <a:ext cx="4697" cy="94325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760288</xdr:colOff>
      <xdr:row>90</xdr:row>
      <xdr:rowOff>97789</xdr:rowOff>
    </xdr:from>
    <xdr:to>
      <xdr:col>12</xdr:col>
      <xdr:colOff>750794</xdr:colOff>
      <xdr:row>90</xdr:row>
      <xdr:rowOff>98604</xdr:rowOff>
    </xdr:to>
    <xdr:sp macro="" textlink="">
      <xdr:nvSpPr>
        <xdr:cNvPr id="114" name="Line 46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SpPr>
          <a:spLocks noChangeShapeType="1"/>
        </xdr:cNvSpPr>
      </xdr:nvSpPr>
      <xdr:spPr bwMode="auto">
        <a:xfrm>
          <a:off x="5475163" y="19081114"/>
          <a:ext cx="3933856" cy="815"/>
        </a:xfrm>
        <a:prstGeom prst="line">
          <a:avLst/>
        </a:prstGeom>
        <a:noFill/>
        <a:ln w="9525">
          <a:solidFill>
            <a:srgbClr val="000000"/>
          </a:solidFill>
          <a:round/>
          <a:headEnd type="arrow" w="med" len="med"/>
          <a:tailEnd type="arrow" w="med" len="med"/>
        </a:ln>
      </xdr:spPr>
    </xdr:sp>
    <xdr:clientData/>
  </xdr:twoCellAnchor>
  <xdr:twoCellAnchor>
    <xdr:from>
      <xdr:col>12</xdr:col>
      <xdr:colOff>750794</xdr:colOff>
      <xdr:row>90</xdr:row>
      <xdr:rowOff>98605</xdr:rowOff>
    </xdr:from>
    <xdr:to>
      <xdr:col>17</xdr:col>
      <xdr:colOff>741300</xdr:colOff>
      <xdr:row>90</xdr:row>
      <xdr:rowOff>99420</xdr:rowOff>
    </xdr:to>
    <xdr:sp macro="" textlink="">
      <xdr:nvSpPr>
        <xdr:cNvPr id="115" name="Line 46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SpPr>
          <a:spLocks noChangeShapeType="1"/>
        </xdr:cNvSpPr>
      </xdr:nvSpPr>
      <xdr:spPr bwMode="auto">
        <a:xfrm>
          <a:off x="9409019" y="19081930"/>
          <a:ext cx="3800506" cy="815"/>
        </a:xfrm>
        <a:prstGeom prst="line">
          <a:avLst/>
        </a:prstGeom>
        <a:noFill/>
        <a:ln w="9525">
          <a:solidFill>
            <a:srgbClr val="000000"/>
          </a:solidFill>
          <a:round/>
          <a:headEnd type="arrow" w="med" len="med"/>
          <a:tailEnd type="arrow" w="med" len="med"/>
        </a:ln>
      </xdr:spPr>
    </xdr:sp>
    <xdr:clientData/>
  </xdr:twoCellAnchor>
  <xdr:twoCellAnchor>
    <xdr:from>
      <xdr:col>17</xdr:col>
      <xdr:colOff>742950</xdr:colOff>
      <xdr:row>66</xdr:row>
      <xdr:rowOff>190500</xdr:rowOff>
    </xdr:from>
    <xdr:to>
      <xdr:col>18</xdr:col>
      <xdr:colOff>0</xdr:colOff>
      <xdr:row>87</xdr:row>
      <xdr:rowOff>123825</xdr:rowOff>
    </xdr:to>
    <xdr:cxnSp macro="">
      <xdr:nvCxnSpPr>
        <xdr:cNvPr id="116" name="115 Conector recto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CxnSpPr/>
      </xdr:nvCxnSpPr>
      <xdr:spPr>
        <a:xfrm flipH="1">
          <a:off x="13211175" y="14430375"/>
          <a:ext cx="19050" cy="405765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67</xdr:row>
      <xdr:rowOff>0</xdr:rowOff>
    </xdr:from>
    <xdr:to>
      <xdr:col>13</xdr:col>
      <xdr:colOff>16850</xdr:colOff>
      <xdr:row>87</xdr:row>
      <xdr:rowOff>95250</xdr:rowOff>
    </xdr:to>
    <xdr:cxnSp macro="">
      <xdr:nvCxnSpPr>
        <xdr:cNvPr id="117" name="116 Conector recto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CxnSpPr/>
      </xdr:nvCxnSpPr>
      <xdr:spPr>
        <a:xfrm flipH="1">
          <a:off x="9429750" y="14439900"/>
          <a:ext cx="7325" cy="401955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801262</xdr:colOff>
      <xdr:row>67</xdr:row>
      <xdr:rowOff>0</xdr:rowOff>
    </xdr:from>
    <xdr:to>
      <xdr:col>7</xdr:col>
      <xdr:colOff>809625</xdr:colOff>
      <xdr:row>87</xdr:row>
      <xdr:rowOff>66675</xdr:rowOff>
    </xdr:to>
    <xdr:cxnSp macro="">
      <xdr:nvCxnSpPr>
        <xdr:cNvPr id="118" name="117 Conector recto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CxnSpPr/>
      </xdr:nvCxnSpPr>
      <xdr:spPr>
        <a:xfrm>
          <a:off x="5516137" y="14439900"/>
          <a:ext cx="8363" cy="3990975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16850</xdr:colOff>
      <xdr:row>67</xdr:row>
      <xdr:rowOff>0</xdr:rowOff>
    </xdr:from>
    <xdr:to>
      <xdr:col>3</xdr:col>
      <xdr:colOff>19050</xdr:colOff>
      <xdr:row>87</xdr:row>
      <xdr:rowOff>66675</xdr:rowOff>
    </xdr:to>
    <xdr:cxnSp macro="">
      <xdr:nvCxnSpPr>
        <xdr:cNvPr id="119" name="118 Conector recto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CxnSpPr/>
      </xdr:nvCxnSpPr>
      <xdr:spPr>
        <a:xfrm>
          <a:off x="1540850" y="14439900"/>
          <a:ext cx="2200" cy="3990975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756356</xdr:colOff>
      <xdr:row>103</xdr:row>
      <xdr:rowOff>176428</xdr:rowOff>
    </xdr:from>
    <xdr:to>
      <xdr:col>19</xdr:col>
      <xdr:colOff>470652</xdr:colOff>
      <xdr:row>124</xdr:row>
      <xdr:rowOff>94160</xdr:rowOff>
    </xdr:to>
    <xdr:grpSp>
      <xdr:nvGrpSpPr>
        <xdr:cNvPr id="120" name="119 Grupo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GrpSpPr/>
      </xdr:nvGrpSpPr>
      <xdr:grpSpPr>
        <a:xfrm>
          <a:off x="15744896" y="20049388"/>
          <a:ext cx="1299256" cy="3925852"/>
          <a:chOff x="9239205" y="14273428"/>
          <a:chExt cx="1238296" cy="3994140"/>
        </a:xfrm>
      </xdr:grpSpPr>
      <xdr:sp macro="" textlink="">
        <xdr:nvSpPr>
          <xdr:cNvPr id="121" name="Line 39">
            <a:extLst>
              <a:ext uri="{FF2B5EF4-FFF2-40B4-BE49-F238E27FC236}">
                <a16:creationId xmlns:a16="http://schemas.microsoft.com/office/drawing/2014/main" id="{00000000-0008-0000-0100-000079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9789363" y="14273428"/>
            <a:ext cx="643769" cy="945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2" name="Line 40">
            <a:extLst>
              <a:ext uri="{FF2B5EF4-FFF2-40B4-BE49-F238E27FC236}">
                <a16:creationId xmlns:a16="http://schemas.microsoft.com/office/drawing/2014/main" id="{00000000-0008-0000-0100-00007A000000}"/>
              </a:ext>
            </a:extLst>
          </xdr:cNvPr>
          <xdr:cNvSpPr>
            <a:spLocks noChangeShapeType="1"/>
          </xdr:cNvSpPr>
        </xdr:nvSpPr>
        <xdr:spPr bwMode="auto">
          <a:xfrm>
            <a:off x="9239205" y="18267568"/>
            <a:ext cx="1238296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3" name="Line 41">
            <a:extLst>
              <a:ext uri="{FF2B5EF4-FFF2-40B4-BE49-F238E27FC236}">
                <a16:creationId xmlns:a16="http://schemas.microsoft.com/office/drawing/2014/main" id="{00000000-0008-0000-0100-00007B000000}"/>
              </a:ext>
            </a:extLst>
          </xdr:cNvPr>
          <xdr:cNvSpPr>
            <a:spLocks noChangeShapeType="1"/>
          </xdr:cNvSpPr>
        </xdr:nvSpPr>
        <xdr:spPr bwMode="auto">
          <a:xfrm>
            <a:off x="10184675" y="14292330"/>
            <a:ext cx="8873" cy="393721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arrow" w="med" len="med"/>
            <a:tailEnd type="arrow" w="med" len="med"/>
          </a:ln>
        </xdr:spPr>
      </xdr:sp>
    </xdr:grpSp>
    <xdr:clientData/>
  </xdr:twoCellAnchor>
  <xdr:twoCellAnchor>
    <xdr:from>
      <xdr:col>3</xdr:col>
      <xdr:colOff>22412</xdr:colOff>
      <xdr:row>103</xdr:row>
      <xdr:rowOff>201652</xdr:rowOff>
    </xdr:from>
    <xdr:to>
      <xdr:col>18</xdr:col>
      <xdr:colOff>8</xdr:colOff>
      <xdr:row>104</xdr:row>
      <xdr:rowOff>11206</xdr:rowOff>
    </xdr:to>
    <xdr:cxnSp macro="">
      <xdr:nvCxnSpPr>
        <xdr:cNvPr id="124" name="123 Conector recto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CxnSpPr/>
      </xdr:nvCxnSpPr>
      <xdr:spPr>
        <a:xfrm flipV="1">
          <a:off x="1546412" y="21728152"/>
          <a:ext cx="11683821" cy="9579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817469</xdr:colOff>
      <xdr:row>125</xdr:row>
      <xdr:rowOff>17706</xdr:rowOff>
    </xdr:from>
    <xdr:to>
      <xdr:col>7</xdr:col>
      <xdr:colOff>822729</xdr:colOff>
      <xdr:row>129</xdr:row>
      <xdr:rowOff>77484</xdr:rowOff>
    </xdr:to>
    <xdr:sp macro="" textlink="">
      <xdr:nvSpPr>
        <xdr:cNvPr id="125" name="Line 43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SpPr>
          <a:spLocks noChangeShapeType="1"/>
        </xdr:cNvSpPr>
      </xdr:nvSpPr>
      <xdr:spPr bwMode="auto">
        <a:xfrm flipH="1">
          <a:off x="5532344" y="25859031"/>
          <a:ext cx="5260" cy="86940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750795</xdr:colOff>
      <xdr:row>127</xdr:row>
      <xdr:rowOff>22405</xdr:rowOff>
    </xdr:from>
    <xdr:to>
      <xdr:col>8</xdr:col>
      <xdr:colOff>11207</xdr:colOff>
      <xdr:row>127</xdr:row>
      <xdr:rowOff>22405</xdr:rowOff>
    </xdr:to>
    <xdr:sp macro="" textlink="">
      <xdr:nvSpPr>
        <xdr:cNvPr id="126" name="Line 45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SpPr>
          <a:spLocks noChangeShapeType="1"/>
        </xdr:cNvSpPr>
      </xdr:nvSpPr>
      <xdr:spPr bwMode="auto">
        <a:xfrm>
          <a:off x="1512795" y="26292355"/>
          <a:ext cx="4041962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arrow" w="med" len="med"/>
          <a:tailEnd type="arrow" w="med" len="med"/>
        </a:ln>
      </xdr:spPr>
    </xdr:sp>
    <xdr:clientData/>
  </xdr:twoCellAnchor>
  <xdr:twoCellAnchor>
    <xdr:from>
      <xdr:col>2</xdr:col>
      <xdr:colOff>750794</xdr:colOff>
      <xdr:row>125</xdr:row>
      <xdr:rowOff>82426</xdr:rowOff>
    </xdr:from>
    <xdr:to>
      <xdr:col>2</xdr:col>
      <xdr:colOff>754154</xdr:colOff>
      <xdr:row>129</xdr:row>
      <xdr:rowOff>122209</xdr:rowOff>
    </xdr:to>
    <xdr:sp macro="" textlink="">
      <xdr:nvSpPr>
        <xdr:cNvPr id="127" name="Line 42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SpPr>
          <a:spLocks noChangeShapeType="1"/>
        </xdr:cNvSpPr>
      </xdr:nvSpPr>
      <xdr:spPr bwMode="auto">
        <a:xfrm flipH="1">
          <a:off x="1512794" y="25923751"/>
          <a:ext cx="3360" cy="8494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124</xdr:row>
      <xdr:rowOff>166239</xdr:rowOff>
    </xdr:from>
    <xdr:to>
      <xdr:col>13</xdr:col>
      <xdr:colOff>4697</xdr:colOff>
      <xdr:row>129</xdr:row>
      <xdr:rowOff>99846</xdr:rowOff>
    </xdr:to>
    <xdr:sp macro="" textlink="">
      <xdr:nvSpPr>
        <xdr:cNvPr id="128" name="Line 44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SpPr>
          <a:spLocks noChangeShapeType="1"/>
        </xdr:cNvSpPr>
      </xdr:nvSpPr>
      <xdr:spPr bwMode="auto">
        <a:xfrm flipH="1">
          <a:off x="9420225" y="25817064"/>
          <a:ext cx="4697" cy="93373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760288</xdr:colOff>
      <xdr:row>127</xdr:row>
      <xdr:rowOff>21589</xdr:rowOff>
    </xdr:from>
    <xdr:to>
      <xdr:col>12</xdr:col>
      <xdr:colOff>750794</xdr:colOff>
      <xdr:row>127</xdr:row>
      <xdr:rowOff>22404</xdr:rowOff>
    </xdr:to>
    <xdr:sp macro="" textlink="">
      <xdr:nvSpPr>
        <xdr:cNvPr id="129" name="Line 46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SpPr>
          <a:spLocks noChangeShapeType="1"/>
        </xdr:cNvSpPr>
      </xdr:nvSpPr>
      <xdr:spPr bwMode="auto">
        <a:xfrm>
          <a:off x="5475163" y="26291539"/>
          <a:ext cx="3933856" cy="815"/>
        </a:xfrm>
        <a:prstGeom prst="line">
          <a:avLst/>
        </a:prstGeom>
        <a:noFill/>
        <a:ln w="9525">
          <a:solidFill>
            <a:srgbClr val="000000"/>
          </a:solidFill>
          <a:round/>
          <a:headEnd type="arrow" w="med" len="med"/>
          <a:tailEnd type="arrow" w="med" len="med"/>
        </a:ln>
      </xdr:spPr>
    </xdr:sp>
    <xdr:clientData/>
  </xdr:twoCellAnchor>
  <xdr:twoCellAnchor>
    <xdr:from>
      <xdr:col>12</xdr:col>
      <xdr:colOff>750794</xdr:colOff>
      <xdr:row>127</xdr:row>
      <xdr:rowOff>22405</xdr:rowOff>
    </xdr:from>
    <xdr:to>
      <xdr:col>17</xdr:col>
      <xdr:colOff>741300</xdr:colOff>
      <xdr:row>127</xdr:row>
      <xdr:rowOff>23220</xdr:rowOff>
    </xdr:to>
    <xdr:sp macro="" textlink="">
      <xdr:nvSpPr>
        <xdr:cNvPr id="130" name="Line 46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SpPr>
          <a:spLocks noChangeShapeType="1"/>
        </xdr:cNvSpPr>
      </xdr:nvSpPr>
      <xdr:spPr bwMode="auto">
        <a:xfrm>
          <a:off x="9409019" y="26292355"/>
          <a:ext cx="3800506" cy="815"/>
        </a:xfrm>
        <a:prstGeom prst="line">
          <a:avLst/>
        </a:prstGeom>
        <a:noFill/>
        <a:ln w="9525">
          <a:solidFill>
            <a:srgbClr val="000000"/>
          </a:solidFill>
          <a:round/>
          <a:headEnd type="arrow" w="med" len="med"/>
          <a:tailEnd type="arrow" w="med" len="med"/>
        </a:ln>
      </xdr:spPr>
    </xdr:sp>
    <xdr:clientData/>
  </xdr:twoCellAnchor>
  <xdr:twoCellAnchor>
    <xdr:from>
      <xdr:col>17</xdr:col>
      <xdr:colOff>752475</xdr:colOff>
      <xdr:row>103</xdr:row>
      <xdr:rowOff>190500</xdr:rowOff>
    </xdr:from>
    <xdr:to>
      <xdr:col>18</xdr:col>
      <xdr:colOff>0</xdr:colOff>
      <xdr:row>124</xdr:row>
      <xdr:rowOff>85725</xdr:rowOff>
    </xdr:to>
    <xdr:cxnSp macro="">
      <xdr:nvCxnSpPr>
        <xdr:cNvPr id="131" name="130 Conector recto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CxnSpPr/>
      </xdr:nvCxnSpPr>
      <xdr:spPr>
        <a:xfrm flipH="1">
          <a:off x="13220700" y="21717000"/>
          <a:ext cx="9525" cy="401955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16850</xdr:colOff>
      <xdr:row>104</xdr:row>
      <xdr:rowOff>0</xdr:rowOff>
    </xdr:from>
    <xdr:to>
      <xdr:col>13</xdr:col>
      <xdr:colOff>19050</xdr:colOff>
      <xdr:row>124</xdr:row>
      <xdr:rowOff>95250</xdr:rowOff>
    </xdr:to>
    <xdr:cxnSp macro="">
      <xdr:nvCxnSpPr>
        <xdr:cNvPr id="132" name="131 Conector recto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CxnSpPr/>
      </xdr:nvCxnSpPr>
      <xdr:spPr>
        <a:xfrm>
          <a:off x="9437075" y="21726525"/>
          <a:ext cx="2200" cy="401955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801262</xdr:colOff>
      <xdr:row>104</xdr:row>
      <xdr:rowOff>0</xdr:rowOff>
    </xdr:from>
    <xdr:to>
      <xdr:col>7</xdr:col>
      <xdr:colOff>819150</xdr:colOff>
      <xdr:row>124</xdr:row>
      <xdr:rowOff>85725</xdr:rowOff>
    </xdr:to>
    <xdr:cxnSp macro="">
      <xdr:nvCxnSpPr>
        <xdr:cNvPr id="133" name="132 Conector recto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CxnSpPr/>
      </xdr:nvCxnSpPr>
      <xdr:spPr>
        <a:xfrm>
          <a:off x="5516137" y="21726525"/>
          <a:ext cx="17888" cy="4010025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104</xdr:row>
      <xdr:rowOff>0</xdr:rowOff>
    </xdr:from>
    <xdr:to>
      <xdr:col>3</xdr:col>
      <xdr:colOff>16850</xdr:colOff>
      <xdr:row>124</xdr:row>
      <xdr:rowOff>76200</xdr:rowOff>
    </xdr:to>
    <xdr:cxnSp macro="">
      <xdr:nvCxnSpPr>
        <xdr:cNvPr id="134" name="133 Conector recto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CxnSpPr/>
      </xdr:nvCxnSpPr>
      <xdr:spPr>
        <a:xfrm flipH="1">
          <a:off x="1533525" y="21726525"/>
          <a:ext cx="7325" cy="400050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756356</xdr:colOff>
      <xdr:row>66</xdr:row>
      <xdr:rowOff>176428</xdr:rowOff>
    </xdr:from>
    <xdr:to>
      <xdr:col>33</xdr:col>
      <xdr:colOff>470652</xdr:colOff>
      <xdr:row>87</xdr:row>
      <xdr:rowOff>94160</xdr:rowOff>
    </xdr:to>
    <xdr:grpSp>
      <xdr:nvGrpSpPr>
        <xdr:cNvPr id="135" name="134 Grupo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GrpSpPr/>
      </xdr:nvGrpSpPr>
      <xdr:grpSpPr>
        <a:xfrm>
          <a:off x="27014876" y="13000888"/>
          <a:ext cx="1299256" cy="3925852"/>
          <a:chOff x="9239205" y="14273428"/>
          <a:chExt cx="1238296" cy="3994140"/>
        </a:xfrm>
      </xdr:grpSpPr>
      <xdr:sp macro="" textlink="">
        <xdr:nvSpPr>
          <xdr:cNvPr id="136" name="Line 39">
            <a:extLst>
              <a:ext uri="{FF2B5EF4-FFF2-40B4-BE49-F238E27FC236}">
                <a16:creationId xmlns:a16="http://schemas.microsoft.com/office/drawing/2014/main" id="{00000000-0008-0000-0100-000088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9789363" y="14273428"/>
            <a:ext cx="643769" cy="945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37" name="Line 40">
            <a:extLst>
              <a:ext uri="{FF2B5EF4-FFF2-40B4-BE49-F238E27FC236}">
                <a16:creationId xmlns:a16="http://schemas.microsoft.com/office/drawing/2014/main" id="{00000000-0008-0000-0100-000089000000}"/>
              </a:ext>
            </a:extLst>
          </xdr:cNvPr>
          <xdr:cNvSpPr>
            <a:spLocks noChangeShapeType="1"/>
          </xdr:cNvSpPr>
        </xdr:nvSpPr>
        <xdr:spPr bwMode="auto">
          <a:xfrm>
            <a:off x="9239205" y="18267568"/>
            <a:ext cx="1238296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38" name="Line 41">
            <a:extLst>
              <a:ext uri="{FF2B5EF4-FFF2-40B4-BE49-F238E27FC236}">
                <a16:creationId xmlns:a16="http://schemas.microsoft.com/office/drawing/2014/main" id="{00000000-0008-0000-0100-00008A000000}"/>
              </a:ext>
            </a:extLst>
          </xdr:cNvPr>
          <xdr:cNvSpPr>
            <a:spLocks noChangeShapeType="1"/>
          </xdr:cNvSpPr>
        </xdr:nvSpPr>
        <xdr:spPr bwMode="auto">
          <a:xfrm>
            <a:off x="10184675" y="14292330"/>
            <a:ext cx="8873" cy="393721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arrow" w="med" len="med"/>
            <a:tailEnd type="arrow" w="med" len="med"/>
          </a:ln>
        </xdr:spPr>
      </xdr:sp>
    </xdr:grpSp>
    <xdr:clientData/>
  </xdr:twoCellAnchor>
  <xdr:twoCellAnchor>
    <xdr:from>
      <xdr:col>22</xdr:col>
      <xdr:colOff>22412</xdr:colOff>
      <xdr:row>67</xdr:row>
      <xdr:rowOff>11207</xdr:rowOff>
    </xdr:from>
    <xdr:to>
      <xdr:col>31</xdr:col>
      <xdr:colOff>734786</xdr:colOff>
      <xdr:row>67</xdr:row>
      <xdr:rowOff>27214</xdr:rowOff>
    </xdr:to>
    <xdr:cxnSp macro="">
      <xdr:nvCxnSpPr>
        <xdr:cNvPr id="139" name="138 Conector recto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CxnSpPr/>
      </xdr:nvCxnSpPr>
      <xdr:spPr>
        <a:xfrm>
          <a:off x="16367312" y="14451107"/>
          <a:ext cx="7741824" cy="16007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750794</xdr:colOff>
      <xdr:row>88</xdr:row>
      <xdr:rowOff>17706</xdr:rowOff>
    </xdr:from>
    <xdr:to>
      <xdr:col>26</xdr:col>
      <xdr:colOff>756054</xdr:colOff>
      <xdr:row>92</xdr:row>
      <xdr:rowOff>87009</xdr:rowOff>
    </xdr:to>
    <xdr:sp macro="" textlink="">
      <xdr:nvSpPr>
        <xdr:cNvPr id="140" name="Line 43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SpPr>
          <a:spLocks noChangeShapeType="1"/>
        </xdr:cNvSpPr>
      </xdr:nvSpPr>
      <xdr:spPr bwMode="auto">
        <a:xfrm flipH="1">
          <a:off x="20315144" y="18572406"/>
          <a:ext cx="5260" cy="8789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750795</xdr:colOff>
      <xdr:row>90</xdr:row>
      <xdr:rowOff>31930</xdr:rowOff>
    </xdr:from>
    <xdr:to>
      <xdr:col>27</xdr:col>
      <xdr:colOff>11207</xdr:colOff>
      <xdr:row>90</xdr:row>
      <xdr:rowOff>31930</xdr:rowOff>
    </xdr:to>
    <xdr:sp macro="" textlink="">
      <xdr:nvSpPr>
        <xdr:cNvPr id="141" name="Line 45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SpPr>
          <a:spLocks noChangeShapeType="1"/>
        </xdr:cNvSpPr>
      </xdr:nvSpPr>
      <xdr:spPr bwMode="auto">
        <a:xfrm>
          <a:off x="16333695" y="19015255"/>
          <a:ext cx="4003862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arrow" w="med" len="med"/>
          <a:tailEnd type="arrow" w="med" len="med"/>
        </a:ln>
      </xdr:spPr>
    </xdr:sp>
    <xdr:clientData/>
  </xdr:twoCellAnchor>
  <xdr:twoCellAnchor>
    <xdr:from>
      <xdr:col>21</xdr:col>
      <xdr:colOff>750794</xdr:colOff>
      <xdr:row>88</xdr:row>
      <xdr:rowOff>82426</xdr:rowOff>
    </xdr:from>
    <xdr:to>
      <xdr:col>21</xdr:col>
      <xdr:colOff>754154</xdr:colOff>
      <xdr:row>92</xdr:row>
      <xdr:rowOff>131734</xdr:rowOff>
    </xdr:to>
    <xdr:sp macro="" textlink="">
      <xdr:nvSpPr>
        <xdr:cNvPr id="142" name="Line 42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SpPr>
          <a:spLocks noChangeShapeType="1"/>
        </xdr:cNvSpPr>
      </xdr:nvSpPr>
      <xdr:spPr bwMode="auto">
        <a:xfrm flipH="1">
          <a:off x="16333694" y="18637126"/>
          <a:ext cx="3360" cy="85893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0</xdr:colOff>
      <xdr:row>87</xdr:row>
      <xdr:rowOff>156714</xdr:rowOff>
    </xdr:from>
    <xdr:to>
      <xdr:col>32</xdr:col>
      <xdr:colOff>4697</xdr:colOff>
      <xdr:row>92</xdr:row>
      <xdr:rowOff>109371</xdr:rowOff>
    </xdr:to>
    <xdr:sp macro="" textlink="">
      <xdr:nvSpPr>
        <xdr:cNvPr id="143" name="Line 44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SpPr>
          <a:spLocks noChangeShapeType="1"/>
        </xdr:cNvSpPr>
      </xdr:nvSpPr>
      <xdr:spPr bwMode="auto">
        <a:xfrm flipH="1">
          <a:off x="24136350" y="18520914"/>
          <a:ext cx="4697" cy="95278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760288</xdr:colOff>
      <xdr:row>90</xdr:row>
      <xdr:rowOff>31114</xdr:rowOff>
    </xdr:from>
    <xdr:to>
      <xdr:col>31</xdr:col>
      <xdr:colOff>750794</xdr:colOff>
      <xdr:row>90</xdr:row>
      <xdr:rowOff>31929</xdr:rowOff>
    </xdr:to>
    <xdr:sp macro="" textlink="">
      <xdr:nvSpPr>
        <xdr:cNvPr id="144" name="Line 46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SpPr>
          <a:spLocks noChangeShapeType="1"/>
        </xdr:cNvSpPr>
      </xdr:nvSpPr>
      <xdr:spPr bwMode="auto">
        <a:xfrm>
          <a:off x="20324638" y="19014439"/>
          <a:ext cx="3800506" cy="815"/>
        </a:xfrm>
        <a:prstGeom prst="line">
          <a:avLst/>
        </a:prstGeom>
        <a:noFill/>
        <a:ln w="9525">
          <a:solidFill>
            <a:srgbClr val="000000"/>
          </a:solidFill>
          <a:round/>
          <a:headEnd type="arrow" w="med" len="med"/>
          <a:tailEnd type="arrow" w="med" len="med"/>
        </a:ln>
      </xdr:spPr>
    </xdr:sp>
    <xdr:clientData/>
  </xdr:twoCellAnchor>
  <xdr:twoCellAnchor>
    <xdr:from>
      <xdr:col>31</xdr:col>
      <xdr:colOff>756356</xdr:colOff>
      <xdr:row>67</xdr:row>
      <xdr:rowOff>0</xdr:rowOff>
    </xdr:from>
    <xdr:to>
      <xdr:col>32</xdr:col>
      <xdr:colOff>16850</xdr:colOff>
      <xdr:row>87</xdr:row>
      <xdr:rowOff>94160</xdr:rowOff>
    </xdr:to>
    <xdr:cxnSp macro="">
      <xdr:nvCxnSpPr>
        <xdr:cNvPr id="145" name="144 Conector recto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CxnSpPr>
          <a:endCxn id="137" idx="0"/>
        </xdr:cNvCxnSpPr>
      </xdr:nvCxnSpPr>
      <xdr:spPr>
        <a:xfrm flipH="1">
          <a:off x="24130706" y="14439900"/>
          <a:ext cx="22494" cy="401846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3362</xdr:colOff>
      <xdr:row>67</xdr:row>
      <xdr:rowOff>0</xdr:rowOff>
    </xdr:from>
    <xdr:to>
      <xdr:col>27</xdr:col>
      <xdr:colOff>19050</xdr:colOff>
      <xdr:row>87</xdr:row>
      <xdr:rowOff>95250</xdr:rowOff>
    </xdr:to>
    <xdr:cxnSp macro="">
      <xdr:nvCxnSpPr>
        <xdr:cNvPr id="146" name="145 Conector recto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CxnSpPr/>
      </xdr:nvCxnSpPr>
      <xdr:spPr>
        <a:xfrm>
          <a:off x="20329712" y="14439900"/>
          <a:ext cx="15688" cy="401955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9525</xdr:colOff>
      <xdr:row>67</xdr:row>
      <xdr:rowOff>0</xdr:rowOff>
    </xdr:from>
    <xdr:to>
      <xdr:col>22</xdr:col>
      <xdr:colOff>16850</xdr:colOff>
      <xdr:row>87</xdr:row>
      <xdr:rowOff>76200</xdr:rowOff>
    </xdr:to>
    <xdr:cxnSp macro="">
      <xdr:nvCxnSpPr>
        <xdr:cNvPr id="147" name="146 Conector recto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CxnSpPr/>
      </xdr:nvCxnSpPr>
      <xdr:spPr>
        <a:xfrm flipH="1">
          <a:off x="16354425" y="14439900"/>
          <a:ext cx="7325" cy="400050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438150</xdr:colOff>
      <xdr:row>50</xdr:row>
      <xdr:rowOff>66675</xdr:rowOff>
    </xdr:from>
    <xdr:to>
      <xdr:col>30</xdr:col>
      <xdr:colOff>723900</xdr:colOff>
      <xdr:row>53</xdr:row>
      <xdr:rowOff>66675</xdr:rowOff>
    </xdr:to>
    <xdr:grpSp>
      <xdr:nvGrpSpPr>
        <xdr:cNvPr id="148" name="147 Grupo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GrpSpPr/>
      </xdr:nvGrpSpPr>
      <xdr:grpSpPr>
        <a:xfrm>
          <a:off x="23526750" y="9896475"/>
          <a:ext cx="2663190" cy="548640"/>
          <a:chOff x="18697575" y="571500"/>
          <a:chExt cx="2809875" cy="400050"/>
        </a:xfrm>
      </xdr:grpSpPr>
      <xdr:sp macro="" textlink="">
        <xdr:nvSpPr>
          <xdr:cNvPr id="149" name="Rectangle 37">
            <a:extLst>
              <a:ext uri="{FF2B5EF4-FFF2-40B4-BE49-F238E27FC236}">
                <a16:creationId xmlns:a16="http://schemas.microsoft.com/office/drawing/2014/main" id="{00000000-0008-0000-0100-000095000000}"/>
              </a:ext>
            </a:extLst>
          </xdr:cNvPr>
          <xdr:cNvSpPr>
            <a:spLocks noChangeArrowheads="1"/>
          </xdr:cNvSpPr>
        </xdr:nvSpPr>
        <xdr:spPr bwMode="auto">
          <a:xfrm>
            <a:off x="18697575" y="581025"/>
            <a:ext cx="400050" cy="390525"/>
          </a:xfrm>
          <a:prstGeom prst="rect">
            <a:avLst/>
          </a:prstGeom>
          <a:solidFill>
            <a:srgbClr val="969696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50" name="Rectangle 38">
            <a:extLst>
              <a:ext uri="{FF2B5EF4-FFF2-40B4-BE49-F238E27FC236}">
                <a16:creationId xmlns:a16="http://schemas.microsoft.com/office/drawing/2014/main" id="{00000000-0008-0000-0100-000096000000}"/>
              </a:ext>
            </a:extLst>
          </xdr:cNvPr>
          <xdr:cNvSpPr>
            <a:spLocks noChangeArrowheads="1"/>
          </xdr:cNvSpPr>
        </xdr:nvSpPr>
        <xdr:spPr bwMode="auto">
          <a:xfrm>
            <a:off x="21240750" y="571500"/>
            <a:ext cx="266700" cy="390525"/>
          </a:xfrm>
          <a:prstGeom prst="rect">
            <a:avLst/>
          </a:prstGeom>
          <a:solidFill>
            <a:srgbClr val="969696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31</xdr:col>
      <xdr:colOff>756356</xdr:colOff>
      <xdr:row>103</xdr:row>
      <xdr:rowOff>176428</xdr:rowOff>
    </xdr:from>
    <xdr:to>
      <xdr:col>33</xdr:col>
      <xdr:colOff>470652</xdr:colOff>
      <xdr:row>124</xdr:row>
      <xdr:rowOff>94160</xdr:rowOff>
    </xdr:to>
    <xdr:grpSp>
      <xdr:nvGrpSpPr>
        <xdr:cNvPr id="151" name="150 Grupo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GrpSpPr/>
      </xdr:nvGrpSpPr>
      <xdr:grpSpPr>
        <a:xfrm>
          <a:off x="27014876" y="20049388"/>
          <a:ext cx="1299256" cy="3925852"/>
          <a:chOff x="9239205" y="14273428"/>
          <a:chExt cx="1238296" cy="3994140"/>
        </a:xfrm>
      </xdr:grpSpPr>
      <xdr:sp macro="" textlink="">
        <xdr:nvSpPr>
          <xdr:cNvPr id="152" name="Line 39">
            <a:extLst>
              <a:ext uri="{FF2B5EF4-FFF2-40B4-BE49-F238E27FC236}">
                <a16:creationId xmlns:a16="http://schemas.microsoft.com/office/drawing/2014/main" id="{00000000-0008-0000-0100-000098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9789363" y="14273428"/>
            <a:ext cx="643769" cy="945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53" name="Line 40">
            <a:extLst>
              <a:ext uri="{FF2B5EF4-FFF2-40B4-BE49-F238E27FC236}">
                <a16:creationId xmlns:a16="http://schemas.microsoft.com/office/drawing/2014/main" id="{00000000-0008-0000-0100-000099000000}"/>
              </a:ext>
            </a:extLst>
          </xdr:cNvPr>
          <xdr:cNvSpPr>
            <a:spLocks noChangeShapeType="1"/>
          </xdr:cNvSpPr>
        </xdr:nvSpPr>
        <xdr:spPr bwMode="auto">
          <a:xfrm>
            <a:off x="9239205" y="18267568"/>
            <a:ext cx="1238296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54" name="Line 41">
            <a:extLst>
              <a:ext uri="{FF2B5EF4-FFF2-40B4-BE49-F238E27FC236}">
                <a16:creationId xmlns:a16="http://schemas.microsoft.com/office/drawing/2014/main" id="{00000000-0008-0000-0100-00009A000000}"/>
              </a:ext>
            </a:extLst>
          </xdr:cNvPr>
          <xdr:cNvSpPr>
            <a:spLocks noChangeShapeType="1"/>
          </xdr:cNvSpPr>
        </xdr:nvSpPr>
        <xdr:spPr bwMode="auto">
          <a:xfrm>
            <a:off x="10184675" y="14292330"/>
            <a:ext cx="8873" cy="393721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arrow" w="med" len="med"/>
            <a:tailEnd type="arrow" w="med" len="med"/>
          </a:ln>
        </xdr:spPr>
      </xdr:sp>
    </xdr:grpSp>
    <xdr:clientData/>
  </xdr:twoCellAnchor>
  <xdr:twoCellAnchor>
    <xdr:from>
      <xdr:col>22</xdr:col>
      <xdr:colOff>22412</xdr:colOff>
      <xdr:row>104</xdr:row>
      <xdr:rowOff>11207</xdr:rowOff>
    </xdr:from>
    <xdr:to>
      <xdr:col>31</xdr:col>
      <xdr:colOff>734786</xdr:colOff>
      <xdr:row>104</xdr:row>
      <xdr:rowOff>27214</xdr:rowOff>
    </xdr:to>
    <xdr:cxnSp macro="">
      <xdr:nvCxnSpPr>
        <xdr:cNvPr id="155" name="154 Conector recto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CxnSpPr/>
      </xdr:nvCxnSpPr>
      <xdr:spPr>
        <a:xfrm>
          <a:off x="16367312" y="21737732"/>
          <a:ext cx="7741824" cy="16007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750794</xdr:colOff>
      <xdr:row>125</xdr:row>
      <xdr:rowOff>17706</xdr:rowOff>
    </xdr:from>
    <xdr:to>
      <xdr:col>26</xdr:col>
      <xdr:colOff>756054</xdr:colOff>
      <xdr:row>129</xdr:row>
      <xdr:rowOff>87009</xdr:rowOff>
    </xdr:to>
    <xdr:sp macro="" textlink="">
      <xdr:nvSpPr>
        <xdr:cNvPr id="156" name="Line 43"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SpPr>
          <a:spLocks noChangeShapeType="1"/>
        </xdr:cNvSpPr>
      </xdr:nvSpPr>
      <xdr:spPr bwMode="auto">
        <a:xfrm flipH="1">
          <a:off x="20315144" y="25859031"/>
          <a:ext cx="5260" cy="8789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750795</xdr:colOff>
      <xdr:row>127</xdr:row>
      <xdr:rowOff>31930</xdr:rowOff>
    </xdr:from>
    <xdr:to>
      <xdr:col>27</xdr:col>
      <xdr:colOff>11207</xdr:colOff>
      <xdr:row>127</xdr:row>
      <xdr:rowOff>31930</xdr:rowOff>
    </xdr:to>
    <xdr:sp macro="" textlink="">
      <xdr:nvSpPr>
        <xdr:cNvPr id="157" name="Line 45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SpPr>
          <a:spLocks noChangeShapeType="1"/>
        </xdr:cNvSpPr>
      </xdr:nvSpPr>
      <xdr:spPr bwMode="auto">
        <a:xfrm>
          <a:off x="16333695" y="26301880"/>
          <a:ext cx="4003862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arrow" w="med" len="med"/>
          <a:tailEnd type="arrow" w="med" len="med"/>
        </a:ln>
      </xdr:spPr>
    </xdr:sp>
    <xdr:clientData/>
  </xdr:twoCellAnchor>
  <xdr:twoCellAnchor>
    <xdr:from>
      <xdr:col>21</xdr:col>
      <xdr:colOff>750794</xdr:colOff>
      <xdr:row>125</xdr:row>
      <xdr:rowOff>82426</xdr:rowOff>
    </xdr:from>
    <xdr:to>
      <xdr:col>21</xdr:col>
      <xdr:colOff>754154</xdr:colOff>
      <xdr:row>129</xdr:row>
      <xdr:rowOff>131734</xdr:rowOff>
    </xdr:to>
    <xdr:sp macro="" textlink="">
      <xdr:nvSpPr>
        <xdr:cNvPr id="158" name="Line 42">
          <a:extLst>
            <a:ext uri="{FF2B5EF4-FFF2-40B4-BE49-F238E27FC236}">
              <a16:creationId xmlns:a16="http://schemas.microsoft.com/office/drawing/2014/main" id="{00000000-0008-0000-0100-00009E000000}"/>
            </a:ext>
          </a:extLst>
        </xdr:cNvPr>
        <xdr:cNvSpPr>
          <a:spLocks noChangeShapeType="1"/>
        </xdr:cNvSpPr>
      </xdr:nvSpPr>
      <xdr:spPr bwMode="auto">
        <a:xfrm flipH="1">
          <a:off x="16333694" y="25923751"/>
          <a:ext cx="3360" cy="85893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0</xdr:colOff>
      <xdr:row>124</xdr:row>
      <xdr:rowOff>156714</xdr:rowOff>
    </xdr:from>
    <xdr:to>
      <xdr:col>32</xdr:col>
      <xdr:colOff>4697</xdr:colOff>
      <xdr:row>129</xdr:row>
      <xdr:rowOff>109371</xdr:rowOff>
    </xdr:to>
    <xdr:sp macro="" textlink="">
      <xdr:nvSpPr>
        <xdr:cNvPr id="159" name="Line 44">
          <a:extLst>
            <a:ext uri="{FF2B5EF4-FFF2-40B4-BE49-F238E27FC236}">
              <a16:creationId xmlns:a16="http://schemas.microsoft.com/office/drawing/2014/main" id="{00000000-0008-0000-0100-00009F000000}"/>
            </a:ext>
          </a:extLst>
        </xdr:cNvPr>
        <xdr:cNvSpPr>
          <a:spLocks noChangeShapeType="1"/>
        </xdr:cNvSpPr>
      </xdr:nvSpPr>
      <xdr:spPr bwMode="auto">
        <a:xfrm flipH="1">
          <a:off x="24136350" y="25807539"/>
          <a:ext cx="4697" cy="95278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760288</xdr:colOff>
      <xdr:row>127</xdr:row>
      <xdr:rowOff>31114</xdr:rowOff>
    </xdr:from>
    <xdr:to>
      <xdr:col>31</xdr:col>
      <xdr:colOff>750794</xdr:colOff>
      <xdr:row>127</xdr:row>
      <xdr:rowOff>31929</xdr:rowOff>
    </xdr:to>
    <xdr:sp macro="" textlink="">
      <xdr:nvSpPr>
        <xdr:cNvPr id="160" name="Line 46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SpPr>
          <a:spLocks noChangeShapeType="1"/>
        </xdr:cNvSpPr>
      </xdr:nvSpPr>
      <xdr:spPr bwMode="auto">
        <a:xfrm>
          <a:off x="20324638" y="26301064"/>
          <a:ext cx="3800506" cy="815"/>
        </a:xfrm>
        <a:prstGeom prst="line">
          <a:avLst/>
        </a:prstGeom>
        <a:noFill/>
        <a:ln w="9525">
          <a:solidFill>
            <a:srgbClr val="000000"/>
          </a:solidFill>
          <a:round/>
          <a:headEnd type="arrow" w="med" len="med"/>
          <a:tailEnd type="arrow" w="med" len="med"/>
        </a:ln>
      </xdr:spPr>
    </xdr:sp>
    <xdr:clientData/>
  </xdr:twoCellAnchor>
  <xdr:twoCellAnchor>
    <xdr:from>
      <xdr:col>31</xdr:col>
      <xdr:colOff>756356</xdr:colOff>
      <xdr:row>104</xdr:row>
      <xdr:rowOff>0</xdr:rowOff>
    </xdr:from>
    <xdr:to>
      <xdr:col>32</xdr:col>
      <xdr:colOff>16850</xdr:colOff>
      <xdr:row>124</xdr:row>
      <xdr:rowOff>94160</xdr:rowOff>
    </xdr:to>
    <xdr:cxnSp macro="">
      <xdr:nvCxnSpPr>
        <xdr:cNvPr id="161" name="160 Conector recto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CxnSpPr>
          <a:endCxn id="153" idx="0"/>
        </xdr:cNvCxnSpPr>
      </xdr:nvCxnSpPr>
      <xdr:spPr>
        <a:xfrm flipH="1">
          <a:off x="24130706" y="21726525"/>
          <a:ext cx="22494" cy="401846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104</xdr:row>
      <xdr:rowOff>0</xdr:rowOff>
    </xdr:from>
    <xdr:to>
      <xdr:col>27</xdr:col>
      <xdr:colOff>3362</xdr:colOff>
      <xdr:row>124</xdr:row>
      <xdr:rowOff>76200</xdr:rowOff>
    </xdr:to>
    <xdr:cxnSp macro="">
      <xdr:nvCxnSpPr>
        <xdr:cNvPr id="162" name="161 Conector recto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CxnSpPr/>
      </xdr:nvCxnSpPr>
      <xdr:spPr>
        <a:xfrm flipH="1">
          <a:off x="20326350" y="21726525"/>
          <a:ext cx="3362" cy="400050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16850</xdr:colOff>
      <xdr:row>104</xdr:row>
      <xdr:rowOff>0</xdr:rowOff>
    </xdr:from>
    <xdr:to>
      <xdr:col>22</xdr:col>
      <xdr:colOff>19050</xdr:colOff>
      <xdr:row>124</xdr:row>
      <xdr:rowOff>66675</xdr:rowOff>
    </xdr:to>
    <xdr:cxnSp macro="">
      <xdr:nvCxnSpPr>
        <xdr:cNvPr id="163" name="162 Conector recto">
          <a:extLst>
            <a:ext uri="{FF2B5EF4-FFF2-40B4-BE49-F238E27FC236}">
              <a16:creationId xmlns:a16="http://schemas.microsoft.com/office/drawing/2014/main" id="{00000000-0008-0000-0100-0000A3000000}"/>
            </a:ext>
          </a:extLst>
        </xdr:cNvPr>
        <xdr:cNvCxnSpPr/>
      </xdr:nvCxnSpPr>
      <xdr:spPr>
        <a:xfrm>
          <a:off x="16361750" y="21726525"/>
          <a:ext cx="2200" cy="3990975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24</xdr:row>
      <xdr:rowOff>123825</xdr:rowOff>
    </xdr:from>
    <xdr:to>
      <xdr:col>12</xdr:col>
      <xdr:colOff>400050</xdr:colOff>
      <xdr:row>24</xdr:row>
      <xdr:rowOff>123825</xdr:rowOff>
    </xdr:to>
    <xdr:sp macro="" textlink="">
      <xdr:nvSpPr>
        <xdr:cNvPr id="2" name="Line 258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ShapeType="1"/>
        </xdr:cNvSpPr>
      </xdr:nvSpPr>
      <xdr:spPr bwMode="auto">
        <a:xfrm>
          <a:off x="4238625" y="4924425"/>
          <a:ext cx="5305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400050</xdr:colOff>
      <xdr:row>28</xdr:row>
      <xdr:rowOff>104775</xdr:rowOff>
    </xdr:from>
    <xdr:to>
      <xdr:col>11</xdr:col>
      <xdr:colOff>428625</xdr:colOff>
      <xdr:row>28</xdr:row>
      <xdr:rowOff>104775</xdr:rowOff>
    </xdr:to>
    <xdr:sp macro="" textlink="">
      <xdr:nvSpPr>
        <xdr:cNvPr id="3" name="Line 259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ShapeType="1"/>
        </xdr:cNvSpPr>
      </xdr:nvSpPr>
      <xdr:spPr bwMode="auto">
        <a:xfrm>
          <a:off x="4972050" y="5667375"/>
          <a:ext cx="383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400050</xdr:colOff>
      <xdr:row>28</xdr:row>
      <xdr:rowOff>114300</xdr:rowOff>
    </xdr:from>
    <xdr:to>
      <xdr:col>6</xdr:col>
      <xdr:colOff>400050</xdr:colOff>
      <xdr:row>30</xdr:row>
      <xdr:rowOff>180975</xdr:rowOff>
    </xdr:to>
    <xdr:sp macro="" textlink="">
      <xdr:nvSpPr>
        <xdr:cNvPr id="4" name="Line 26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ShapeType="1"/>
        </xdr:cNvSpPr>
      </xdr:nvSpPr>
      <xdr:spPr bwMode="auto">
        <a:xfrm>
          <a:off x="4972050" y="5676900"/>
          <a:ext cx="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438150</xdr:colOff>
      <xdr:row>28</xdr:row>
      <xdr:rowOff>104775</xdr:rowOff>
    </xdr:from>
    <xdr:to>
      <xdr:col>11</xdr:col>
      <xdr:colOff>438150</xdr:colOff>
      <xdr:row>32</xdr:row>
      <xdr:rowOff>38100</xdr:rowOff>
    </xdr:to>
    <xdr:sp macro="" textlink="">
      <xdr:nvSpPr>
        <xdr:cNvPr id="5" name="Line 26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ShapeType="1"/>
        </xdr:cNvSpPr>
      </xdr:nvSpPr>
      <xdr:spPr bwMode="auto">
        <a:xfrm>
          <a:off x="8820150" y="5667375"/>
          <a:ext cx="0" cy="695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638175</xdr:colOff>
      <xdr:row>28</xdr:row>
      <xdr:rowOff>66675</xdr:rowOff>
    </xdr:from>
    <xdr:to>
      <xdr:col>5</xdr:col>
      <xdr:colOff>638175</xdr:colOff>
      <xdr:row>31</xdr:row>
      <xdr:rowOff>9525</xdr:rowOff>
    </xdr:to>
    <xdr:sp macro="" textlink="">
      <xdr:nvSpPr>
        <xdr:cNvPr id="6" name="Line 262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ShapeType="1"/>
        </xdr:cNvSpPr>
      </xdr:nvSpPr>
      <xdr:spPr bwMode="auto">
        <a:xfrm>
          <a:off x="4448175" y="5629275"/>
          <a:ext cx="0" cy="514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219075</xdr:colOff>
      <xdr:row>28</xdr:row>
      <xdr:rowOff>95250</xdr:rowOff>
    </xdr:from>
    <xdr:to>
      <xdr:col>12</xdr:col>
      <xdr:colOff>219075</xdr:colOff>
      <xdr:row>31</xdr:row>
      <xdr:rowOff>152400</xdr:rowOff>
    </xdr:to>
    <xdr:sp macro="" textlink="">
      <xdr:nvSpPr>
        <xdr:cNvPr id="7" name="Line 263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ShapeType="1"/>
        </xdr:cNvSpPr>
      </xdr:nvSpPr>
      <xdr:spPr bwMode="auto">
        <a:xfrm>
          <a:off x="9363075" y="5657850"/>
          <a:ext cx="0" cy="628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647700</xdr:colOff>
      <xdr:row>25</xdr:row>
      <xdr:rowOff>76200</xdr:rowOff>
    </xdr:from>
    <xdr:to>
      <xdr:col>12</xdr:col>
      <xdr:colOff>152400</xdr:colOff>
      <xdr:row>25</xdr:row>
      <xdr:rowOff>76200</xdr:rowOff>
    </xdr:to>
    <xdr:sp macro="" textlink="">
      <xdr:nvSpPr>
        <xdr:cNvPr id="8" name="Line 264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ShapeType="1"/>
        </xdr:cNvSpPr>
      </xdr:nvSpPr>
      <xdr:spPr bwMode="auto">
        <a:xfrm>
          <a:off x="4457700" y="5067300"/>
          <a:ext cx="4838700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38100</xdr:colOff>
      <xdr:row>27</xdr:row>
      <xdr:rowOff>171450</xdr:rowOff>
    </xdr:from>
    <xdr:to>
      <xdr:col>12</xdr:col>
      <xdr:colOff>142875</xdr:colOff>
      <xdr:row>27</xdr:row>
      <xdr:rowOff>171450</xdr:rowOff>
    </xdr:to>
    <xdr:sp macro="" textlink="">
      <xdr:nvSpPr>
        <xdr:cNvPr id="9" name="Line 26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ShapeType="1"/>
        </xdr:cNvSpPr>
      </xdr:nvSpPr>
      <xdr:spPr bwMode="auto">
        <a:xfrm>
          <a:off x="4610100" y="5543550"/>
          <a:ext cx="4676775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23</xdr:row>
      <xdr:rowOff>152400</xdr:rowOff>
    </xdr:from>
    <xdr:to>
      <xdr:col>8</xdr:col>
      <xdr:colOff>542925</xdr:colOff>
      <xdr:row>25</xdr:row>
      <xdr:rowOff>38100</xdr:rowOff>
    </xdr:to>
    <xdr:sp macro="" textlink="">
      <xdr:nvSpPr>
        <xdr:cNvPr id="10" name="Line 266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ShapeType="1"/>
        </xdr:cNvSpPr>
      </xdr:nvSpPr>
      <xdr:spPr bwMode="auto">
        <a:xfrm>
          <a:off x="6629400" y="4762500"/>
          <a:ext cx="9525" cy="266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381000</xdr:colOff>
      <xdr:row>28</xdr:row>
      <xdr:rowOff>9525</xdr:rowOff>
    </xdr:from>
    <xdr:to>
      <xdr:col>7</xdr:col>
      <xdr:colOff>504825</xdr:colOff>
      <xdr:row>29</xdr:row>
      <xdr:rowOff>38100</xdr:rowOff>
    </xdr:to>
    <xdr:sp macro="" textlink="">
      <xdr:nvSpPr>
        <xdr:cNvPr id="11" name="Line 267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ShapeType="1"/>
        </xdr:cNvSpPr>
      </xdr:nvSpPr>
      <xdr:spPr bwMode="auto">
        <a:xfrm flipH="1" flipV="1">
          <a:off x="5715000" y="5572125"/>
          <a:ext cx="123825" cy="219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190500</xdr:colOff>
      <xdr:row>24</xdr:row>
      <xdr:rowOff>47625</xdr:rowOff>
    </xdr:from>
    <xdr:to>
      <xdr:col>5</xdr:col>
      <xdr:colOff>561975</xdr:colOff>
      <xdr:row>29</xdr:row>
      <xdr:rowOff>152400</xdr:rowOff>
    </xdr:to>
    <xdr:sp macro="" textlink="">
      <xdr:nvSpPr>
        <xdr:cNvPr id="12" name="Freeform 26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/>
        </xdr:cNvSpPr>
      </xdr:nvSpPr>
      <xdr:spPr bwMode="auto">
        <a:xfrm>
          <a:off x="4000500" y="4848225"/>
          <a:ext cx="371475" cy="1057275"/>
        </a:xfrm>
        <a:custGeom>
          <a:avLst/>
          <a:gdLst>
            <a:gd name="T0" fmla="*/ 0 w 39"/>
            <a:gd name="T1" fmla="*/ 0 h 105"/>
            <a:gd name="T2" fmla="*/ 247650 w 39"/>
            <a:gd name="T3" fmla="*/ 219075 h 105"/>
            <a:gd name="T4" fmla="*/ 114300 w 39"/>
            <a:gd name="T5" fmla="*/ 523875 h 105"/>
            <a:gd name="T6" fmla="*/ 333375 w 39"/>
            <a:gd name="T7" fmla="*/ 590550 h 105"/>
            <a:gd name="T8" fmla="*/ 333375 w 39"/>
            <a:gd name="T9" fmla="*/ 1000125 h 10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39"/>
            <a:gd name="T16" fmla="*/ 0 h 105"/>
            <a:gd name="T17" fmla="*/ 39 w 39"/>
            <a:gd name="T18" fmla="*/ 105 h 10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39" h="105">
              <a:moveTo>
                <a:pt x="0" y="0"/>
              </a:moveTo>
              <a:cubicBezTo>
                <a:pt x="12" y="7"/>
                <a:pt x="24" y="14"/>
                <a:pt x="26" y="23"/>
              </a:cubicBezTo>
              <a:cubicBezTo>
                <a:pt x="28" y="32"/>
                <a:pt x="11" y="49"/>
                <a:pt x="12" y="55"/>
              </a:cubicBezTo>
              <a:cubicBezTo>
                <a:pt x="13" y="61"/>
                <a:pt x="31" y="54"/>
                <a:pt x="35" y="62"/>
              </a:cubicBezTo>
              <a:cubicBezTo>
                <a:pt x="39" y="70"/>
                <a:pt x="35" y="98"/>
                <a:pt x="35" y="105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31</xdr:row>
      <xdr:rowOff>66675</xdr:rowOff>
    </xdr:from>
    <xdr:to>
      <xdr:col>7</xdr:col>
      <xdr:colOff>133350</xdr:colOff>
      <xdr:row>33</xdr:row>
      <xdr:rowOff>47625</xdr:rowOff>
    </xdr:to>
    <xdr:sp macro="" textlink="">
      <xdr:nvSpPr>
        <xdr:cNvPr id="13" name="Freeform 270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/>
        </xdr:cNvSpPr>
      </xdr:nvSpPr>
      <xdr:spPr bwMode="auto">
        <a:xfrm>
          <a:off x="3952875" y="6200775"/>
          <a:ext cx="1514475" cy="361950"/>
        </a:xfrm>
        <a:custGeom>
          <a:avLst/>
          <a:gdLst>
            <a:gd name="T0" fmla="*/ 0 w 145"/>
            <a:gd name="T1" fmla="*/ 228600 h 32"/>
            <a:gd name="T2" fmla="*/ 459565 w 145"/>
            <a:gd name="T3" fmla="*/ 19050 h 32"/>
            <a:gd name="T4" fmla="*/ 752015 w 145"/>
            <a:gd name="T5" fmla="*/ 304800 h 32"/>
            <a:gd name="T6" fmla="*/ 1253358 w 145"/>
            <a:gd name="T7" fmla="*/ 28575 h 32"/>
            <a:gd name="T8" fmla="*/ 1514475 w 145"/>
            <a:gd name="T9" fmla="*/ 114300 h 32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45"/>
            <a:gd name="T16" fmla="*/ 0 h 32"/>
            <a:gd name="T17" fmla="*/ 145 w 145"/>
            <a:gd name="T18" fmla="*/ 32 h 32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45" h="32">
              <a:moveTo>
                <a:pt x="0" y="24"/>
              </a:moveTo>
              <a:cubicBezTo>
                <a:pt x="16" y="12"/>
                <a:pt x="32" y="1"/>
                <a:pt x="44" y="2"/>
              </a:cubicBezTo>
              <a:cubicBezTo>
                <a:pt x="56" y="3"/>
                <a:pt x="59" y="32"/>
                <a:pt x="72" y="32"/>
              </a:cubicBezTo>
              <a:cubicBezTo>
                <a:pt x="85" y="32"/>
                <a:pt x="108" y="6"/>
                <a:pt x="120" y="3"/>
              </a:cubicBezTo>
              <a:cubicBezTo>
                <a:pt x="132" y="0"/>
                <a:pt x="138" y="6"/>
                <a:pt x="145" y="12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704850</xdr:colOff>
      <xdr:row>32</xdr:row>
      <xdr:rowOff>19050</xdr:rowOff>
    </xdr:from>
    <xdr:to>
      <xdr:col>12</xdr:col>
      <xdr:colOff>466725</xdr:colOff>
      <xdr:row>33</xdr:row>
      <xdr:rowOff>133350</xdr:rowOff>
    </xdr:to>
    <xdr:sp macro="" textlink="">
      <xdr:nvSpPr>
        <xdr:cNvPr id="14" name="Freeform 271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/>
        </xdr:cNvSpPr>
      </xdr:nvSpPr>
      <xdr:spPr bwMode="auto">
        <a:xfrm>
          <a:off x="8324850" y="6343650"/>
          <a:ext cx="1285875" cy="304800"/>
        </a:xfrm>
        <a:custGeom>
          <a:avLst/>
          <a:gdLst>
            <a:gd name="T0" fmla="*/ 0 w 135"/>
            <a:gd name="T1" fmla="*/ 247650 h 29"/>
            <a:gd name="T2" fmla="*/ 460587 w 135"/>
            <a:gd name="T3" fmla="*/ 66675 h 29"/>
            <a:gd name="T4" fmla="*/ 537351 w 135"/>
            <a:gd name="T5" fmla="*/ 161925 h 29"/>
            <a:gd name="T6" fmla="*/ 892387 w 135"/>
            <a:gd name="T7" fmla="*/ 247650 h 29"/>
            <a:gd name="T8" fmla="*/ 1295400 w 135"/>
            <a:gd name="T9" fmla="*/ 0 h 29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35"/>
            <a:gd name="T16" fmla="*/ 0 h 29"/>
            <a:gd name="T17" fmla="*/ 135 w 135"/>
            <a:gd name="T18" fmla="*/ 29 h 29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35" h="29">
              <a:moveTo>
                <a:pt x="0" y="26"/>
              </a:moveTo>
              <a:cubicBezTo>
                <a:pt x="19" y="17"/>
                <a:pt x="39" y="8"/>
                <a:pt x="48" y="7"/>
              </a:cubicBezTo>
              <a:cubicBezTo>
                <a:pt x="57" y="6"/>
                <a:pt x="49" y="14"/>
                <a:pt x="56" y="17"/>
              </a:cubicBezTo>
              <a:cubicBezTo>
                <a:pt x="63" y="20"/>
                <a:pt x="80" y="29"/>
                <a:pt x="93" y="26"/>
              </a:cubicBezTo>
              <a:cubicBezTo>
                <a:pt x="106" y="23"/>
                <a:pt x="128" y="4"/>
                <a:pt x="135" y="0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428625</xdr:colOff>
      <xdr:row>24</xdr:row>
      <xdr:rowOff>123825</xdr:rowOff>
    </xdr:from>
    <xdr:to>
      <xdr:col>12</xdr:col>
      <xdr:colOff>400050</xdr:colOff>
      <xdr:row>24</xdr:row>
      <xdr:rowOff>123825</xdr:rowOff>
    </xdr:to>
    <xdr:sp macro="" textlink="">
      <xdr:nvSpPr>
        <xdr:cNvPr id="15" name="Line 306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ShapeType="1"/>
        </xdr:cNvSpPr>
      </xdr:nvSpPr>
      <xdr:spPr bwMode="auto">
        <a:xfrm>
          <a:off x="4238625" y="4924425"/>
          <a:ext cx="5305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400050</xdr:colOff>
      <xdr:row>28</xdr:row>
      <xdr:rowOff>104775</xdr:rowOff>
    </xdr:from>
    <xdr:to>
      <xdr:col>11</xdr:col>
      <xdr:colOff>428625</xdr:colOff>
      <xdr:row>28</xdr:row>
      <xdr:rowOff>104775</xdr:rowOff>
    </xdr:to>
    <xdr:sp macro="" textlink="">
      <xdr:nvSpPr>
        <xdr:cNvPr id="16" name="Line 307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ShapeType="1"/>
        </xdr:cNvSpPr>
      </xdr:nvSpPr>
      <xdr:spPr bwMode="auto">
        <a:xfrm>
          <a:off x="4972050" y="5667375"/>
          <a:ext cx="383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400050</xdr:colOff>
      <xdr:row>28</xdr:row>
      <xdr:rowOff>114300</xdr:rowOff>
    </xdr:from>
    <xdr:to>
      <xdr:col>6</xdr:col>
      <xdr:colOff>400050</xdr:colOff>
      <xdr:row>30</xdr:row>
      <xdr:rowOff>180975</xdr:rowOff>
    </xdr:to>
    <xdr:sp macro="" textlink="">
      <xdr:nvSpPr>
        <xdr:cNvPr id="17" name="Line 308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ShapeType="1"/>
        </xdr:cNvSpPr>
      </xdr:nvSpPr>
      <xdr:spPr bwMode="auto">
        <a:xfrm>
          <a:off x="4972050" y="5676900"/>
          <a:ext cx="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438150</xdr:colOff>
      <xdr:row>28</xdr:row>
      <xdr:rowOff>104775</xdr:rowOff>
    </xdr:from>
    <xdr:to>
      <xdr:col>11</xdr:col>
      <xdr:colOff>438150</xdr:colOff>
      <xdr:row>32</xdr:row>
      <xdr:rowOff>38100</xdr:rowOff>
    </xdr:to>
    <xdr:sp macro="" textlink="">
      <xdr:nvSpPr>
        <xdr:cNvPr id="18" name="Line 309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ShapeType="1"/>
        </xdr:cNvSpPr>
      </xdr:nvSpPr>
      <xdr:spPr bwMode="auto">
        <a:xfrm>
          <a:off x="8820150" y="5667375"/>
          <a:ext cx="0" cy="695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638175</xdr:colOff>
      <xdr:row>28</xdr:row>
      <xdr:rowOff>66675</xdr:rowOff>
    </xdr:from>
    <xdr:to>
      <xdr:col>5</xdr:col>
      <xdr:colOff>638175</xdr:colOff>
      <xdr:row>31</xdr:row>
      <xdr:rowOff>9525</xdr:rowOff>
    </xdr:to>
    <xdr:sp macro="" textlink="">
      <xdr:nvSpPr>
        <xdr:cNvPr id="19" name="Line 310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ShapeType="1"/>
        </xdr:cNvSpPr>
      </xdr:nvSpPr>
      <xdr:spPr bwMode="auto">
        <a:xfrm>
          <a:off x="4448175" y="5629275"/>
          <a:ext cx="0" cy="514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219075</xdr:colOff>
      <xdr:row>28</xdr:row>
      <xdr:rowOff>95250</xdr:rowOff>
    </xdr:from>
    <xdr:to>
      <xdr:col>12</xdr:col>
      <xdr:colOff>219075</xdr:colOff>
      <xdr:row>31</xdr:row>
      <xdr:rowOff>152400</xdr:rowOff>
    </xdr:to>
    <xdr:sp macro="" textlink="">
      <xdr:nvSpPr>
        <xdr:cNvPr id="20" name="Line 311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ShapeType="1"/>
        </xdr:cNvSpPr>
      </xdr:nvSpPr>
      <xdr:spPr bwMode="auto">
        <a:xfrm>
          <a:off x="9363075" y="5657850"/>
          <a:ext cx="0" cy="628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647700</xdr:colOff>
      <xdr:row>25</xdr:row>
      <xdr:rowOff>76200</xdr:rowOff>
    </xdr:from>
    <xdr:to>
      <xdr:col>12</xdr:col>
      <xdr:colOff>152400</xdr:colOff>
      <xdr:row>25</xdr:row>
      <xdr:rowOff>76200</xdr:rowOff>
    </xdr:to>
    <xdr:sp macro="" textlink="">
      <xdr:nvSpPr>
        <xdr:cNvPr id="21" name="Line 31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ShapeType="1"/>
        </xdr:cNvSpPr>
      </xdr:nvSpPr>
      <xdr:spPr bwMode="auto">
        <a:xfrm>
          <a:off x="4457700" y="5067300"/>
          <a:ext cx="4838700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38100</xdr:colOff>
      <xdr:row>27</xdr:row>
      <xdr:rowOff>171450</xdr:rowOff>
    </xdr:from>
    <xdr:to>
      <xdr:col>12</xdr:col>
      <xdr:colOff>142875</xdr:colOff>
      <xdr:row>27</xdr:row>
      <xdr:rowOff>171450</xdr:rowOff>
    </xdr:to>
    <xdr:sp macro="" textlink="">
      <xdr:nvSpPr>
        <xdr:cNvPr id="22" name="Line 31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ShapeType="1"/>
        </xdr:cNvSpPr>
      </xdr:nvSpPr>
      <xdr:spPr bwMode="auto">
        <a:xfrm>
          <a:off x="4610100" y="5543550"/>
          <a:ext cx="4676775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23</xdr:row>
      <xdr:rowOff>152400</xdr:rowOff>
    </xdr:from>
    <xdr:to>
      <xdr:col>8</xdr:col>
      <xdr:colOff>542925</xdr:colOff>
      <xdr:row>25</xdr:row>
      <xdr:rowOff>38100</xdr:rowOff>
    </xdr:to>
    <xdr:sp macro="" textlink="">
      <xdr:nvSpPr>
        <xdr:cNvPr id="23" name="Line 31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ShapeType="1"/>
        </xdr:cNvSpPr>
      </xdr:nvSpPr>
      <xdr:spPr bwMode="auto">
        <a:xfrm>
          <a:off x="6629400" y="4762500"/>
          <a:ext cx="9525" cy="266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381000</xdr:colOff>
      <xdr:row>28</xdr:row>
      <xdr:rowOff>9525</xdr:rowOff>
    </xdr:from>
    <xdr:to>
      <xdr:col>7</xdr:col>
      <xdr:colOff>504825</xdr:colOff>
      <xdr:row>29</xdr:row>
      <xdr:rowOff>38100</xdr:rowOff>
    </xdr:to>
    <xdr:sp macro="" textlink="">
      <xdr:nvSpPr>
        <xdr:cNvPr id="24" name="Line 315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ShapeType="1"/>
        </xdr:cNvSpPr>
      </xdr:nvSpPr>
      <xdr:spPr bwMode="auto">
        <a:xfrm flipH="1" flipV="1">
          <a:off x="5715000" y="5572125"/>
          <a:ext cx="123825" cy="219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190500</xdr:colOff>
      <xdr:row>24</xdr:row>
      <xdr:rowOff>47625</xdr:rowOff>
    </xdr:from>
    <xdr:to>
      <xdr:col>5</xdr:col>
      <xdr:colOff>561975</xdr:colOff>
      <xdr:row>29</xdr:row>
      <xdr:rowOff>152400</xdr:rowOff>
    </xdr:to>
    <xdr:sp macro="" textlink="">
      <xdr:nvSpPr>
        <xdr:cNvPr id="25" name="Freeform 316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/>
        </xdr:cNvSpPr>
      </xdr:nvSpPr>
      <xdr:spPr bwMode="auto">
        <a:xfrm>
          <a:off x="4000500" y="4848225"/>
          <a:ext cx="371475" cy="1057275"/>
        </a:xfrm>
        <a:custGeom>
          <a:avLst/>
          <a:gdLst>
            <a:gd name="T0" fmla="*/ 0 w 39"/>
            <a:gd name="T1" fmla="*/ 0 h 105"/>
            <a:gd name="T2" fmla="*/ 247650 w 39"/>
            <a:gd name="T3" fmla="*/ 219075 h 105"/>
            <a:gd name="T4" fmla="*/ 114300 w 39"/>
            <a:gd name="T5" fmla="*/ 523875 h 105"/>
            <a:gd name="T6" fmla="*/ 333375 w 39"/>
            <a:gd name="T7" fmla="*/ 590550 h 105"/>
            <a:gd name="T8" fmla="*/ 333375 w 39"/>
            <a:gd name="T9" fmla="*/ 1000125 h 10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39"/>
            <a:gd name="T16" fmla="*/ 0 h 105"/>
            <a:gd name="T17" fmla="*/ 39 w 39"/>
            <a:gd name="T18" fmla="*/ 105 h 10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39" h="105">
              <a:moveTo>
                <a:pt x="0" y="0"/>
              </a:moveTo>
              <a:cubicBezTo>
                <a:pt x="12" y="7"/>
                <a:pt x="24" y="14"/>
                <a:pt x="26" y="23"/>
              </a:cubicBezTo>
              <a:cubicBezTo>
                <a:pt x="28" y="32"/>
                <a:pt x="11" y="49"/>
                <a:pt x="12" y="55"/>
              </a:cubicBezTo>
              <a:cubicBezTo>
                <a:pt x="13" y="61"/>
                <a:pt x="31" y="54"/>
                <a:pt x="35" y="62"/>
              </a:cubicBezTo>
              <a:cubicBezTo>
                <a:pt x="39" y="70"/>
                <a:pt x="35" y="98"/>
                <a:pt x="35" y="105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323850</xdr:colOff>
      <xdr:row>23</xdr:row>
      <xdr:rowOff>104775</xdr:rowOff>
    </xdr:from>
    <xdr:to>
      <xdr:col>12</xdr:col>
      <xdr:colOff>647700</xdr:colOff>
      <xdr:row>29</xdr:row>
      <xdr:rowOff>0</xdr:rowOff>
    </xdr:to>
    <xdr:sp macro="" textlink="">
      <xdr:nvSpPr>
        <xdr:cNvPr id="26" name="Freeform 317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/>
        </xdr:cNvSpPr>
      </xdr:nvSpPr>
      <xdr:spPr bwMode="auto">
        <a:xfrm>
          <a:off x="9467850" y="4714875"/>
          <a:ext cx="323850" cy="1038225"/>
        </a:xfrm>
        <a:custGeom>
          <a:avLst/>
          <a:gdLst>
            <a:gd name="T0" fmla="*/ 323850 w 61"/>
            <a:gd name="T1" fmla="*/ 0 h 103"/>
            <a:gd name="T2" fmla="*/ 69017 w 61"/>
            <a:gd name="T3" fmla="*/ 361950 h 103"/>
            <a:gd name="T4" fmla="*/ 217670 w 61"/>
            <a:gd name="T5" fmla="*/ 647700 h 103"/>
            <a:gd name="T6" fmla="*/ 31854 w 61"/>
            <a:gd name="T7" fmla="*/ 742950 h 103"/>
            <a:gd name="T8" fmla="*/ 15927 w 61"/>
            <a:gd name="T9" fmla="*/ 981075 h 10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1"/>
            <a:gd name="T16" fmla="*/ 0 h 103"/>
            <a:gd name="T17" fmla="*/ 61 w 61"/>
            <a:gd name="T18" fmla="*/ 103 h 10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1" h="103">
              <a:moveTo>
                <a:pt x="61" y="0"/>
              </a:moveTo>
              <a:cubicBezTo>
                <a:pt x="38" y="13"/>
                <a:pt x="16" y="27"/>
                <a:pt x="13" y="38"/>
              </a:cubicBezTo>
              <a:cubicBezTo>
                <a:pt x="10" y="49"/>
                <a:pt x="42" y="61"/>
                <a:pt x="41" y="68"/>
              </a:cubicBezTo>
              <a:cubicBezTo>
                <a:pt x="40" y="75"/>
                <a:pt x="12" y="72"/>
                <a:pt x="6" y="78"/>
              </a:cubicBezTo>
              <a:cubicBezTo>
                <a:pt x="0" y="84"/>
                <a:pt x="1" y="93"/>
                <a:pt x="3" y="103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31</xdr:row>
      <xdr:rowOff>66675</xdr:rowOff>
    </xdr:from>
    <xdr:to>
      <xdr:col>7</xdr:col>
      <xdr:colOff>133350</xdr:colOff>
      <xdr:row>33</xdr:row>
      <xdr:rowOff>47625</xdr:rowOff>
    </xdr:to>
    <xdr:sp macro="" textlink="">
      <xdr:nvSpPr>
        <xdr:cNvPr id="27" name="Freeform 318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/>
        </xdr:cNvSpPr>
      </xdr:nvSpPr>
      <xdr:spPr bwMode="auto">
        <a:xfrm>
          <a:off x="3952875" y="6200775"/>
          <a:ext cx="1514475" cy="361950"/>
        </a:xfrm>
        <a:custGeom>
          <a:avLst/>
          <a:gdLst>
            <a:gd name="T0" fmla="*/ 0 w 145"/>
            <a:gd name="T1" fmla="*/ 228600 h 32"/>
            <a:gd name="T2" fmla="*/ 459565 w 145"/>
            <a:gd name="T3" fmla="*/ 19050 h 32"/>
            <a:gd name="T4" fmla="*/ 752015 w 145"/>
            <a:gd name="T5" fmla="*/ 304800 h 32"/>
            <a:gd name="T6" fmla="*/ 1253358 w 145"/>
            <a:gd name="T7" fmla="*/ 28575 h 32"/>
            <a:gd name="T8" fmla="*/ 1514475 w 145"/>
            <a:gd name="T9" fmla="*/ 114300 h 32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45"/>
            <a:gd name="T16" fmla="*/ 0 h 32"/>
            <a:gd name="T17" fmla="*/ 145 w 145"/>
            <a:gd name="T18" fmla="*/ 32 h 32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45" h="32">
              <a:moveTo>
                <a:pt x="0" y="24"/>
              </a:moveTo>
              <a:cubicBezTo>
                <a:pt x="16" y="12"/>
                <a:pt x="32" y="1"/>
                <a:pt x="44" y="2"/>
              </a:cubicBezTo>
              <a:cubicBezTo>
                <a:pt x="56" y="3"/>
                <a:pt x="59" y="32"/>
                <a:pt x="72" y="32"/>
              </a:cubicBezTo>
              <a:cubicBezTo>
                <a:pt x="85" y="32"/>
                <a:pt x="108" y="6"/>
                <a:pt x="120" y="3"/>
              </a:cubicBezTo>
              <a:cubicBezTo>
                <a:pt x="132" y="0"/>
                <a:pt x="138" y="6"/>
                <a:pt x="145" y="12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704850</xdr:colOff>
      <xdr:row>32</xdr:row>
      <xdr:rowOff>19050</xdr:rowOff>
    </xdr:from>
    <xdr:to>
      <xdr:col>12</xdr:col>
      <xdr:colOff>466725</xdr:colOff>
      <xdr:row>33</xdr:row>
      <xdr:rowOff>133350</xdr:rowOff>
    </xdr:to>
    <xdr:sp macro="" textlink="">
      <xdr:nvSpPr>
        <xdr:cNvPr id="28" name="Freeform 319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/>
        </xdr:cNvSpPr>
      </xdr:nvSpPr>
      <xdr:spPr bwMode="auto">
        <a:xfrm>
          <a:off x="8324850" y="6343650"/>
          <a:ext cx="1285875" cy="304800"/>
        </a:xfrm>
        <a:custGeom>
          <a:avLst/>
          <a:gdLst>
            <a:gd name="T0" fmla="*/ 0 w 135"/>
            <a:gd name="T1" fmla="*/ 247650 h 29"/>
            <a:gd name="T2" fmla="*/ 460587 w 135"/>
            <a:gd name="T3" fmla="*/ 66675 h 29"/>
            <a:gd name="T4" fmla="*/ 537351 w 135"/>
            <a:gd name="T5" fmla="*/ 161925 h 29"/>
            <a:gd name="T6" fmla="*/ 892387 w 135"/>
            <a:gd name="T7" fmla="*/ 247650 h 29"/>
            <a:gd name="T8" fmla="*/ 1295400 w 135"/>
            <a:gd name="T9" fmla="*/ 0 h 29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35"/>
            <a:gd name="T16" fmla="*/ 0 h 29"/>
            <a:gd name="T17" fmla="*/ 135 w 135"/>
            <a:gd name="T18" fmla="*/ 29 h 29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35" h="29">
              <a:moveTo>
                <a:pt x="0" y="26"/>
              </a:moveTo>
              <a:cubicBezTo>
                <a:pt x="19" y="17"/>
                <a:pt x="39" y="8"/>
                <a:pt x="48" y="7"/>
              </a:cubicBezTo>
              <a:cubicBezTo>
                <a:pt x="57" y="6"/>
                <a:pt x="49" y="14"/>
                <a:pt x="56" y="17"/>
              </a:cubicBezTo>
              <a:cubicBezTo>
                <a:pt x="63" y="20"/>
                <a:pt x="80" y="29"/>
                <a:pt x="93" y="26"/>
              </a:cubicBezTo>
              <a:cubicBezTo>
                <a:pt x="106" y="23"/>
                <a:pt x="128" y="4"/>
                <a:pt x="135" y="0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657225</xdr:colOff>
      <xdr:row>25</xdr:row>
      <xdr:rowOff>123825</xdr:rowOff>
    </xdr:from>
    <xdr:to>
      <xdr:col>7</xdr:col>
      <xdr:colOff>276225</xdr:colOff>
      <xdr:row>25</xdr:row>
      <xdr:rowOff>123825</xdr:rowOff>
    </xdr:to>
    <xdr:sp macro="" textlink="">
      <xdr:nvSpPr>
        <xdr:cNvPr id="29" name="Line 320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ShapeType="1"/>
        </xdr:cNvSpPr>
      </xdr:nvSpPr>
      <xdr:spPr bwMode="auto">
        <a:xfrm>
          <a:off x="4467225" y="5114925"/>
          <a:ext cx="114300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247650</xdr:colOff>
      <xdr:row>25</xdr:row>
      <xdr:rowOff>152400</xdr:rowOff>
    </xdr:from>
    <xdr:to>
      <xdr:col>12</xdr:col>
      <xdr:colOff>114300</xdr:colOff>
      <xdr:row>25</xdr:row>
      <xdr:rowOff>152400</xdr:rowOff>
    </xdr:to>
    <xdr:sp macro="" textlink="">
      <xdr:nvSpPr>
        <xdr:cNvPr id="30" name="Line 321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ShapeType="1"/>
        </xdr:cNvSpPr>
      </xdr:nvSpPr>
      <xdr:spPr bwMode="auto">
        <a:xfrm>
          <a:off x="7867650" y="5143500"/>
          <a:ext cx="139065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466725</xdr:colOff>
      <xdr:row>27</xdr:row>
      <xdr:rowOff>104775</xdr:rowOff>
    </xdr:from>
    <xdr:to>
      <xdr:col>10</xdr:col>
      <xdr:colOff>152400</xdr:colOff>
      <xdr:row>27</xdr:row>
      <xdr:rowOff>104775</xdr:rowOff>
    </xdr:to>
    <xdr:sp macro="" textlink="">
      <xdr:nvSpPr>
        <xdr:cNvPr id="31" name="Line 322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ShapeType="1"/>
        </xdr:cNvSpPr>
      </xdr:nvSpPr>
      <xdr:spPr bwMode="auto">
        <a:xfrm>
          <a:off x="5800725" y="5476875"/>
          <a:ext cx="19716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352425</xdr:colOff>
      <xdr:row>25</xdr:row>
      <xdr:rowOff>123825</xdr:rowOff>
    </xdr:from>
    <xdr:to>
      <xdr:col>6</xdr:col>
      <xdr:colOff>438150</xdr:colOff>
      <xdr:row>26</xdr:row>
      <xdr:rowOff>142875</xdr:rowOff>
    </xdr:to>
    <xdr:sp macro="" textlink="">
      <xdr:nvSpPr>
        <xdr:cNvPr id="32" name="Line 323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ShapeType="1"/>
        </xdr:cNvSpPr>
      </xdr:nvSpPr>
      <xdr:spPr bwMode="auto">
        <a:xfrm flipV="1">
          <a:off x="4924425" y="5114925"/>
          <a:ext cx="85725" cy="209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152400</xdr:colOff>
      <xdr:row>26</xdr:row>
      <xdr:rowOff>19050</xdr:rowOff>
    </xdr:from>
    <xdr:to>
      <xdr:col>11</xdr:col>
      <xdr:colOff>361950</xdr:colOff>
      <xdr:row>26</xdr:row>
      <xdr:rowOff>123825</xdr:rowOff>
    </xdr:to>
    <xdr:sp macro="" textlink="">
      <xdr:nvSpPr>
        <xdr:cNvPr id="33" name="Line 324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ShapeType="1"/>
        </xdr:cNvSpPr>
      </xdr:nvSpPr>
      <xdr:spPr bwMode="auto">
        <a:xfrm flipH="1" flipV="1">
          <a:off x="8534400" y="5200650"/>
          <a:ext cx="20955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28575</xdr:colOff>
      <xdr:row>26</xdr:row>
      <xdr:rowOff>95250</xdr:rowOff>
    </xdr:from>
    <xdr:to>
      <xdr:col>8</xdr:col>
      <xdr:colOff>371475</xdr:colOff>
      <xdr:row>27</xdr:row>
      <xdr:rowOff>85725</xdr:rowOff>
    </xdr:to>
    <xdr:sp macro="" textlink="">
      <xdr:nvSpPr>
        <xdr:cNvPr id="34" name="Line 325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ShapeType="1"/>
        </xdr:cNvSpPr>
      </xdr:nvSpPr>
      <xdr:spPr bwMode="auto">
        <a:xfrm>
          <a:off x="6124575" y="5276850"/>
          <a:ext cx="342900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28575</xdr:colOff>
      <xdr:row>30</xdr:row>
      <xdr:rowOff>114300</xdr:rowOff>
    </xdr:from>
    <xdr:to>
      <xdr:col>11</xdr:col>
      <xdr:colOff>323850</xdr:colOff>
      <xdr:row>30</xdr:row>
      <xdr:rowOff>114300</xdr:rowOff>
    </xdr:to>
    <xdr:sp macro="" textlink="">
      <xdr:nvSpPr>
        <xdr:cNvPr id="35" name="Line 480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ShapeType="1"/>
        </xdr:cNvSpPr>
      </xdr:nvSpPr>
      <xdr:spPr bwMode="auto">
        <a:xfrm>
          <a:off x="6886575" y="6057900"/>
          <a:ext cx="1819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685800</xdr:colOff>
      <xdr:row>30</xdr:row>
      <xdr:rowOff>95250</xdr:rowOff>
    </xdr:from>
    <xdr:to>
      <xdr:col>8</xdr:col>
      <xdr:colOff>466725</xdr:colOff>
      <xdr:row>30</xdr:row>
      <xdr:rowOff>95250</xdr:rowOff>
    </xdr:to>
    <xdr:sp macro="" textlink="">
      <xdr:nvSpPr>
        <xdr:cNvPr id="36" name="Line 481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>
          <a:spLocks noChangeShapeType="1"/>
        </xdr:cNvSpPr>
      </xdr:nvSpPr>
      <xdr:spPr bwMode="auto">
        <a:xfrm flipH="1">
          <a:off x="5257800" y="6038850"/>
          <a:ext cx="1304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17</xdr:col>
      <xdr:colOff>428625</xdr:colOff>
      <xdr:row>24</xdr:row>
      <xdr:rowOff>123825</xdr:rowOff>
    </xdr:from>
    <xdr:to>
      <xdr:col>24</xdr:col>
      <xdr:colOff>400050</xdr:colOff>
      <xdr:row>24</xdr:row>
      <xdr:rowOff>123825</xdr:rowOff>
    </xdr:to>
    <xdr:sp macro="" textlink="">
      <xdr:nvSpPr>
        <xdr:cNvPr id="37" name="Line 258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ShapeType="1"/>
        </xdr:cNvSpPr>
      </xdr:nvSpPr>
      <xdr:spPr bwMode="auto">
        <a:xfrm>
          <a:off x="13382625" y="4924425"/>
          <a:ext cx="5305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400050</xdr:colOff>
      <xdr:row>28</xdr:row>
      <xdr:rowOff>104775</xdr:rowOff>
    </xdr:from>
    <xdr:to>
      <xdr:col>23</xdr:col>
      <xdr:colOff>428625</xdr:colOff>
      <xdr:row>28</xdr:row>
      <xdr:rowOff>104775</xdr:rowOff>
    </xdr:to>
    <xdr:sp macro="" textlink="">
      <xdr:nvSpPr>
        <xdr:cNvPr id="38" name="Line 259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ShapeType="1"/>
        </xdr:cNvSpPr>
      </xdr:nvSpPr>
      <xdr:spPr bwMode="auto">
        <a:xfrm>
          <a:off x="14116050" y="5667375"/>
          <a:ext cx="383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400050</xdr:colOff>
      <xdr:row>28</xdr:row>
      <xdr:rowOff>114300</xdr:rowOff>
    </xdr:from>
    <xdr:to>
      <xdr:col>18</xdr:col>
      <xdr:colOff>400050</xdr:colOff>
      <xdr:row>30</xdr:row>
      <xdr:rowOff>180975</xdr:rowOff>
    </xdr:to>
    <xdr:sp macro="" textlink="">
      <xdr:nvSpPr>
        <xdr:cNvPr id="39" name="Line 260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ShapeType="1"/>
        </xdr:cNvSpPr>
      </xdr:nvSpPr>
      <xdr:spPr bwMode="auto">
        <a:xfrm>
          <a:off x="14116050" y="5676900"/>
          <a:ext cx="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438150</xdr:colOff>
      <xdr:row>28</xdr:row>
      <xdr:rowOff>104775</xdr:rowOff>
    </xdr:from>
    <xdr:to>
      <xdr:col>23</xdr:col>
      <xdr:colOff>438150</xdr:colOff>
      <xdr:row>32</xdr:row>
      <xdr:rowOff>38100</xdr:rowOff>
    </xdr:to>
    <xdr:sp macro="" textlink="">
      <xdr:nvSpPr>
        <xdr:cNvPr id="40" name="Line 261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 noChangeShapeType="1"/>
        </xdr:cNvSpPr>
      </xdr:nvSpPr>
      <xdr:spPr bwMode="auto">
        <a:xfrm>
          <a:off x="17964150" y="5667375"/>
          <a:ext cx="0" cy="695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638175</xdr:colOff>
      <xdr:row>28</xdr:row>
      <xdr:rowOff>66675</xdr:rowOff>
    </xdr:from>
    <xdr:to>
      <xdr:col>17</xdr:col>
      <xdr:colOff>638175</xdr:colOff>
      <xdr:row>31</xdr:row>
      <xdr:rowOff>9525</xdr:rowOff>
    </xdr:to>
    <xdr:sp macro="" textlink="">
      <xdr:nvSpPr>
        <xdr:cNvPr id="41" name="Line 262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>
          <a:spLocks noChangeShapeType="1"/>
        </xdr:cNvSpPr>
      </xdr:nvSpPr>
      <xdr:spPr bwMode="auto">
        <a:xfrm>
          <a:off x="13592175" y="5629275"/>
          <a:ext cx="0" cy="514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219075</xdr:colOff>
      <xdr:row>28</xdr:row>
      <xdr:rowOff>95250</xdr:rowOff>
    </xdr:from>
    <xdr:to>
      <xdr:col>24</xdr:col>
      <xdr:colOff>219075</xdr:colOff>
      <xdr:row>31</xdr:row>
      <xdr:rowOff>152400</xdr:rowOff>
    </xdr:to>
    <xdr:sp macro="" textlink="">
      <xdr:nvSpPr>
        <xdr:cNvPr id="42" name="Line 263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>
          <a:spLocks noChangeShapeType="1"/>
        </xdr:cNvSpPr>
      </xdr:nvSpPr>
      <xdr:spPr bwMode="auto">
        <a:xfrm>
          <a:off x="18507075" y="5657850"/>
          <a:ext cx="0" cy="628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647700</xdr:colOff>
      <xdr:row>25</xdr:row>
      <xdr:rowOff>76200</xdr:rowOff>
    </xdr:from>
    <xdr:to>
      <xdr:col>24</xdr:col>
      <xdr:colOff>152400</xdr:colOff>
      <xdr:row>25</xdr:row>
      <xdr:rowOff>76200</xdr:rowOff>
    </xdr:to>
    <xdr:sp macro="" textlink="">
      <xdr:nvSpPr>
        <xdr:cNvPr id="43" name="Line 264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ShapeType="1"/>
        </xdr:cNvSpPr>
      </xdr:nvSpPr>
      <xdr:spPr bwMode="auto">
        <a:xfrm>
          <a:off x="13601700" y="5067300"/>
          <a:ext cx="4838700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38100</xdr:colOff>
      <xdr:row>27</xdr:row>
      <xdr:rowOff>171450</xdr:rowOff>
    </xdr:from>
    <xdr:to>
      <xdr:col>24</xdr:col>
      <xdr:colOff>142875</xdr:colOff>
      <xdr:row>27</xdr:row>
      <xdr:rowOff>171450</xdr:rowOff>
    </xdr:to>
    <xdr:sp macro="" textlink="">
      <xdr:nvSpPr>
        <xdr:cNvPr id="44" name="Line 265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ShapeType="1"/>
        </xdr:cNvSpPr>
      </xdr:nvSpPr>
      <xdr:spPr bwMode="auto">
        <a:xfrm>
          <a:off x="13754100" y="5543550"/>
          <a:ext cx="4676775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533400</xdr:colOff>
      <xdr:row>23</xdr:row>
      <xdr:rowOff>152400</xdr:rowOff>
    </xdr:from>
    <xdr:to>
      <xdr:col>20</xdr:col>
      <xdr:colOff>542925</xdr:colOff>
      <xdr:row>25</xdr:row>
      <xdr:rowOff>38100</xdr:rowOff>
    </xdr:to>
    <xdr:sp macro="" textlink="">
      <xdr:nvSpPr>
        <xdr:cNvPr id="45" name="Line 266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ShapeType="1"/>
        </xdr:cNvSpPr>
      </xdr:nvSpPr>
      <xdr:spPr bwMode="auto">
        <a:xfrm>
          <a:off x="15773400" y="4762500"/>
          <a:ext cx="9525" cy="266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19</xdr:col>
      <xdr:colOff>381000</xdr:colOff>
      <xdr:row>28</xdr:row>
      <xdr:rowOff>9525</xdr:rowOff>
    </xdr:from>
    <xdr:to>
      <xdr:col>19</xdr:col>
      <xdr:colOff>504825</xdr:colOff>
      <xdr:row>29</xdr:row>
      <xdr:rowOff>38100</xdr:rowOff>
    </xdr:to>
    <xdr:sp macro="" textlink="">
      <xdr:nvSpPr>
        <xdr:cNvPr id="46" name="Line 267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ShapeType="1"/>
        </xdr:cNvSpPr>
      </xdr:nvSpPr>
      <xdr:spPr bwMode="auto">
        <a:xfrm flipH="1" flipV="1">
          <a:off x="14859000" y="5572125"/>
          <a:ext cx="123825" cy="219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17</xdr:col>
      <xdr:colOff>190500</xdr:colOff>
      <xdr:row>24</xdr:row>
      <xdr:rowOff>47625</xdr:rowOff>
    </xdr:from>
    <xdr:to>
      <xdr:col>17</xdr:col>
      <xdr:colOff>561975</xdr:colOff>
      <xdr:row>29</xdr:row>
      <xdr:rowOff>152400</xdr:rowOff>
    </xdr:to>
    <xdr:sp macro="" textlink="">
      <xdr:nvSpPr>
        <xdr:cNvPr id="47" name="Freeform 268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/>
        </xdr:cNvSpPr>
      </xdr:nvSpPr>
      <xdr:spPr bwMode="auto">
        <a:xfrm>
          <a:off x="13144500" y="4848225"/>
          <a:ext cx="371475" cy="1057275"/>
        </a:xfrm>
        <a:custGeom>
          <a:avLst/>
          <a:gdLst>
            <a:gd name="T0" fmla="*/ 0 w 39"/>
            <a:gd name="T1" fmla="*/ 0 h 105"/>
            <a:gd name="T2" fmla="*/ 247650 w 39"/>
            <a:gd name="T3" fmla="*/ 219075 h 105"/>
            <a:gd name="T4" fmla="*/ 114300 w 39"/>
            <a:gd name="T5" fmla="*/ 523875 h 105"/>
            <a:gd name="T6" fmla="*/ 333375 w 39"/>
            <a:gd name="T7" fmla="*/ 590550 h 105"/>
            <a:gd name="T8" fmla="*/ 333375 w 39"/>
            <a:gd name="T9" fmla="*/ 1000125 h 10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39"/>
            <a:gd name="T16" fmla="*/ 0 h 105"/>
            <a:gd name="T17" fmla="*/ 39 w 39"/>
            <a:gd name="T18" fmla="*/ 105 h 10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39" h="105">
              <a:moveTo>
                <a:pt x="0" y="0"/>
              </a:moveTo>
              <a:cubicBezTo>
                <a:pt x="12" y="7"/>
                <a:pt x="24" y="14"/>
                <a:pt x="26" y="23"/>
              </a:cubicBezTo>
              <a:cubicBezTo>
                <a:pt x="28" y="32"/>
                <a:pt x="11" y="49"/>
                <a:pt x="12" y="55"/>
              </a:cubicBezTo>
              <a:cubicBezTo>
                <a:pt x="13" y="61"/>
                <a:pt x="31" y="54"/>
                <a:pt x="35" y="62"/>
              </a:cubicBezTo>
              <a:cubicBezTo>
                <a:pt x="39" y="70"/>
                <a:pt x="35" y="98"/>
                <a:pt x="35" y="105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142875</xdr:colOff>
      <xdr:row>31</xdr:row>
      <xdr:rowOff>66675</xdr:rowOff>
    </xdr:from>
    <xdr:to>
      <xdr:col>19</xdr:col>
      <xdr:colOff>133350</xdr:colOff>
      <xdr:row>33</xdr:row>
      <xdr:rowOff>47625</xdr:rowOff>
    </xdr:to>
    <xdr:sp macro="" textlink="">
      <xdr:nvSpPr>
        <xdr:cNvPr id="48" name="Freeform 270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/>
        </xdr:cNvSpPr>
      </xdr:nvSpPr>
      <xdr:spPr bwMode="auto">
        <a:xfrm>
          <a:off x="13096875" y="6200775"/>
          <a:ext cx="1514475" cy="361950"/>
        </a:xfrm>
        <a:custGeom>
          <a:avLst/>
          <a:gdLst>
            <a:gd name="T0" fmla="*/ 0 w 145"/>
            <a:gd name="T1" fmla="*/ 228600 h 32"/>
            <a:gd name="T2" fmla="*/ 459565 w 145"/>
            <a:gd name="T3" fmla="*/ 19050 h 32"/>
            <a:gd name="T4" fmla="*/ 752015 w 145"/>
            <a:gd name="T5" fmla="*/ 304800 h 32"/>
            <a:gd name="T6" fmla="*/ 1253358 w 145"/>
            <a:gd name="T7" fmla="*/ 28575 h 32"/>
            <a:gd name="T8" fmla="*/ 1514475 w 145"/>
            <a:gd name="T9" fmla="*/ 114300 h 32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45"/>
            <a:gd name="T16" fmla="*/ 0 h 32"/>
            <a:gd name="T17" fmla="*/ 145 w 145"/>
            <a:gd name="T18" fmla="*/ 32 h 32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45" h="32">
              <a:moveTo>
                <a:pt x="0" y="24"/>
              </a:moveTo>
              <a:cubicBezTo>
                <a:pt x="16" y="12"/>
                <a:pt x="32" y="1"/>
                <a:pt x="44" y="2"/>
              </a:cubicBezTo>
              <a:cubicBezTo>
                <a:pt x="56" y="3"/>
                <a:pt x="59" y="32"/>
                <a:pt x="72" y="32"/>
              </a:cubicBezTo>
              <a:cubicBezTo>
                <a:pt x="85" y="32"/>
                <a:pt x="108" y="6"/>
                <a:pt x="120" y="3"/>
              </a:cubicBezTo>
              <a:cubicBezTo>
                <a:pt x="132" y="0"/>
                <a:pt x="138" y="6"/>
                <a:pt x="145" y="12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704850</xdr:colOff>
      <xdr:row>32</xdr:row>
      <xdr:rowOff>19050</xdr:rowOff>
    </xdr:from>
    <xdr:to>
      <xdr:col>24</xdr:col>
      <xdr:colOff>466725</xdr:colOff>
      <xdr:row>33</xdr:row>
      <xdr:rowOff>133350</xdr:rowOff>
    </xdr:to>
    <xdr:sp macro="" textlink="">
      <xdr:nvSpPr>
        <xdr:cNvPr id="49" name="Freeform 271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>
          <a:spLocks/>
        </xdr:cNvSpPr>
      </xdr:nvSpPr>
      <xdr:spPr bwMode="auto">
        <a:xfrm>
          <a:off x="17468850" y="6343650"/>
          <a:ext cx="1285875" cy="304800"/>
        </a:xfrm>
        <a:custGeom>
          <a:avLst/>
          <a:gdLst>
            <a:gd name="T0" fmla="*/ 0 w 135"/>
            <a:gd name="T1" fmla="*/ 247650 h 29"/>
            <a:gd name="T2" fmla="*/ 460587 w 135"/>
            <a:gd name="T3" fmla="*/ 66675 h 29"/>
            <a:gd name="T4" fmla="*/ 537351 w 135"/>
            <a:gd name="T5" fmla="*/ 161925 h 29"/>
            <a:gd name="T6" fmla="*/ 892387 w 135"/>
            <a:gd name="T7" fmla="*/ 247650 h 29"/>
            <a:gd name="T8" fmla="*/ 1295400 w 135"/>
            <a:gd name="T9" fmla="*/ 0 h 29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35"/>
            <a:gd name="T16" fmla="*/ 0 h 29"/>
            <a:gd name="T17" fmla="*/ 135 w 135"/>
            <a:gd name="T18" fmla="*/ 29 h 29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35" h="29">
              <a:moveTo>
                <a:pt x="0" y="26"/>
              </a:moveTo>
              <a:cubicBezTo>
                <a:pt x="19" y="17"/>
                <a:pt x="39" y="8"/>
                <a:pt x="48" y="7"/>
              </a:cubicBezTo>
              <a:cubicBezTo>
                <a:pt x="57" y="6"/>
                <a:pt x="49" y="14"/>
                <a:pt x="56" y="17"/>
              </a:cubicBezTo>
              <a:cubicBezTo>
                <a:pt x="63" y="20"/>
                <a:pt x="80" y="29"/>
                <a:pt x="93" y="26"/>
              </a:cubicBezTo>
              <a:cubicBezTo>
                <a:pt x="106" y="23"/>
                <a:pt x="128" y="4"/>
                <a:pt x="135" y="0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428625</xdr:colOff>
      <xdr:row>24</xdr:row>
      <xdr:rowOff>123825</xdr:rowOff>
    </xdr:from>
    <xdr:to>
      <xdr:col>24</xdr:col>
      <xdr:colOff>400050</xdr:colOff>
      <xdr:row>24</xdr:row>
      <xdr:rowOff>123825</xdr:rowOff>
    </xdr:to>
    <xdr:sp macro="" textlink="">
      <xdr:nvSpPr>
        <xdr:cNvPr id="50" name="Line 306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>
          <a:spLocks noChangeShapeType="1"/>
        </xdr:cNvSpPr>
      </xdr:nvSpPr>
      <xdr:spPr bwMode="auto">
        <a:xfrm>
          <a:off x="13382625" y="4924425"/>
          <a:ext cx="5305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400050</xdr:colOff>
      <xdr:row>28</xdr:row>
      <xdr:rowOff>104775</xdr:rowOff>
    </xdr:from>
    <xdr:to>
      <xdr:col>23</xdr:col>
      <xdr:colOff>428625</xdr:colOff>
      <xdr:row>28</xdr:row>
      <xdr:rowOff>104775</xdr:rowOff>
    </xdr:to>
    <xdr:sp macro="" textlink="">
      <xdr:nvSpPr>
        <xdr:cNvPr id="51" name="Line 307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ShapeType="1"/>
        </xdr:cNvSpPr>
      </xdr:nvSpPr>
      <xdr:spPr bwMode="auto">
        <a:xfrm>
          <a:off x="14116050" y="5667375"/>
          <a:ext cx="383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400050</xdr:colOff>
      <xdr:row>28</xdr:row>
      <xdr:rowOff>114300</xdr:rowOff>
    </xdr:from>
    <xdr:to>
      <xdr:col>18</xdr:col>
      <xdr:colOff>400050</xdr:colOff>
      <xdr:row>30</xdr:row>
      <xdr:rowOff>180975</xdr:rowOff>
    </xdr:to>
    <xdr:sp macro="" textlink="">
      <xdr:nvSpPr>
        <xdr:cNvPr id="52" name="Line 308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ShapeType="1"/>
        </xdr:cNvSpPr>
      </xdr:nvSpPr>
      <xdr:spPr bwMode="auto">
        <a:xfrm>
          <a:off x="14116050" y="5676900"/>
          <a:ext cx="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438150</xdr:colOff>
      <xdr:row>28</xdr:row>
      <xdr:rowOff>104775</xdr:rowOff>
    </xdr:from>
    <xdr:to>
      <xdr:col>23</xdr:col>
      <xdr:colOff>438150</xdr:colOff>
      <xdr:row>32</xdr:row>
      <xdr:rowOff>38100</xdr:rowOff>
    </xdr:to>
    <xdr:sp macro="" textlink="">
      <xdr:nvSpPr>
        <xdr:cNvPr id="53" name="Line 309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ShapeType="1"/>
        </xdr:cNvSpPr>
      </xdr:nvSpPr>
      <xdr:spPr bwMode="auto">
        <a:xfrm>
          <a:off x="17964150" y="5667375"/>
          <a:ext cx="0" cy="695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638175</xdr:colOff>
      <xdr:row>28</xdr:row>
      <xdr:rowOff>66675</xdr:rowOff>
    </xdr:from>
    <xdr:to>
      <xdr:col>17</xdr:col>
      <xdr:colOff>638175</xdr:colOff>
      <xdr:row>31</xdr:row>
      <xdr:rowOff>9525</xdr:rowOff>
    </xdr:to>
    <xdr:sp macro="" textlink="">
      <xdr:nvSpPr>
        <xdr:cNvPr id="54" name="Line 310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ShapeType="1"/>
        </xdr:cNvSpPr>
      </xdr:nvSpPr>
      <xdr:spPr bwMode="auto">
        <a:xfrm>
          <a:off x="13592175" y="5629275"/>
          <a:ext cx="0" cy="514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219075</xdr:colOff>
      <xdr:row>28</xdr:row>
      <xdr:rowOff>95250</xdr:rowOff>
    </xdr:from>
    <xdr:to>
      <xdr:col>24</xdr:col>
      <xdr:colOff>219075</xdr:colOff>
      <xdr:row>31</xdr:row>
      <xdr:rowOff>152400</xdr:rowOff>
    </xdr:to>
    <xdr:sp macro="" textlink="">
      <xdr:nvSpPr>
        <xdr:cNvPr id="55" name="Line 311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ShapeType="1"/>
        </xdr:cNvSpPr>
      </xdr:nvSpPr>
      <xdr:spPr bwMode="auto">
        <a:xfrm>
          <a:off x="18507075" y="5657850"/>
          <a:ext cx="0" cy="628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647700</xdr:colOff>
      <xdr:row>25</xdr:row>
      <xdr:rowOff>76200</xdr:rowOff>
    </xdr:from>
    <xdr:to>
      <xdr:col>24</xdr:col>
      <xdr:colOff>152400</xdr:colOff>
      <xdr:row>25</xdr:row>
      <xdr:rowOff>76200</xdr:rowOff>
    </xdr:to>
    <xdr:sp macro="" textlink="">
      <xdr:nvSpPr>
        <xdr:cNvPr id="56" name="Line 312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ShapeType="1"/>
        </xdr:cNvSpPr>
      </xdr:nvSpPr>
      <xdr:spPr bwMode="auto">
        <a:xfrm>
          <a:off x="13601700" y="5067300"/>
          <a:ext cx="4838700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38100</xdr:colOff>
      <xdr:row>27</xdr:row>
      <xdr:rowOff>171450</xdr:rowOff>
    </xdr:from>
    <xdr:to>
      <xdr:col>24</xdr:col>
      <xdr:colOff>142875</xdr:colOff>
      <xdr:row>27</xdr:row>
      <xdr:rowOff>171450</xdr:rowOff>
    </xdr:to>
    <xdr:sp macro="" textlink="">
      <xdr:nvSpPr>
        <xdr:cNvPr id="57" name="Line 313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ShapeType="1"/>
        </xdr:cNvSpPr>
      </xdr:nvSpPr>
      <xdr:spPr bwMode="auto">
        <a:xfrm>
          <a:off x="13754100" y="5543550"/>
          <a:ext cx="4676775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533400</xdr:colOff>
      <xdr:row>23</xdr:row>
      <xdr:rowOff>152400</xdr:rowOff>
    </xdr:from>
    <xdr:to>
      <xdr:col>20</xdr:col>
      <xdr:colOff>542925</xdr:colOff>
      <xdr:row>25</xdr:row>
      <xdr:rowOff>38100</xdr:rowOff>
    </xdr:to>
    <xdr:sp macro="" textlink="">
      <xdr:nvSpPr>
        <xdr:cNvPr id="58" name="Line 314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>
          <a:spLocks noChangeShapeType="1"/>
        </xdr:cNvSpPr>
      </xdr:nvSpPr>
      <xdr:spPr bwMode="auto">
        <a:xfrm>
          <a:off x="15773400" y="4762500"/>
          <a:ext cx="9525" cy="266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19</xdr:col>
      <xdr:colOff>381000</xdr:colOff>
      <xdr:row>28</xdr:row>
      <xdr:rowOff>9525</xdr:rowOff>
    </xdr:from>
    <xdr:to>
      <xdr:col>19</xdr:col>
      <xdr:colOff>504825</xdr:colOff>
      <xdr:row>29</xdr:row>
      <xdr:rowOff>38100</xdr:rowOff>
    </xdr:to>
    <xdr:sp macro="" textlink="">
      <xdr:nvSpPr>
        <xdr:cNvPr id="59" name="Line 315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>
          <a:spLocks noChangeShapeType="1"/>
        </xdr:cNvSpPr>
      </xdr:nvSpPr>
      <xdr:spPr bwMode="auto">
        <a:xfrm flipH="1" flipV="1">
          <a:off x="14859000" y="5572125"/>
          <a:ext cx="123825" cy="219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17</xdr:col>
      <xdr:colOff>190500</xdr:colOff>
      <xdr:row>24</xdr:row>
      <xdr:rowOff>47625</xdr:rowOff>
    </xdr:from>
    <xdr:to>
      <xdr:col>17</xdr:col>
      <xdr:colOff>561975</xdr:colOff>
      <xdr:row>29</xdr:row>
      <xdr:rowOff>152400</xdr:rowOff>
    </xdr:to>
    <xdr:sp macro="" textlink="">
      <xdr:nvSpPr>
        <xdr:cNvPr id="60" name="Freeform 316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>
          <a:spLocks/>
        </xdr:cNvSpPr>
      </xdr:nvSpPr>
      <xdr:spPr bwMode="auto">
        <a:xfrm>
          <a:off x="13144500" y="4848225"/>
          <a:ext cx="371475" cy="1057275"/>
        </a:xfrm>
        <a:custGeom>
          <a:avLst/>
          <a:gdLst>
            <a:gd name="T0" fmla="*/ 0 w 39"/>
            <a:gd name="T1" fmla="*/ 0 h 105"/>
            <a:gd name="T2" fmla="*/ 247650 w 39"/>
            <a:gd name="T3" fmla="*/ 219075 h 105"/>
            <a:gd name="T4" fmla="*/ 114300 w 39"/>
            <a:gd name="T5" fmla="*/ 523875 h 105"/>
            <a:gd name="T6" fmla="*/ 333375 w 39"/>
            <a:gd name="T7" fmla="*/ 590550 h 105"/>
            <a:gd name="T8" fmla="*/ 333375 w 39"/>
            <a:gd name="T9" fmla="*/ 1000125 h 10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39"/>
            <a:gd name="T16" fmla="*/ 0 h 105"/>
            <a:gd name="T17" fmla="*/ 39 w 39"/>
            <a:gd name="T18" fmla="*/ 105 h 10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39" h="105">
              <a:moveTo>
                <a:pt x="0" y="0"/>
              </a:moveTo>
              <a:cubicBezTo>
                <a:pt x="12" y="7"/>
                <a:pt x="24" y="14"/>
                <a:pt x="26" y="23"/>
              </a:cubicBezTo>
              <a:cubicBezTo>
                <a:pt x="28" y="32"/>
                <a:pt x="11" y="49"/>
                <a:pt x="12" y="55"/>
              </a:cubicBezTo>
              <a:cubicBezTo>
                <a:pt x="13" y="61"/>
                <a:pt x="31" y="54"/>
                <a:pt x="35" y="62"/>
              </a:cubicBezTo>
              <a:cubicBezTo>
                <a:pt x="39" y="70"/>
                <a:pt x="35" y="98"/>
                <a:pt x="35" y="105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323850</xdr:colOff>
      <xdr:row>23</xdr:row>
      <xdr:rowOff>104775</xdr:rowOff>
    </xdr:from>
    <xdr:to>
      <xdr:col>24</xdr:col>
      <xdr:colOff>647700</xdr:colOff>
      <xdr:row>29</xdr:row>
      <xdr:rowOff>0</xdr:rowOff>
    </xdr:to>
    <xdr:sp macro="" textlink="">
      <xdr:nvSpPr>
        <xdr:cNvPr id="61" name="Freeform 317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>
          <a:spLocks/>
        </xdr:cNvSpPr>
      </xdr:nvSpPr>
      <xdr:spPr bwMode="auto">
        <a:xfrm>
          <a:off x="18611850" y="4714875"/>
          <a:ext cx="323850" cy="1038225"/>
        </a:xfrm>
        <a:custGeom>
          <a:avLst/>
          <a:gdLst>
            <a:gd name="T0" fmla="*/ 323850 w 61"/>
            <a:gd name="T1" fmla="*/ 0 h 103"/>
            <a:gd name="T2" fmla="*/ 69017 w 61"/>
            <a:gd name="T3" fmla="*/ 361950 h 103"/>
            <a:gd name="T4" fmla="*/ 217670 w 61"/>
            <a:gd name="T5" fmla="*/ 647700 h 103"/>
            <a:gd name="T6" fmla="*/ 31854 w 61"/>
            <a:gd name="T7" fmla="*/ 742950 h 103"/>
            <a:gd name="T8" fmla="*/ 15927 w 61"/>
            <a:gd name="T9" fmla="*/ 981075 h 10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1"/>
            <a:gd name="T16" fmla="*/ 0 h 103"/>
            <a:gd name="T17" fmla="*/ 61 w 61"/>
            <a:gd name="T18" fmla="*/ 103 h 10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1" h="103">
              <a:moveTo>
                <a:pt x="61" y="0"/>
              </a:moveTo>
              <a:cubicBezTo>
                <a:pt x="38" y="13"/>
                <a:pt x="16" y="27"/>
                <a:pt x="13" y="38"/>
              </a:cubicBezTo>
              <a:cubicBezTo>
                <a:pt x="10" y="49"/>
                <a:pt x="42" y="61"/>
                <a:pt x="41" y="68"/>
              </a:cubicBezTo>
              <a:cubicBezTo>
                <a:pt x="40" y="75"/>
                <a:pt x="12" y="72"/>
                <a:pt x="6" y="78"/>
              </a:cubicBezTo>
              <a:cubicBezTo>
                <a:pt x="0" y="84"/>
                <a:pt x="1" y="93"/>
                <a:pt x="3" y="103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142875</xdr:colOff>
      <xdr:row>31</xdr:row>
      <xdr:rowOff>66675</xdr:rowOff>
    </xdr:from>
    <xdr:to>
      <xdr:col>19</xdr:col>
      <xdr:colOff>133350</xdr:colOff>
      <xdr:row>33</xdr:row>
      <xdr:rowOff>47625</xdr:rowOff>
    </xdr:to>
    <xdr:sp macro="" textlink="">
      <xdr:nvSpPr>
        <xdr:cNvPr id="62" name="Freeform 318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>
          <a:spLocks/>
        </xdr:cNvSpPr>
      </xdr:nvSpPr>
      <xdr:spPr bwMode="auto">
        <a:xfrm>
          <a:off x="13096875" y="6200775"/>
          <a:ext cx="1514475" cy="361950"/>
        </a:xfrm>
        <a:custGeom>
          <a:avLst/>
          <a:gdLst>
            <a:gd name="T0" fmla="*/ 0 w 145"/>
            <a:gd name="T1" fmla="*/ 228600 h 32"/>
            <a:gd name="T2" fmla="*/ 459565 w 145"/>
            <a:gd name="T3" fmla="*/ 19050 h 32"/>
            <a:gd name="T4" fmla="*/ 752015 w 145"/>
            <a:gd name="T5" fmla="*/ 304800 h 32"/>
            <a:gd name="T6" fmla="*/ 1253358 w 145"/>
            <a:gd name="T7" fmla="*/ 28575 h 32"/>
            <a:gd name="T8" fmla="*/ 1514475 w 145"/>
            <a:gd name="T9" fmla="*/ 114300 h 32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45"/>
            <a:gd name="T16" fmla="*/ 0 h 32"/>
            <a:gd name="T17" fmla="*/ 145 w 145"/>
            <a:gd name="T18" fmla="*/ 32 h 32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45" h="32">
              <a:moveTo>
                <a:pt x="0" y="24"/>
              </a:moveTo>
              <a:cubicBezTo>
                <a:pt x="16" y="12"/>
                <a:pt x="32" y="1"/>
                <a:pt x="44" y="2"/>
              </a:cubicBezTo>
              <a:cubicBezTo>
                <a:pt x="56" y="3"/>
                <a:pt x="59" y="32"/>
                <a:pt x="72" y="32"/>
              </a:cubicBezTo>
              <a:cubicBezTo>
                <a:pt x="85" y="32"/>
                <a:pt x="108" y="6"/>
                <a:pt x="120" y="3"/>
              </a:cubicBezTo>
              <a:cubicBezTo>
                <a:pt x="132" y="0"/>
                <a:pt x="138" y="6"/>
                <a:pt x="145" y="12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704850</xdr:colOff>
      <xdr:row>32</xdr:row>
      <xdr:rowOff>19050</xdr:rowOff>
    </xdr:from>
    <xdr:to>
      <xdr:col>24</xdr:col>
      <xdr:colOff>466725</xdr:colOff>
      <xdr:row>33</xdr:row>
      <xdr:rowOff>133350</xdr:rowOff>
    </xdr:to>
    <xdr:sp macro="" textlink="">
      <xdr:nvSpPr>
        <xdr:cNvPr id="63" name="Freeform 319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>
          <a:spLocks/>
        </xdr:cNvSpPr>
      </xdr:nvSpPr>
      <xdr:spPr bwMode="auto">
        <a:xfrm>
          <a:off x="17468850" y="6343650"/>
          <a:ext cx="1285875" cy="304800"/>
        </a:xfrm>
        <a:custGeom>
          <a:avLst/>
          <a:gdLst>
            <a:gd name="T0" fmla="*/ 0 w 135"/>
            <a:gd name="T1" fmla="*/ 247650 h 29"/>
            <a:gd name="T2" fmla="*/ 460587 w 135"/>
            <a:gd name="T3" fmla="*/ 66675 h 29"/>
            <a:gd name="T4" fmla="*/ 537351 w 135"/>
            <a:gd name="T5" fmla="*/ 161925 h 29"/>
            <a:gd name="T6" fmla="*/ 892387 w 135"/>
            <a:gd name="T7" fmla="*/ 247650 h 29"/>
            <a:gd name="T8" fmla="*/ 1295400 w 135"/>
            <a:gd name="T9" fmla="*/ 0 h 29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35"/>
            <a:gd name="T16" fmla="*/ 0 h 29"/>
            <a:gd name="T17" fmla="*/ 135 w 135"/>
            <a:gd name="T18" fmla="*/ 29 h 29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35" h="29">
              <a:moveTo>
                <a:pt x="0" y="26"/>
              </a:moveTo>
              <a:cubicBezTo>
                <a:pt x="19" y="17"/>
                <a:pt x="39" y="8"/>
                <a:pt x="48" y="7"/>
              </a:cubicBezTo>
              <a:cubicBezTo>
                <a:pt x="57" y="6"/>
                <a:pt x="49" y="14"/>
                <a:pt x="56" y="17"/>
              </a:cubicBezTo>
              <a:cubicBezTo>
                <a:pt x="63" y="20"/>
                <a:pt x="80" y="29"/>
                <a:pt x="93" y="26"/>
              </a:cubicBezTo>
              <a:cubicBezTo>
                <a:pt x="106" y="23"/>
                <a:pt x="128" y="4"/>
                <a:pt x="135" y="0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657225</xdr:colOff>
      <xdr:row>25</xdr:row>
      <xdr:rowOff>123825</xdr:rowOff>
    </xdr:from>
    <xdr:to>
      <xdr:col>19</xdr:col>
      <xdr:colOff>276225</xdr:colOff>
      <xdr:row>25</xdr:row>
      <xdr:rowOff>123825</xdr:rowOff>
    </xdr:to>
    <xdr:sp macro="" textlink="">
      <xdr:nvSpPr>
        <xdr:cNvPr id="64" name="Line 320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>
          <a:spLocks noChangeShapeType="1"/>
        </xdr:cNvSpPr>
      </xdr:nvSpPr>
      <xdr:spPr bwMode="auto">
        <a:xfrm>
          <a:off x="13611225" y="5114925"/>
          <a:ext cx="114300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247650</xdr:colOff>
      <xdr:row>25</xdr:row>
      <xdr:rowOff>152400</xdr:rowOff>
    </xdr:from>
    <xdr:to>
      <xdr:col>24</xdr:col>
      <xdr:colOff>114300</xdr:colOff>
      <xdr:row>25</xdr:row>
      <xdr:rowOff>152400</xdr:rowOff>
    </xdr:to>
    <xdr:sp macro="" textlink="">
      <xdr:nvSpPr>
        <xdr:cNvPr id="65" name="Line 321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>
          <a:spLocks noChangeShapeType="1"/>
        </xdr:cNvSpPr>
      </xdr:nvSpPr>
      <xdr:spPr bwMode="auto">
        <a:xfrm>
          <a:off x="17011650" y="5143500"/>
          <a:ext cx="139065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466725</xdr:colOff>
      <xdr:row>27</xdr:row>
      <xdr:rowOff>104775</xdr:rowOff>
    </xdr:from>
    <xdr:to>
      <xdr:col>22</xdr:col>
      <xdr:colOff>152400</xdr:colOff>
      <xdr:row>27</xdr:row>
      <xdr:rowOff>104775</xdr:rowOff>
    </xdr:to>
    <xdr:sp macro="" textlink="">
      <xdr:nvSpPr>
        <xdr:cNvPr id="66" name="Line 322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>
          <a:spLocks noChangeShapeType="1"/>
        </xdr:cNvSpPr>
      </xdr:nvSpPr>
      <xdr:spPr bwMode="auto">
        <a:xfrm>
          <a:off x="14944725" y="5476875"/>
          <a:ext cx="19716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352425</xdr:colOff>
      <xdr:row>25</xdr:row>
      <xdr:rowOff>123825</xdr:rowOff>
    </xdr:from>
    <xdr:to>
      <xdr:col>18</xdr:col>
      <xdr:colOff>438150</xdr:colOff>
      <xdr:row>26</xdr:row>
      <xdr:rowOff>142875</xdr:rowOff>
    </xdr:to>
    <xdr:sp macro="" textlink="">
      <xdr:nvSpPr>
        <xdr:cNvPr id="67" name="Line 323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SpPr>
          <a:spLocks noChangeShapeType="1"/>
        </xdr:cNvSpPr>
      </xdr:nvSpPr>
      <xdr:spPr bwMode="auto">
        <a:xfrm flipV="1">
          <a:off x="14068425" y="5114925"/>
          <a:ext cx="85725" cy="209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23</xdr:col>
      <xdr:colOff>152400</xdr:colOff>
      <xdr:row>26</xdr:row>
      <xdr:rowOff>19050</xdr:rowOff>
    </xdr:from>
    <xdr:to>
      <xdr:col>23</xdr:col>
      <xdr:colOff>361950</xdr:colOff>
      <xdr:row>26</xdr:row>
      <xdr:rowOff>123825</xdr:rowOff>
    </xdr:to>
    <xdr:sp macro="" textlink="">
      <xdr:nvSpPr>
        <xdr:cNvPr id="68" name="Line 324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>
          <a:spLocks noChangeShapeType="1"/>
        </xdr:cNvSpPr>
      </xdr:nvSpPr>
      <xdr:spPr bwMode="auto">
        <a:xfrm flipH="1" flipV="1">
          <a:off x="17678400" y="5200650"/>
          <a:ext cx="20955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20</xdr:col>
      <xdr:colOff>28575</xdr:colOff>
      <xdr:row>26</xdr:row>
      <xdr:rowOff>95250</xdr:rowOff>
    </xdr:from>
    <xdr:to>
      <xdr:col>20</xdr:col>
      <xdr:colOff>371475</xdr:colOff>
      <xdr:row>27</xdr:row>
      <xdr:rowOff>85725</xdr:rowOff>
    </xdr:to>
    <xdr:sp macro="" textlink="">
      <xdr:nvSpPr>
        <xdr:cNvPr id="69" name="Line 325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>
          <a:spLocks noChangeShapeType="1"/>
        </xdr:cNvSpPr>
      </xdr:nvSpPr>
      <xdr:spPr bwMode="auto">
        <a:xfrm>
          <a:off x="15268575" y="5276850"/>
          <a:ext cx="342900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28575</xdr:colOff>
      <xdr:row>30</xdr:row>
      <xdr:rowOff>114300</xdr:rowOff>
    </xdr:from>
    <xdr:to>
      <xdr:col>23</xdr:col>
      <xdr:colOff>323850</xdr:colOff>
      <xdr:row>30</xdr:row>
      <xdr:rowOff>114300</xdr:rowOff>
    </xdr:to>
    <xdr:sp macro="" textlink="">
      <xdr:nvSpPr>
        <xdr:cNvPr id="70" name="Line 480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>
          <a:spLocks noChangeShapeType="1"/>
        </xdr:cNvSpPr>
      </xdr:nvSpPr>
      <xdr:spPr bwMode="auto">
        <a:xfrm>
          <a:off x="16030575" y="6057900"/>
          <a:ext cx="1819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685800</xdr:colOff>
      <xdr:row>30</xdr:row>
      <xdr:rowOff>95250</xdr:rowOff>
    </xdr:from>
    <xdr:to>
      <xdr:col>20</xdr:col>
      <xdr:colOff>466725</xdr:colOff>
      <xdr:row>30</xdr:row>
      <xdr:rowOff>95250</xdr:rowOff>
    </xdr:to>
    <xdr:sp macro="" textlink="">
      <xdr:nvSpPr>
        <xdr:cNvPr id="71" name="Line 481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SpPr>
          <a:spLocks noChangeShapeType="1"/>
        </xdr:cNvSpPr>
      </xdr:nvSpPr>
      <xdr:spPr bwMode="auto">
        <a:xfrm flipH="1">
          <a:off x="14401800" y="6038850"/>
          <a:ext cx="1304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19</xdr:col>
      <xdr:colOff>381000</xdr:colOff>
      <xdr:row>28</xdr:row>
      <xdr:rowOff>9525</xdr:rowOff>
    </xdr:from>
    <xdr:to>
      <xdr:col>19</xdr:col>
      <xdr:colOff>504825</xdr:colOff>
      <xdr:row>29</xdr:row>
      <xdr:rowOff>38100</xdr:rowOff>
    </xdr:to>
    <xdr:sp macro="" textlink="">
      <xdr:nvSpPr>
        <xdr:cNvPr id="107" name="Line 267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SpPr>
          <a:spLocks noChangeShapeType="1"/>
        </xdr:cNvSpPr>
      </xdr:nvSpPr>
      <xdr:spPr bwMode="auto">
        <a:xfrm flipH="1" flipV="1">
          <a:off x="14859000" y="5572125"/>
          <a:ext cx="123825" cy="219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19</xdr:col>
      <xdr:colOff>381000</xdr:colOff>
      <xdr:row>28</xdr:row>
      <xdr:rowOff>9525</xdr:rowOff>
    </xdr:from>
    <xdr:to>
      <xdr:col>19</xdr:col>
      <xdr:colOff>504825</xdr:colOff>
      <xdr:row>29</xdr:row>
      <xdr:rowOff>38100</xdr:rowOff>
    </xdr:to>
    <xdr:sp macro="" textlink="">
      <xdr:nvSpPr>
        <xdr:cNvPr id="108" name="Line 315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>
          <a:spLocks noChangeShapeType="1"/>
        </xdr:cNvSpPr>
      </xdr:nvSpPr>
      <xdr:spPr bwMode="auto">
        <a:xfrm flipH="1" flipV="1">
          <a:off x="14859000" y="5572125"/>
          <a:ext cx="123825" cy="219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428625</xdr:colOff>
      <xdr:row>60</xdr:row>
      <xdr:rowOff>123825</xdr:rowOff>
    </xdr:from>
    <xdr:to>
      <xdr:col>12</xdr:col>
      <xdr:colOff>400050</xdr:colOff>
      <xdr:row>60</xdr:row>
      <xdr:rowOff>123825</xdr:rowOff>
    </xdr:to>
    <xdr:sp macro="" textlink="">
      <xdr:nvSpPr>
        <xdr:cNvPr id="113" name="Line 258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>
          <a:spLocks noChangeShapeType="1"/>
        </xdr:cNvSpPr>
      </xdr:nvSpPr>
      <xdr:spPr bwMode="auto">
        <a:xfrm>
          <a:off x="4238625" y="12011025"/>
          <a:ext cx="5305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400050</xdr:colOff>
      <xdr:row>64</xdr:row>
      <xdr:rowOff>104775</xdr:rowOff>
    </xdr:from>
    <xdr:to>
      <xdr:col>11</xdr:col>
      <xdr:colOff>428625</xdr:colOff>
      <xdr:row>64</xdr:row>
      <xdr:rowOff>104775</xdr:rowOff>
    </xdr:to>
    <xdr:sp macro="" textlink="">
      <xdr:nvSpPr>
        <xdr:cNvPr id="114" name="Line 259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SpPr>
          <a:spLocks noChangeShapeType="1"/>
        </xdr:cNvSpPr>
      </xdr:nvSpPr>
      <xdr:spPr bwMode="auto">
        <a:xfrm>
          <a:off x="4972050" y="12753975"/>
          <a:ext cx="383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400050</xdr:colOff>
      <xdr:row>64</xdr:row>
      <xdr:rowOff>114300</xdr:rowOff>
    </xdr:from>
    <xdr:to>
      <xdr:col>6</xdr:col>
      <xdr:colOff>400050</xdr:colOff>
      <xdr:row>66</xdr:row>
      <xdr:rowOff>180975</xdr:rowOff>
    </xdr:to>
    <xdr:sp macro="" textlink="">
      <xdr:nvSpPr>
        <xdr:cNvPr id="115" name="Line 260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>
          <a:spLocks noChangeShapeType="1"/>
        </xdr:cNvSpPr>
      </xdr:nvSpPr>
      <xdr:spPr bwMode="auto">
        <a:xfrm>
          <a:off x="4972050" y="12763500"/>
          <a:ext cx="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438150</xdr:colOff>
      <xdr:row>64</xdr:row>
      <xdr:rowOff>104775</xdr:rowOff>
    </xdr:from>
    <xdr:to>
      <xdr:col>11</xdr:col>
      <xdr:colOff>438150</xdr:colOff>
      <xdr:row>68</xdr:row>
      <xdr:rowOff>38100</xdr:rowOff>
    </xdr:to>
    <xdr:sp macro="" textlink="">
      <xdr:nvSpPr>
        <xdr:cNvPr id="116" name="Line 261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>
          <a:spLocks noChangeShapeType="1"/>
        </xdr:cNvSpPr>
      </xdr:nvSpPr>
      <xdr:spPr bwMode="auto">
        <a:xfrm>
          <a:off x="8820150" y="12753975"/>
          <a:ext cx="0" cy="695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638175</xdr:colOff>
      <xdr:row>64</xdr:row>
      <xdr:rowOff>66675</xdr:rowOff>
    </xdr:from>
    <xdr:to>
      <xdr:col>5</xdr:col>
      <xdr:colOff>638175</xdr:colOff>
      <xdr:row>67</xdr:row>
      <xdr:rowOff>9525</xdr:rowOff>
    </xdr:to>
    <xdr:sp macro="" textlink="">
      <xdr:nvSpPr>
        <xdr:cNvPr id="117" name="Line 262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>
          <a:spLocks noChangeShapeType="1"/>
        </xdr:cNvSpPr>
      </xdr:nvSpPr>
      <xdr:spPr bwMode="auto">
        <a:xfrm>
          <a:off x="4448175" y="12715875"/>
          <a:ext cx="0" cy="514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219075</xdr:colOff>
      <xdr:row>64</xdr:row>
      <xdr:rowOff>95250</xdr:rowOff>
    </xdr:from>
    <xdr:to>
      <xdr:col>12</xdr:col>
      <xdr:colOff>219075</xdr:colOff>
      <xdr:row>67</xdr:row>
      <xdr:rowOff>152400</xdr:rowOff>
    </xdr:to>
    <xdr:sp macro="" textlink="">
      <xdr:nvSpPr>
        <xdr:cNvPr id="118" name="Line 263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SpPr>
          <a:spLocks noChangeShapeType="1"/>
        </xdr:cNvSpPr>
      </xdr:nvSpPr>
      <xdr:spPr bwMode="auto">
        <a:xfrm>
          <a:off x="9363075" y="12744450"/>
          <a:ext cx="0" cy="628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647700</xdr:colOff>
      <xdr:row>61</xdr:row>
      <xdr:rowOff>76200</xdr:rowOff>
    </xdr:from>
    <xdr:to>
      <xdr:col>12</xdr:col>
      <xdr:colOff>152400</xdr:colOff>
      <xdr:row>61</xdr:row>
      <xdr:rowOff>76200</xdr:rowOff>
    </xdr:to>
    <xdr:sp macro="" textlink="">
      <xdr:nvSpPr>
        <xdr:cNvPr id="119" name="Line 264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>
          <a:spLocks noChangeShapeType="1"/>
        </xdr:cNvSpPr>
      </xdr:nvSpPr>
      <xdr:spPr bwMode="auto">
        <a:xfrm>
          <a:off x="4457700" y="12153900"/>
          <a:ext cx="4838700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38100</xdr:colOff>
      <xdr:row>63</xdr:row>
      <xdr:rowOff>171450</xdr:rowOff>
    </xdr:from>
    <xdr:to>
      <xdr:col>12</xdr:col>
      <xdr:colOff>142875</xdr:colOff>
      <xdr:row>63</xdr:row>
      <xdr:rowOff>171450</xdr:rowOff>
    </xdr:to>
    <xdr:sp macro="" textlink="">
      <xdr:nvSpPr>
        <xdr:cNvPr id="120" name="Line 265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>
          <a:spLocks noChangeShapeType="1"/>
        </xdr:cNvSpPr>
      </xdr:nvSpPr>
      <xdr:spPr bwMode="auto">
        <a:xfrm>
          <a:off x="4610100" y="12630150"/>
          <a:ext cx="4676775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59</xdr:row>
      <xdr:rowOff>152400</xdr:rowOff>
    </xdr:from>
    <xdr:to>
      <xdr:col>8</xdr:col>
      <xdr:colOff>542925</xdr:colOff>
      <xdr:row>61</xdr:row>
      <xdr:rowOff>38100</xdr:rowOff>
    </xdr:to>
    <xdr:sp macro="" textlink="">
      <xdr:nvSpPr>
        <xdr:cNvPr id="121" name="Line 266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>
          <a:spLocks noChangeShapeType="1"/>
        </xdr:cNvSpPr>
      </xdr:nvSpPr>
      <xdr:spPr bwMode="auto">
        <a:xfrm>
          <a:off x="6629400" y="11849100"/>
          <a:ext cx="9525" cy="266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381000</xdr:colOff>
      <xdr:row>64</xdr:row>
      <xdr:rowOff>9525</xdr:rowOff>
    </xdr:from>
    <xdr:to>
      <xdr:col>7</xdr:col>
      <xdr:colOff>504825</xdr:colOff>
      <xdr:row>65</xdr:row>
      <xdr:rowOff>38100</xdr:rowOff>
    </xdr:to>
    <xdr:sp macro="" textlink="">
      <xdr:nvSpPr>
        <xdr:cNvPr id="122" name="Line 267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>
          <a:spLocks noChangeShapeType="1"/>
        </xdr:cNvSpPr>
      </xdr:nvSpPr>
      <xdr:spPr bwMode="auto">
        <a:xfrm flipH="1" flipV="1">
          <a:off x="5715000" y="12658725"/>
          <a:ext cx="123825" cy="219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190500</xdr:colOff>
      <xdr:row>60</xdr:row>
      <xdr:rowOff>47625</xdr:rowOff>
    </xdr:from>
    <xdr:to>
      <xdr:col>5</xdr:col>
      <xdr:colOff>561975</xdr:colOff>
      <xdr:row>65</xdr:row>
      <xdr:rowOff>152400</xdr:rowOff>
    </xdr:to>
    <xdr:sp macro="" textlink="">
      <xdr:nvSpPr>
        <xdr:cNvPr id="123" name="Freeform 268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SpPr>
          <a:spLocks/>
        </xdr:cNvSpPr>
      </xdr:nvSpPr>
      <xdr:spPr bwMode="auto">
        <a:xfrm>
          <a:off x="4000500" y="11934825"/>
          <a:ext cx="371475" cy="1057275"/>
        </a:xfrm>
        <a:custGeom>
          <a:avLst/>
          <a:gdLst>
            <a:gd name="T0" fmla="*/ 0 w 39"/>
            <a:gd name="T1" fmla="*/ 0 h 105"/>
            <a:gd name="T2" fmla="*/ 247650 w 39"/>
            <a:gd name="T3" fmla="*/ 219075 h 105"/>
            <a:gd name="T4" fmla="*/ 114300 w 39"/>
            <a:gd name="T5" fmla="*/ 523875 h 105"/>
            <a:gd name="T6" fmla="*/ 333375 w 39"/>
            <a:gd name="T7" fmla="*/ 590550 h 105"/>
            <a:gd name="T8" fmla="*/ 333375 w 39"/>
            <a:gd name="T9" fmla="*/ 1000125 h 10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39"/>
            <a:gd name="T16" fmla="*/ 0 h 105"/>
            <a:gd name="T17" fmla="*/ 39 w 39"/>
            <a:gd name="T18" fmla="*/ 105 h 10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39" h="105">
              <a:moveTo>
                <a:pt x="0" y="0"/>
              </a:moveTo>
              <a:cubicBezTo>
                <a:pt x="12" y="7"/>
                <a:pt x="24" y="14"/>
                <a:pt x="26" y="23"/>
              </a:cubicBezTo>
              <a:cubicBezTo>
                <a:pt x="28" y="32"/>
                <a:pt x="11" y="49"/>
                <a:pt x="12" y="55"/>
              </a:cubicBezTo>
              <a:cubicBezTo>
                <a:pt x="13" y="61"/>
                <a:pt x="31" y="54"/>
                <a:pt x="35" y="62"/>
              </a:cubicBezTo>
              <a:cubicBezTo>
                <a:pt x="39" y="70"/>
                <a:pt x="35" y="98"/>
                <a:pt x="35" y="105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67</xdr:row>
      <xdr:rowOff>66675</xdr:rowOff>
    </xdr:from>
    <xdr:to>
      <xdr:col>7</xdr:col>
      <xdr:colOff>133350</xdr:colOff>
      <xdr:row>69</xdr:row>
      <xdr:rowOff>47625</xdr:rowOff>
    </xdr:to>
    <xdr:sp macro="" textlink="">
      <xdr:nvSpPr>
        <xdr:cNvPr id="124" name="Freeform 270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SpPr>
          <a:spLocks/>
        </xdr:cNvSpPr>
      </xdr:nvSpPr>
      <xdr:spPr bwMode="auto">
        <a:xfrm>
          <a:off x="3952875" y="13287375"/>
          <a:ext cx="1514475" cy="361950"/>
        </a:xfrm>
        <a:custGeom>
          <a:avLst/>
          <a:gdLst>
            <a:gd name="T0" fmla="*/ 0 w 145"/>
            <a:gd name="T1" fmla="*/ 228600 h 32"/>
            <a:gd name="T2" fmla="*/ 459565 w 145"/>
            <a:gd name="T3" fmla="*/ 19050 h 32"/>
            <a:gd name="T4" fmla="*/ 752015 w 145"/>
            <a:gd name="T5" fmla="*/ 304800 h 32"/>
            <a:gd name="T6" fmla="*/ 1253358 w 145"/>
            <a:gd name="T7" fmla="*/ 28575 h 32"/>
            <a:gd name="T8" fmla="*/ 1514475 w 145"/>
            <a:gd name="T9" fmla="*/ 114300 h 32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45"/>
            <a:gd name="T16" fmla="*/ 0 h 32"/>
            <a:gd name="T17" fmla="*/ 145 w 145"/>
            <a:gd name="T18" fmla="*/ 32 h 32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45" h="32">
              <a:moveTo>
                <a:pt x="0" y="24"/>
              </a:moveTo>
              <a:cubicBezTo>
                <a:pt x="16" y="12"/>
                <a:pt x="32" y="1"/>
                <a:pt x="44" y="2"/>
              </a:cubicBezTo>
              <a:cubicBezTo>
                <a:pt x="56" y="3"/>
                <a:pt x="59" y="32"/>
                <a:pt x="72" y="32"/>
              </a:cubicBezTo>
              <a:cubicBezTo>
                <a:pt x="85" y="32"/>
                <a:pt x="108" y="6"/>
                <a:pt x="120" y="3"/>
              </a:cubicBezTo>
              <a:cubicBezTo>
                <a:pt x="132" y="0"/>
                <a:pt x="138" y="6"/>
                <a:pt x="145" y="12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704850</xdr:colOff>
      <xdr:row>68</xdr:row>
      <xdr:rowOff>19050</xdr:rowOff>
    </xdr:from>
    <xdr:to>
      <xdr:col>12</xdr:col>
      <xdr:colOff>466725</xdr:colOff>
      <xdr:row>69</xdr:row>
      <xdr:rowOff>133350</xdr:rowOff>
    </xdr:to>
    <xdr:sp macro="" textlink="">
      <xdr:nvSpPr>
        <xdr:cNvPr id="125" name="Freeform 271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>
          <a:spLocks/>
        </xdr:cNvSpPr>
      </xdr:nvSpPr>
      <xdr:spPr bwMode="auto">
        <a:xfrm>
          <a:off x="8324850" y="13430250"/>
          <a:ext cx="1285875" cy="304800"/>
        </a:xfrm>
        <a:custGeom>
          <a:avLst/>
          <a:gdLst>
            <a:gd name="T0" fmla="*/ 0 w 135"/>
            <a:gd name="T1" fmla="*/ 247650 h 29"/>
            <a:gd name="T2" fmla="*/ 460587 w 135"/>
            <a:gd name="T3" fmla="*/ 66675 h 29"/>
            <a:gd name="T4" fmla="*/ 537351 w 135"/>
            <a:gd name="T5" fmla="*/ 161925 h 29"/>
            <a:gd name="T6" fmla="*/ 892387 w 135"/>
            <a:gd name="T7" fmla="*/ 247650 h 29"/>
            <a:gd name="T8" fmla="*/ 1295400 w 135"/>
            <a:gd name="T9" fmla="*/ 0 h 29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35"/>
            <a:gd name="T16" fmla="*/ 0 h 29"/>
            <a:gd name="T17" fmla="*/ 135 w 135"/>
            <a:gd name="T18" fmla="*/ 29 h 29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35" h="29">
              <a:moveTo>
                <a:pt x="0" y="26"/>
              </a:moveTo>
              <a:cubicBezTo>
                <a:pt x="19" y="17"/>
                <a:pt x="39" y="8"/>
                <a:pt x="48" y="7"/>
              </a:cubicBezTo>
              <a:cubicBezTo>
                <a:pt x="57" y="6"/>
                <a:pt x="49" y="14"/>
                <a:pt x="56" y="17"/>
              </a:cubicBezTo>
              <a:cubicBezTo>
                <a:pt x="63" y="20"/>
                <a:pt x="80" y="29"/>
                <a:pt x="93" y="26"/>
              </a:cubicBezTo>
              <a:cubicBezTo>
                <a:pt x="106" y="23"/>
                <a:pt x="128" y="4"/>
                <a:pt x="135" y="0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428625</xdr:colOff>
      <xdr:row>60</xdr:row>
      <xdr:rowOff>123825</xdr:rowOff>
    </xdr:from>
    <xdr:to>
      <xdr:col>12</xdr:col>
      <xdr:colOff>400050</xdr:colOff>
      <xdr:row>60</xdr:row>
      <xdr:rowOff>123825</xdr:rowOff>
    </xdr:to>
    <xdr:sp macro="" textlink="">
      <xdr:nvSpPr>
        <xdr:cNvPr id="126" name="Line 306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>
          <a:spLocks noChangeShapeType="1"/>
        </xdr:cNvSpPr>
      </xdr:nvSpPr>
      <xdr:spPr bwMode="auto">
        <a:xfrm>
          <a:off x="4238625" y="12011025"/>
          <a:ext cx="5305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400050</xdr:colOff>
      <xdr:row>64</xdr:row>
      <xdr:rowOff>104775</xdr:rowOff>
    </xdr:from>
    <xdr:to>
      <xdr:col>11</xdr:col>
      <xdr:colOff>428625</xdr:colOff>
      <xdr:row>64</xdr:row>
      <xdr:rowOff>104775</xdr:rowOff>
    </xdr:to>
    <xdr:sp macro="" textlink="">
      <xdr:nvSpPr>
        <xdr:cNvPr id="127" name="Line 307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SpPr>
          <a:spLocks noChangeShapeType="1"/>
        </xdr:cNvSpPr>
      </xdr:nvSpPr>
      <xdr:spPr bwMode="auto">
        <a:xfrm>
          <a:off x="4972050" y="12753975"/>
          <a:ext cx="383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400050</xdr:colOff>
      <xdr:row>64</xdr:row>
      <xdr:rowOff>114300</xdr:rowOff>
    </xdr:from>
    <xdr:to>
      <xdr:col>6</xdr:col>
      <xdr:colOff>400050</xdr:colOff>
      <xdr:row>66</xdr:row>
      <xdr:rowOff>180975</xdr:rowOff>
    </xdr:to>
    <xdr:sp macro="" textlink="">
      <xdr:nvSpPr>
        <xdr:cNvPr id="128" name="Line 308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>
          <a:spLocks noChangeShapeType="1"/>
        </xdr:cNvSpPr>
      </xdr:nvSpPr>
      <xdr:spPr bwMode="auto">
        <a:xfrm>
          <a:off x="4972050" y="12763500"/>
          <a:ext cx="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438150</xdr:colOff>
      <xdr:row>64</xdr:row>
      <xdr:rowOff>104775</xdr:rowOff>
    </xdr:from>
    <xdr:to>
      <xdr:col>11</xdr:col>
      <xdr:colOff>438150</xdr:colOff>
      <xdr:row>68</xdr:row>
      <xdr:rowOff>38100</xdr:rowOff>
    </xdr:to>
    <xdr:sp macro="" textlink="">
      <xdr:nvSpPr>
        <xdr:cNvPr id="129" name="Line 309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>
          <a:spLocks noChangeShapeType="1"/>
        </xdr:cNvSpPr>
      </xdr:nvSpPr>
      <xdr:spPr bwMode="auto">
        <a:xfrm>
          <a:off x="8820150" y="12753975"/>
          <a:ext cx="0" cy="695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638175</xdr:colOff>
      <xdr:row>64</xdr:row>
      <xdr:rowOff>66675</xdr:rowOff>
    </xdr:from>
    <xdr:to>
      <xdr:col>5</xdr:col>
      <xdr:colOff>638175</xdr:colOff>
      <xdr:row>67</xdr:row>
      <xdr:rowOff>9525</xdr:rowOff>
    </xdr:to>
    <xdr:sp macro="" textlink="">
      <xdr:nvSpPr>
        <xdr:cNvPr id="130" name="Line 310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SpPr>
          <a:spLocks noChangeShapeType="1"/>
        </xdr:cNvSpPr>
      </xdr:nvSpPr>
      <xdr:spPr bwMode="auto">
        <a:xfrm>
          <a:off x="4448175" y="12715875"/>
          <a:ext cx="0" cy="514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219075</xdr:colOff>
      <xdr:row>64</xdr:row>
      <xdr:rowOff>95250</xdr:rowOff>
    </xdr:from>
    <xdr:to>
      <xdr:col>12</xdr:col>
      <xdr:colOff>219075</xdr:colOff>
      <xdr:row>67</xdr:row>
      <xdr:rowOff>152400</xdr:rowOff>
    </xdr:to>
    <xdr:sp macro="" textlink="">
      <xdr:nvSpPr>
        <xdr:cNvPr id="131" name="Line 311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SpPr>
          <a:spLocks noChangeShapeType="1"/>
        </xdr:cNvSpPr>
      </xdr:nvSpPr>
      <xdr:spPr bwMode="auto">
        <a:xfrm>
          <a:off x="9363075" y="12744450"/>
          <a:ext cx="0" cy="628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647700</xdr:colOff>
      <xdr:row>61</xdr:row>
      <xdr:rowOff>76200</xdr:rowOff>
    </xdr:from>
    <xdr:to>
      <xdr:col>12</xdr:col>
      <xdr:colOff>152400</xdr:colOff>
      <xdr:row>61</xdr:row>
      <xdr:rowOff>76200</xdr:rowOff>
    </xdr:to>
    <xdr:sp macro="" textlink="">
      <xdr:nvSpPr>
        <xdr:cNvPr id="132" name="Line 312">
          <a:extLst>
            <a:ext uri="{FF2B5EF4-FFF2-40B4-BE49-F238E27FC236}">
              <a16:creationId xmlns:a16="http://schemas.microsoft.com/office/drawing/2014/main" id="{00000000-0008-0000-0200-000084000000}"/>
            </a:ext>
          </a:extLst>
        </xdr:cNvPr>
        <xdr:cNvSpPr>
          <a:spLocks noChangeShapeType="1"/>
        </xdr:cNvSpPr>
      </xdr:nvSpPr>
      <xdr:spPr bwMode="auto">
        <a:xfrm>
          <a:off x="4457700" y="12153900"/>
          <a:ext cx="4838700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38100</xdr:colOff>
      <xdr:row>63</xdr:row>
      <xdr:rowOff>171450</xdr:rowOff>
    </xdr:from>
    <xdr:to>
      <xdr:col>12</xdr:col>
      <xdr:colOff>142875</xdr:colOff>
      <xdr:row>63</xdr:row>
      <xdr:rowOff>171450</xdr:rowOff>
    </xdr:to>
    <xdr:sp macro="" textlink="">
      <xdr:nvSpPr>
        <xdr:cNvPr id="133" name="Line 313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SpPr>
          <a:spLocks noChangeShapeType="1"/>
        </xdr:cNvSpPr>
      </xdr:nvSpPr>
      <xdr:spPr bwMode="auto">
        <a:xfrm>
          <a:off x="4610100" y="12630150"/>
          <a:ext cx="4676775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59</xdr:row>
      <xdr:rowOff>152400</xdr:rowOff>
    </xdr:from>
    <xdr:to>
      <xdr:col>8</xdr:col>
      <xdr:colOff>542925</xdr:colOff>
      <xdr:row>61</xdr:row>
      <xdr:rowOff>38100</xdr:rowOff>
    </xdr:to>
    <xdr:sp macro="" textlink="">
      <xdr:nvSpPr>
        <xdr:cNvPr id="134" name="Line 314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SpPr>
          <a:spLocks noChangeShapeType="1"/>
        </xdr:cNvSpPr>
      </xdr:nvSpPr>
      <xdr:spPr bwMode="auto">
        <a:xfrm>
          <a:off x="6629400" y="11849100"/>
          <a:ext cx="9525" cy="266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381000</xdr:colOff>
      <xdr:row>64</xdr:row>
      <xdr:rowOff>9525</xdr:rowOff>
    </xdr:from>
    <xdr:to>
      <xdr:col>7</xdr:col>
      <xdr:colOff>504825</xdr:colOff>
      <xdr:row>65</xdr:row>
      <xdr:rowOff>38100</xdr:rowOff>
    </xdr:to>
    <xdr:sp macro="" textlink="">
      <xdr:nvSpPr>
        <xdr:cNvPr id="135" name="Line 315">
          <a:extLst>
            <a:ext uri="{FF2B5EF4-FFF2-40B4-BE49-F238E27FC236}">
              <a16:creationId xmlns:a16="http://schemas.microsoft.com/office/drawing/2014/main" id="{00000000-0008-0000-0200-000087000000}"/>
            </a:ext>
          </a:extLst>
        </xdr:cNvPr>
        <xdr:cNvSpPr>
          <a:spLocks noChangeShapeType="1"/>
        </xdr:cNvSpPr>
      </xdr:nvSpPr>
      <xdr:spPr bwMode="auto">
        <a:xfrm flipH="1" flipV="1">
          <a:off x="5715000" y="12658725"/>
          <a:ext cx="123825" cy="219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190500</xdr:colOff>
      <xdr:row>60</xdr:row>
      <xdr:rowOff>47625</xdr:rowOff>
    </xdr:from>
    <xdr:to>
      <xdr:col>5</xdr:col>
      <xdr:colOff>561975</xdr:colOff>
      <xdr:row>65</xdr:row>
      <xdr:rowOff>152400</xdr:rowOff>
    </xdr:to>
    <xdr:sp macro="" textlink="">
      <xdr:nvSpPr>
        <xdr:cNvPr id="136" name="Freeform 316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SpPr>
          <a:spLocks/>
        </xdr:cNvSpPr>
      </xdr:nvSpPr>
      <xdr:spPr bwMode="auto">
        <a:xfrm>
          <a:off x="4000500" y="11934825"/>
          <a:ext cx="371475" cy="1057275"/>
        </a:xfrm>
        <a:custGeom>
          <a:avLst/>
          <a:gdLst>
            <a:gd name="T0" fmla="*/ 0 w 39"/>
            <a:gd name="T1" fmla="*/ 0 h 105"/>
            <a:gd name="T2" fmla="*/ 247650 w 39"/>
            <a:gd name="T3" fmla="*/ 219075 h 105"/>
            <a:gd name="T4" fmla="*/ 114300 w 39"/>
            <a:gd name="T5" fmla="*/ 523875 h 105"/>
            <a:gd name="T6" fmla="*/ 333375 w 39"/>
            <a:gd name="T7" fmla="*/ 590550 h 105"/>
            <a:gd name="T8" fmla="*/ 333375 w 39"/>
            <a:gd name="T9" fmla="*/ 1000125 h 10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39"/>
            <a:gd name="T16" fmla="*/ 0 h 105"/>
            <a:gd name="T17" fmla="*/ 39 w 39"/>
            <a:gd name="T18" fmla="*/ 105 h 10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39" h="105">
              <a:moveTo>
                <a:pt x="0" y="0"/>
              </a:moveTo>
              <a:cubicBezTo>
                <a:pt x="12" y="7"/>
                <a:pt x="24" y="14"/>
                <a:pt x="26" y="23"/>
              </a:cubicBezTo>
              <a:cubicBezTo>
                <a:pt x="28" y="32"/>
                <a:pt x="11" y="49"/>
                <a:pt x="12" y="55"/>
              </a:cubicBezTo>
              <a:cubicBezTo>
                <a:pt x="13" y="61"/>
                <a:pt x="31" y="54"/>
                <a:pt x="35" y="62"/>
              </a:cubicBezTo>
              <a:cubicBezTo>
                <a:pt x="39" y="70"/>
                <a:pt x="35" y="98"/>
                <a:pt x="35" y="105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323850</xdr:colOff>
      <xdr:row>59</xdr:row>
      <xdr:rowOff>104775</xdr:rowOff>
    </xdr:from>
    <xdr:to>
      <xdr:col>12</xdr:col>
      <xdr:colOff>647700</xdr:colOff>
      <xdr:row>65</xdr:row>
      <xdr:rowOff>0</xdr:rowOff>
    </xdr:to>
    <xdr:sp macro="" textlink="">
      <xdr:nvSpPr>
        <xdr:cNvPr id="137" name="Freeform 317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SpPr>
          <a:spLocks/>
        </xdr:cNvSpPr>
      </xdr:nvSpPr>
      <xdr:spPr bwMode="auto">
        <a:xfrm>
          <a:off x="9467850" y="11801475"/>
          <a:ext cx="323850" cy="1038225"/>
        </a:xfrm>
        <a:custGeom>
          <a:avLst/>
          <a:gdLst>
            <a:gd name="T0" fmla="*/ 323850 w 61"/>
            <a:gd name="T1" fmla="*/ 0 h 103"/>
            <a:gd name="T2" fmla="*/ 69017 w 61"/>
            <a:gd name="T3" fmla="*/ 361950 h 103"/>
            <a:gd name="T4" fmla="*/ 217670 w 61"/>
            <a:gd name="T5" fmla="*/ 647700 h 103"/>
            <a:gd name="T6" fmla="*/ 31854 w 61"/>
            <a:gd name="T7" fmla="*/ 742950 h 103"/>
            <a:gd name="T8" fmla="*/ 15927 w 61"/>
            <a:gd name="T9" fmla="*/ 981075 h 10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1"/>
            <a:gd name="T16" fmla="*/ 0 h 103"/>
            <a:gd name="T17" fmla="*/ 61 w 61"/>
            <a:gd name="T18" fmla="*/ 103 h 10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1" h="103">
              <a:moveTo>
                <a:pt x="61" y="0"/>
              </a:moveTo>
              <a:cubicBezTo>
                <a:pt x="38" y="13"/>
                <a:pt x="16" y="27"/>
                <a:pt x="13" y="38"/>
              </a:cubicBezTo>
              <a:cubicBezTo>
                <a:pt x="10" y="49"/>
                <a:pt x="42" y="61"/>
                <a:pt x="41" y="68"/>
              </a:cubicBezTo>
              <a:cubicBezTo>
                <a:pt x="40" y="75"/>
                <a:pt x="12" y="72"/>
                <a:pt x="6" y="78"/>
              </a:cubicBezTo>
              <a:cubicBezTo>
                <a:pt x="0" y="84"/>
                <a:pt x="1" y="93"/>
                <a:pt x="3" y="103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67</xdr:row>
      <xdr:rowOff>66675</xdr:rowOff>
    </xdr:from>
    <xdr:to>
      <xdr:col>7</xdr:col>
      <xdr:colOff>133350</xdr:colOff>
      <xdr:row>69</xdr:row>
      <xdr:rowOff>47625</xdr:rowOff>
    </xdr:to>
    <xdr:sp macro="" textlink="">
      <xdr:nvSpPr>
        <xdr:cNvPr id="138" name="Freeform 318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SpPr>
          <a:spLocks/>
        </xdr:cNvSpPr>
      </xdr:nvSpPr>
      <xdr:spPr bwMode="auto">
        <a:xfrm>
          <a:off x="3952875" y="13287375"/>
          <a:ext cx="1514475" cy="361950"/>
        </a:xfrm>
        <a:custGeom>
          <a:avLst/>
          <a:gdLst>
            <a:gd name="T0" fmla="*/ 0 w 145"/>
            <a:gd name="T1" fmla="*/ 228600 h 32"/>
            <a:gd name="T2" fmla="*/ 459565 w 145"/>
            <a:gd name="T3" fmla="*/ 19050 h 32"/>
            <a:gd name="T4" fmla="*/ 752015 w 145"/>
            <a:gd name="T5" fmla="*/ 304800 h 32"/>
            <a:gd name="T6" fmla="*/ 1253358 w 145"/>
            <a:gd name="T7" fmla="*/ 28575 h 32"/>
            <a:gd name="T8" fmla="*/ 1514475 w 145"/>
            <a:gd name="T9" fmla="*/ 114300 h 32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45"/>
            <a:gd name="T16" fmla="*/ 0 h 32"/>
            <a:gd name="T17" fmla="*/ 145 w 145"/>
            <a:gd name="T18" fmla="*/ 32 h 32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45" h="32">
              <a:moveTo>
                <a:pt x="0" y="24"/>
              </a:moveTo>
              <a:cubicBezTo>
                <a:pt x="16" y="12"/>
                <a:pt x="32" y="1"/>
                <a:pt x="44" y="2"/>
              </a:cubicBezTo>
              <a:cubicBezTo>
                <a:pt x="56" y="3"/>
                <a:pt x="59" y="32"/>
                <a:pt x="72" y="32"/>
              </a:cubicBezTo>
              <a:cubicBezTo>
                <a:pt x="85" y="32"/>
                <a:pt x="108" y="6"/>
                <a:pt x="120" y="3"/>
              </a:cubicBezTo>
              <a:cubicBezTo>
                <a:pt x="132" y="0"/>
                <a:pt x="138" y="6"/>
                <a:pt x="145" y="12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704850</xdr:colOff>
      <xdr:row>68</xdr:row>
      <xdr:rowOff>19050</xdr:rowOff>
    </xdr:from>
    <xdr:to>
      <xdr:col>12</xdr:col>
      <xdr:colOff>466725</xdr:colOff>
      <xdr:row>69</xdr:row>
      <xdr:rowOff>133350</xdr:rowOff>
    </xdr:to>
    <xdr:sp macro="" textlink="">
      <xdr:nvSpPr>
        <xdr:cNvPr id="139" name="Freeform 319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SpPr>
          <a:spLocks/>
        </xdr:cNvSpPr>
      </xdr:nvSpPr>
      <xdr:spPr bwMode="auto">
        <a:xfrm>
          <a:off x="8324850" y="13430250"/>
          <a:ext cx="1285875" cy="304800"/>
        </a:xfrm>
        <a:custGeom>
          <a:avLst/>
          <a:gdLst>
            <a:gd name="T0" fmla="*/ 0 w 135"/>
            <a:gd name="T1" fmla="*/ 247650 h 29"/>
            <a:gd name="T2" fmla="*/ 460587 w 135"/>
            <a:gd name="T3" fmla="*/ 66675 h 29"/>
            <a:gd name="T4" fmla="*/ 537351 w 135"/>
            <a:gd name="T5" fmla="*/ 161925 h 29"/>
            <a:gd name="T6" fmla="*/ 892387 w 135"/>
            <a:gd name="T7" fmla="*/ 247650 h 29"/>
            <a:gd name="T8" fmla="*/ 1295400 w 135"/>
            <a:gd name="T9" fmla="*/ 0 h 29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35"/>
            <a:gd name="T16" fmla="*/ 0 h 29"/>
            <a:gd name="T17" fmla="*/ 135 w 135"/>
            <a:gd name="T18" fmla="*/ 29 h 29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35" h="29">
              <a:moveTo>
                <a:pt x="0" y="26"/>
              </a:moveTo>
              <a:cubicBezTo>
                <a:pt x="19" y="17"/>
                <a:pt x="39" y="8"/>
                <a:pt x="48" y="7"/>
              </a:cubicBezTo>
              <a:cubicBezTo>
                <a:pt x="57" y="6"/>
                <a:pt x="49" y="14"/>
                <a:pt x="56" y="17"/>
              </a:cubicBezTo>
              <a:cubicBezTo>
                <a:pt x="63" y="20"/>
                <a:pt x="80" y="29"/>
                <a:pt x="93" y="26"/>
              </a:cubicBezTo>
              <a:cubicBezTo>
                <a:pt x="106" y="23"/>
                <a:pt x="128" y="4"/>
                <a:pt x="135" y="0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657225</xdr:colOff>
      <xdr:row>61</xdr:row>
      <xdr:rowOff>123825</xdr:rowOff>
    </xdr:from>
    <xdr:to>
      <xdr:col>7</xdr:col>
      <xdr:colOff>276225</xdr:colOff>
      <xdr:row>61</xdr:row>
      <xdr:rowOff>123825</xdr:rowOff>
    </xdr:to>
    <xdr:sp macro="" textlink="">
      <xdr:nvSpPr>
        <xdr:cNvPr id="140" name="Line 320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SpPr>
          <a:spLocks noChangeShapeType="1"/>
        </xdr:cNvSpPr>
      </xdr:nvSpPr>
      <xdr:spPr bwMode="auto">
        <a:xfrm>
          <a:off x="4467225" y="12201525"/>
          <a:ext cx="114300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247650</xdr:colOff>
      <xdr:row>61</xdr:row>
      <xdr:rowOff>152400</xdr:rowOff>
    </xdr:from>
    <xdr:to>
      <xdr:col>12</xdr:col>
      <xdr:colOff>114300</xdr:colOff>
      <xdr:row>61</xdr:row>
      <xdr:rowOff>152400</xdr:rowOff>
    </xdr:to>
    <xdr:sp macro="" textlink="">
      <xdr:nvSpPr>
        <xdr:cNvPr id="141" name="Line 321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SpPr>
          <a:spLocks noChangeShapeType="1"/>
        </xdr:cNvSpPr>
      </xdr:nvSpPr>
      <xdr:spPr bwMode="auto">
        <a:xfrm>
          <a:off x="7867650" y="12230100"/>
          <a:ext cx="139065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466725</xdr:colOff>
      <xdr:row>63</xdr:row>
      <xdr:rowOff>104775</xdr:rowOff>
    </xdr:from>
    <xdr:to>
      <xdr:col>10</xdr:col>
      <xdr:colOff>152400</xdr:colOff>
      <xdr:row>63</xdr:row>
      <xdr:rowOff>104775</xdr:rowOff>
    </xdr:to>
    <xdr:sp macro="" textlink="">
      <xdr:nvSpPr>
        <xdr:cNvPr id="142" name="Line 322">
          <a:extLst>
            <a:ext uri="{FF2B5EF4-FFF2-40B4-BE49-F238E27FC236}">
              <a16:creationId xmlns:a16="http://schemas.microsoft.com/office/drawing/2014/main" id="{00000000-0008-0000-0200-00008E000000}"/>
            </a:ext>
          </a:extLst>
        </xdr:cNvPr>
        <xdr:cNvSpPr>
          <a:spLocks noChangeShapeType="1"/>
        </xdr:cNvSpPr>
      </xdr:nvSpPr>
      <xdr:spPr bwMode="auto">
        <a:xfrm>
          <a:off x="5800725" y="12563475"/>
          <a:ext cx="19716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352425</xdr:colOff>
      <xdr:row>61</xdr:row>
      <xdr:rowOff>123825</xdr:rowOff>
    </xdr:from>
    <xdr:to>
      <xdr:col>6</xdr:col>
      <xdr:colOff>438150</xdr:colOff>
      <xdr:row>62</xdr:row>
      <xdr:rowOff>142875</xdr:rowOff>
    </xdr:to>
    <xdr:sp macro="" textlink="">
      <xdr:nvSpPr>
        <xdr:cNvPr id="143" name="Line 323">
          <a:extLst>
            <a:ext uri="{FF2B5EF4-FFF2-40B4-BE49-F238E27FC236}">
              <a16:creationId xmlns:a16="http://schemas.microsoft.com/office/drawing/2014/main" id="{00000000-0008-0000-0200-00008F000000}"/>
            </a:ext>
          </a:extLst>
        </xdr:cNvPr>
        <xdr:cNvSpPr>
          <a:spLocks noChangeShapeType="1"/>
        </xdr:cNvSpPr>
      </xdr:nvSpPr>
      <xdr:spPr bwMode="auto">
        <a:xfrm flipV="1">
          <a:off x="4924425" y="12201525"/>
          <a:ext cx="85725" cy="209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152400</xdr:colOff>
      <xdr:row>62</xdr:row>
      <xdr:rowOff>19050</xdr:rowOff>
    </xdr:from>
    <xdr:to>
      <xdr:col>11</xdr:col>
      <xdr:colOff>361950</xdr:colOff>
      <xdr:row>62</xdr:row>
      <xdr:rowOff>123825</xdr:rowOff>
    </xdr:to>
    <xdr:sp macro="" textlink="">
      <xdr:nvSpPr>
        <xdr:cNvPr id="144" name="Line 324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SpPr>
          <a:spLocks noChangeShapeType="1"/>
        </xdr:cNvSpPr>
      </xdr:nvSpPr>
      <xdr:spPr bwMode="auto">
        <a:xfrm flipH="1" flipV="1">
          <a:off x="8534400" y="12287250"/>
          <a:ext cx="20955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28575</xdr:colOff>
      <xdr:row>62</xdr:row>
      <xdr:rowOff>95250</xdr:rowOff>
    </xdr:from>
    <xdr:to>
      <xdr:col>8</xdr:col>
      <xdr:colOff>371475</xdr:colOff>
      <xdr:row>63</xdr:row>
      <xdr:rowOff>85725</xdr:rowOff>
    </xdr:to>
    <xdr:sp macro="" textlink="">
      <xdr:nvSpPr>
        <xdr:cNvPr id="145" name="Line 325">
          <a:extLst>
            <a:ext uri="{FF2B5EF4-FFF2-40B4-BE49-F238E27FC236}">
              <a16:creationId xmlns:a16="http://schemas.microsoft.com/office/drawing/2014/main" id="{00000000-0008-0000-0200-000091000000}"/>
            </a:ext>
          </a:extLst>
        </xdr:cNvPr>
        <xdr:cNvSpPr>
          <a:spLocks noChangeShapeType="1"/>
        </xdr:cNvSpPr>
      </xdr:nvSpPr>
      <xdr:spPr bwMode="auto">
        <a:xfrm>
          <a:off x="6124575" y="12363450"/>
          <a:ext cx="342900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28575</xdr:colOff>
      <xdr:row>66</xdr:row>
      <xdr:rowOff>114300</xdr:rowOff>
    </xdr:from>
    <xdr:to>
      <xdr:col>11</xdr:col>
      <xdr:colOff>323850</xdr:colOff>
      <xdr:row>66</xdr:row>
      <xdr:rowOff>114300</xdr:rowOff>
    </xdr:to>
    <xdr:sp macro="" textlink="">
      <xdr:nvSpPr>
        <xdr:cNvPr id="146" name="Line 480">
          <a:extLst>
            <a:ext uri="{FF2B5EF4-FFF2-40B4-BE49-F238E27FC236}">
              <a16:creationId xmlns:a16="http://schemas.microsoft.com/office/drawing/2014/main" id="{00000000-0008-0000-0200-000092000000}"/>
            </a:ext>
          </a:extLst>
        </xdr:cNvPr>
        <xdr:cNvSpPr>
          <a:spLocks noChangeShapeType="1"/>
        </xdr:cNvSpPr>
      </xdr:nvSpPr>
      <xdr:spPr bwMode="auto">
        <a:xfrm>
          <a:off x="6886575" y="13144500"/>
          <a:ext cx="1819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685800</xdr:colOff>
      <xdr:row>66</xdr:row>
      <xdr:rowOff>95250</xdr:rowOff>
    </xdr:from>
    <xdr:to>
      <xdr:col>8</xdr:col>
      <xdr:colOff>466725</xdr:colOff>
      <xdr:row>66</xdr:row>
      <xdr:rowOff>95250</xdr:rowOff>
    </xdr:to>
    <xdr:sp macro="" textlink="">
      <xdr:nvSpPr>
        <xdr:cNvPr id="147" name="Line 481">
          <a:extLst>
            <a:ext uri="{FF2B5EF4-FFF2-40B4-BE49-F238E27FC236}">
              <a16:creationId xmlns:a16="http://schemas.microsoft.com/office/drawing/2014/main" id="{00000000-0008-0000-0200-000093000000}"/>
            </a:ext>
          </a:extLst>
        </xdr:cNvPr>
        <xdr:cNvSpPr>
          <a:spLocks noChangeShapeType="1"/>
        </xdr:cNvSpPr>
      </xdr:nvSpPr>
      <xdr:spPr bwMode="auto">
        <a:xfrm flipH="1">
          <a:off x="5257800" y="13125450"/>
          <a:ext cx="1304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17</xdr:col>
      <xdr:colOff>428625</xdr:colOff>
      <xdr:row>60</xdr:row>
      <xdr:rowOff>123825</xdr:rowOff>
    </xdr:from>
    <xdr:to>
      <xdr:col>24</xdr:col>
      <xdr:colOff>400050</xdr:colOff>
      <xdr:row>60</xdr:row>
      <xdr:rowOff>123825</xdr:rowOff>
    </xdr:to>
    <xdr:sp macro="" textlink="">
      <xdr:nvSpPr>
        <xdr:cNvPr id="148" name="Line 258">
          <a:extLst>
            <a:ext uri="{FF2B5EF4-FFF2-40B4-BE49-F238E27FC236}">
              <a16:creationId xmlns:a16="http://schemas.microsoft.com/office/drawing/2014/main" id="{00000000-0008-0000-0200-000094000000}"/>
            </a:ext>
          </a:extLst>
        </xdr:cNvPr>
        <xdr:cNvSpPr>
          <a:spLocks noChangeShapeType="1"/>
        </xdr:cNvSpPr>
      </xdr:nvSpPr>
      <xdr:spPr bwMode="auto">
        <a:xfrm>
          <a:off x="13382625" y="12011025"/>
          <a:ext cx="5305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400050</xdr:colOff>
      <xdr:row>64</xdr:row>
      <xdr:rowOff>104775</xdr:rowOff>
    </xdr:from>
    <xdr:to>
      <xdr:col>23</xdr:col>
      <xdr:colOff>428625</xdr:colOff>
      <xdr:row>64</xdr:row>
      <xdr:rowOff>104775</xdr:rowOff>
    </xdr:to>
    <xdr:sp macro="" textlink="">
      <xdr:nvSpPr>
        <xdr:cNvPr id="149" name="Line 259">
          <a:extLst>
            <a:ext uri="{FF2B5EF4-FFF2-40B4-BE49-F238E27FC236}">
              <a16:creationId xmlns:a16="http://schemas.microsoft.com/office/drawing/2014/main" id="{00000000-0008-0000-0200-000095000000}"/>
            </a:ext>
          </a:extLst>
        </xdr:cNvPr>
        <xdr:cNvSpPr>
          <a:spLocks noChangeShapeType="1"/>
        </xdr:cNvSpPr>
      </xdr:nvSpPr>
      <xdr:spPr bwMode="auto">
        <a:xfrm>
          <a:off x="14116050" y="12753975"/>
          <a:ext cx="383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400050</xdr:colOff>
      <xdr:row>64</xdr:row>
      <xdr:rowOff>114300</xdr:rowOff>
    </xdr:from>
    <xdr:to>
      <xdr:col>18</xdr:col>
      <xdr:colOff>400050</xdr:colOff>
      <xdr:row>66</xdr:row>
      <xdr:rowOff>180975</xdr:rowOff>
    </xdr:to>
    <xdr:sp macro="" textlink="">
      <xdr:nvSpPr>
        <xdr:cNvPr id="150" name="Line 260">
          <a:extLst>
            <a:ext uri="{FF2B5EF4-FFF2-40B4-BE49-F238E27FC236}">
              <a16:creationId xmlns:a16="http://schemas.microsoft.com/office/drawing/2014/main" id="{00000000-0008-0000-0200-000096000000}"/>
            </a:ext>
          </a:extLst>
        </xdr:cNvPr>
        <xdr:cNvSpPr>
          <a:spLocks noChangeShapeType="1"/>
        </xdr:cNvSpPr>
      </xdr:nvSpPr>
      <xdr:spPr bwMode="auto">
        <a:xfrm>
          <a:off x="14116050" y="12763500"/>
          <a:ext cx="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438150</xdr:colOff>
      <xdr:row>64</xdr:row>
      <xdr:rowOff>104775</xdr:rowOff>
    </xdr:from>
    <xdr:to>
      <xdr:col>23</xdr:col>
      <xdr:colOff>438150</xdr:colOff>
      <xdr:row>68</xdr:row>
      <xdr:rowOff>38100</xdr:rowOff>
    </xdr:to>
    <xdr:sp macro="" textlink="">
      <xdr:nvSpPr>
        <xdr:cNvPr id="151" name="Line 261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SpPr>
          <a:spLocks noChangeShapeType="1"/>
        </xdr:cNvSpPr>
      </xdr:nvSpPr>
      <xdr:spPr bwMode="auto">
        <a:xfrm>
          <a:off x="17964150" y="12753975"/>
          <a:ext cx="0" cy="695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638175</xdr:colOff>
      <xdr:row>64</xdr:row>
      <xdr:rowOff>66675</xdr:rowOff>
    </xdr:from>
    <xdr:to>
      <xdr:col>17</xdr:col>
      <xdr:colOff>638175</xdr:colOff>
      <xdr:row>67</xdr:row>
      <xdr:rowOff>9525</xdr:rowOff>
    </xdr:to>
    <xdr:sp macro="" textlink="">
      <xdr:nvSpPr>
        <xdr:cNvPr id="152" name="Line 262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SpPr>
          <a:spLocks noChangeShapeType="1"/>
        </xdr:cNvSpPr>
      </xdr:nvSpPr>
      <xdr:spPr bwMode="auto">
        <a:xfrm>
          <a:off x="13592175" y="12715875"/>
          <a:ext cx="0" cy="514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219075</xdr:colOff>
      <xdr:row>64</xdr:row>
      <xdr:rowOff>95250</xdr:rowOff>
    </xdr:from>
    <xdr:to>
      <xdr:col>24</xdr:col>
      <xdr:colOff>219075</xdr:colOff>
      <xdr:row>67</xdr:row>
      <xdr:rowOff>152400</xdr:rowOff>
    </xdr:to>
    <xdr:sp macro="" textlink="">
      <xdr:nvSpPr>
        <xdr:cNvPr id="153" name="Line 263">
          <a:extLst>
            <a:ext uri="{FF2B5EF4-FFF2-40B4-BE49-F238E27FC236}">
              <a16:creationId xmlns:a16="http://schemas.microsoft.com/office/drawing/2014/main" id="{00000000-0008-0000-0200-000099000000}"/>
            </a:ext>
          </a:extLst>
        </xdr:cNvPr>
        <xdr:cNvSpPr>
          <a:spLocks noChangeShapeType="1"/>
        </xdr:cNvSpPr>
      </xdr:nvSpPr>
      <xdr:spPr bwMode="auto">
        <a:xfrm>
          <a:off x="18507075" y="12744450"/>
          <a:ext cx="0" cy="628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647700</xdr:colOff>
      <xdr:row>61</xdr:row>
      <xdr:rowOff>76200</xdr:rowOff>
    </xdr:from>
    <xdr:to>
      <xdr:col>24</xdr:col>
      <xdr:colOff>152400</xdr:colOff>
      <xdr:row>61</xdr:row>
      <xdr:rowOff>76200</xdr:rowOff>
    </xdr:to>
    <xdr:sp macro="" textlink="">
      <xdr:nvSpPr>
        <xdr:cNvPr id="154" name="Line 264">
          <a:extLst>
            <a:ext uri="{FF2B5EF4-FFF2-40B4-BE49-F238E27FC236}">
              <a16:creationId xmlns:a16="http://schemas.microsoft.com/office/drawing/2014/main" id="{00000000-0008-0000-0200-00009A000000}"/>
            </a:ext>
          </a:extLst>
        </xdr:cNvPr>
        <xdr:cNvSpPr>
          <a:spLocks noChangeShapeType="1"/>
        </xdr:cNvSpPr>
      </xdr:nvSpPr>
      <xdr:spPr bwMode="auto">
        <a:xfrm>
          <a:off x="13601700" y="12153900"/>
          <a:ext cx="4838700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38100</xdr:colOff>
      <xdr:row>63</xdr:row>
      <xdr:rowOff>171450</xdr:rowOff>
    </xdr:from>
    <xdr:to>
      <xdr:col>24</xdr:col>
      <xdr:colOff>142875</xdr:colOff>
      <xdr:row>63</xdr:row>
      <xdr:rowOff>171450</xdr:rowOff>
    </xdr:to>
    <xdr:sp macro="" textlink="">
      <xdr:nvSpPr>
        <xdr:cNvPr id="155" name="Line 265">
          <a:extLst>
            <a:ext uri="{FF2B5EF4-FFF2-40B4-BE49-F238E27FC236}">
              <a16:creationId xmlns:a16="http://schemas.microsoft.com/office/drawing/2014/main" id="{00000000-0008-0000-0200-00009B000000}"/>
            </a:ext>
          </a:extLst>
        </xdr:cNvPr>
        <xdr:cNvSpPr>
          <a:spLocks noChangeShapeType="1"/>
        </xdr:cNvSpPr>
      </xdr:nvSpPr>
      <xdr:spPr bwMode="auto">
        <a:xfrm>
          <a:off x="13754100" y="12630150"/>
          <a:ext cx="4676775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533400</xdr:colOff>
      <xdr:row>59</xdr:row>
      <xdr:rowOff>152400</xdr:rowOff>
    </xdr:from>
    <xdr:to>
      <xdr:col>20</xdr:col>
      <xdr:colOff>542925</xdr:colOff>
      <xdr:row>61</xdr:row>
      <xdr:rowOff>38100</xdr:rowOff>
    </xdr:to>
    <xdr:sp macro="" textlink="">
      <xdr:nvSpPr>
        <xdr:cNvPr id="156" name="Line 266">
          <a:extLst>
            <a:ext uri="{FF2B5EF4-FFF2-40B4-BE49-F238E27FC236}">
              <a16:creationId xmlns:a16="http://schemas.microsoft.com/office/drawing/2014/main" id="{00000000-0008-0000-0200-00009C000000}"/>
            </a:ext>
          </a:extLst>
        </xdr:cNvPr>
        <xdr:cNvSpPr>
          <a:spLocks noChangeShapeType="1"/>
        </xdr:cNvSpPr>
      </xdr:nvSpPr>
      <xdr:spPr bwMode="auto">
        <a:xfrm>
          <a:off x="15773400" y="11849100"/>
          <a:ext cx="9525" cy="266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19</xdr:col>
      <xdr:colOff>381000</xdr:colOff>
      <xdr:row>64</xdr:row>
      <xdr:rowOff>9525</xdr:rowOff>
    </xdr:from>
    <xdr:to>
      <xdr:col>19</xdr:col>
      <xdr:colOff>504825</xdr:colOff>
      <xdr:row>65</xdr:row>
      <xdr:rowOff>38100</xdr:rowOff>
    </xdr:to>
    <xdr:sp macro="" textlink="">
      <xdr:nvSpPr>
        <xdr:cNvPr id="157" name="Line 267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SpPr>
          <a:spLocks noChangeShapeType="1"/>
        </xdr:cNvSpPr>
      </xdr:nvSpPr>
      <xdr:spPr bwMode="auto">
        <a:xfrm flipH="1" flipV="1">
          <a:off x="14859000" y="12658725"/>
          <a:ext cx="123825" cy="219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17</xdr:col>
      <xdr:colOff>190500</xdr:colOff>
      <xdr:row>60</xdr:row>
      <xdr:rowOff>47625</xdr:rowOff>
    </xdr:from>
    <xdr:to>
      <xdr:col>17</xdr:col>
      <xdr:colOff>561975</xdr:colOff>
      <xdr:row>65</xdr:row>
      <xdr:rowOff>152400</xdr:rowOff>
    </xdr:to>
    <xdr:sp macro="" textlink="">
      <xdr:nvSpPr>
        <xdr:cNvPr id="158" name="Freeform 268">
          <a:extLst>
            <a:ext uri="{FF2B5EF4-FFF2-40B4-BE49-F238E27FC236}">
              <a16:creationId xmlns:a16="http://schemas.microsoft.com/office/drawing/2014/main" id="{00000000-0008-0000-0200-00009E000000}"/>
            </a:ext>
          </a:extLst>
        </xdr:cNvPr>
        <xdr:cNvSpPr>
          <a:spLocks/>
        </xdr:cNvSpPr>
      </xdr:nvSpPr>
      <xdr:spPr bwMode="auto">
        <a:xfrm>
          <a:off x="13144500" y="11934825"/>
          <a:ext cx="371475" cy="1057275"/>
        </a:xfrm>
        <a:custGeom>
          <a:avLst/>
          <a:gdLst>
            <a:gd name="T0" fmla="*/ 0 w 39"/>
            <a:gd name="T1" fmla="*/ 0 h 105"/>
            <a:gd name="T2" fmla="*/ 247650 w 39"/>
            <a:gd name="T3" fmla="*/ 219075 h 105"/>
            <a:gd name="T4" fmla="*/ 114300 w 39"/>
            <a:gd name="T5" fmla="*/ 523875 h 105"/>
            <a:gd name="T6" fmla="*/ 333375 w 39"/>
            <a:gd name="T7" fmla="*/ 590550 h 105"/>
            <a:gd name="T8" fmla="*/ 333375 w 39"/>
            <a:gd name="T9" fmla="*/ 1000125 h 10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39"/>
            <a:gd name="T16" fmla="*/ 0 h 105"/>
            <a:gd name="T17" fmla="*/ 39 w 39"/>
            <a:gd name="T18" fmla="*/ 105 h 10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39" h="105">
              <a:moveTo>
                <a:pt x="0" y="0"/>
              </a:moveTo>
              <a:cubicBezTo>
                <a:pt x="12" y="7"/>
                <a:pt x="24" y="14"/>
                <a:pt x="26" y="23"/>
              </a:cubicBezTo>
              <a:cubicBezTo>
                <a:pt x="28" y="32"/>
                <a:pt x="11" y="49"/>
                <a:pt x="12" y="55"/>
              </a:cubicBezTo>
              <a:cubicBezTo>
                <a:pt x="13" y="61"/>
                <a:pt x="31" y="54"/>
                <a:pt x="35" y="62"/>
              </a:cubicBezTo>
              <a:cubicBezTo>
                <a:pt x="39" y="70"/>
                <a:pt x="35" y="98"/>
                <a:pt x="35" y="105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142875</xdr:colOff>
      <xdr:row>67</xdr:row>
      <xdr:rowOff>66675</xdr:rowOff>
    </xdr:from>
    <xdr:to>
      <xdr:col>19</xdr:col>
      <xdr:colOff>133350</xdr:colOff>
      <xdr:row>69</xdr:row>
      <xdr:rowOff>47625</xdr:rowOff>
    </xdr:to>
    <xdr:sp macro="" textlink="">
      <xdr:nvSpPr>
        <xdr:cNvPr id="159" name="Freeform 270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SpPr>
          <a:spLocks/>
        </xdr:cNvSpPr>
      </xdr:nvSpPr>
      <xdr:spPr bwMode="auto">
        <a:xfrm>
          <a:off x="13096875" y="13287375"/>
          <a:ext cx="1514475" cy="361950"/>
        </a:xfrm>
        <a:custGeom>
          <a:avLst/>
          <a:gdLst>
            <a:gd name="T0" fmla="*/ 0 w 145"/>
            <a:gd name="T1" fmla="*/ 228600 h 32"/>
            <a:gd name="T2" fmla="*/ 459565 w 145"/>
            <a:gd name="T3" fmla="*/ 19050 h 32"/>
            <a:gd name="T4" fmla="*/ 752015 w 145"/>
            <a:gd name="T5" fmla="*/ 304800 h 32"/>
            <a:gd name="T6" fmla="*/ 1253358 w 145"/>
            <a:gd name="T7" fmla="*/ 28575 h 32"/>
            <a:gd name="T8" fmla="*/ 1514475 w 145"/>
            <a:gd name="T9" fmla="*/ 114300 h 32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45"/>
            <a:gd name="T16" fmla="*/ 0 h 32"/>
            <a:gd name="T17" fmla="*/ 145 w 145"/>
            <a:gd name="T18" fmla="*/ 32 h 32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45" h="32">
              <a:moveTo>
                <a:pt x="0" y="24"/>
              </a:moveTo>
              <a:cubicBezTo>
                <a:pt x="16" y="12"/>
                <a:pt x="32" y="1"/>
                <a:pt x="44" y="2"/>
              </a:cubicBezTo>
              <a:cubicBezTo>
                <a:pt x="56" y="3"/>
                <a:pt x="59" y="32"/>
                <a:pt x="72" y="32"/>
              </a:cubicBezTo>
              <a:cubicBezTo>
                <a:pt x="85" y="32"/>
                <a:pt x="108" y="6"/>
                <a:pt x="120" y="3"/>
              </a:cubicBezTo>
              <a:cubicBezTo>
                <a:pt x="132" y="0"/>
                <a:pt x="138" y="6"/>
                <a:pt x="145" y="12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704850</xdr:colOff>
      <xdr:row>68</xdr:row>
      <xdr:rowOff>19050</xdr:rowOff>
    </xdr:from>
    <xdr:to>
      <xdr:col>24</xdr:col>
      <xdr:colOff>466725</xdr:colOff>
      <xdr:row>69</xdr:row>
      <xdr:rowOff>133350</xdr:rowOff>
    </xdr:to>
    <xdr:sp macro="" textlink="">
      <xdr:nvSpPr>
        <xdr:cNvPr id="160" name="Freeform 271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SpPr>
          <a:spLocks/>
        </xdr:cNvSpPr>
      </xdr:nvSpPr>
      <xdr:spPr bwMode="auto">
        <a:xfrm>
          <a:off x="17468850" y="13430250"/>
          <a:ext cx="1285875" cy="304800"/>
        </a:xfrm>
        <a:custGeom>
          <a:avLst/>
          <a:gdLst>
            <a:gd name="T0" fmla="*/ 0 w 135"/>
            <a:gd name="T1" fmla="*/ 247650 h 29"/>
            <a:gd name="T2" fmla="*/ 460587 w 135"/>
            <a:gd name="T3" fmla="*/ 66675 h 29"/>
            <a:gd name="T4" fmla="*/ 537351 w 135"/>
            <a:gd name="T5" fmla="*/ 161925 h 29"/>
            <a:gd name="T6" fmla="*/ 892387 w 135"/>
            <a:gd name="T7" fmla="*/ 247650 h 29"/>
            <a:gd name="T8" fmla="*/ 1295400 w 135"/>
            <a:gd name="T9" fmla="*/ 0 h 29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35"/>
            <a:gd name="T16" fmla="*/ 0 h 29"/>
            <a:gd name="T17" fmla="*/ 135 w 135"/>
            <a:gd name="T18" fmla="*/ 29 h 29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35" h="29">
              <a:moveTo>
                <a:pt x="0" y="26"/>
              </a:moveTo>
              <a:cubicBezTo>
                <a:pt x="19" y="17"/>
                <a:pt x="39" y="8"/>
                <a:pt x="48" y="7"/>
              </a:cubicBezTo>
              <a:cubicBezTo>
                <a:pt x="57" y="6"/>
                <a:pt x="49" y="14"/>
                <a:pt x="56" y="17"/>
              </a:cubicBezTo>
              <a:cubicBezTo>
                <a:pt x="63" y="20"/>
                <a:pt x="80" y="29"/>
                <a:pt x="93" y="26"/>
              </a:cubicBezTo>
              <a:cubicBezTo>
                <a:pt x="106" y="23"/>
                <a:pt x="128" y="4"/>
                <a:pt x="135" y="0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428625</xdr:colOff>
      <xdr:row>60</xdr:row>
      <xdr:rowOff>123825</xdr:rowOff>
    </xdr:from>
    <xdr:to>
      <xdr:col>24</xdr:col>
      <xdr:colOff>400050</xdr:colOff>
      <xdr:row>60</xdr:row>
      <xdr:rowOff>123825</xdr:rowOff>
    </xdr:to>
    <xdr:sp macro="" textlink="">
      <xdr:nvSpPr>
        <xdr:cNvPr id="161" name="Line 306">
          <a:extLst>
            <a:ext uri="{FF2B5EF4-FFF2-40B4-BE49-F238E27FC236}">
              <a16:creationId xmlns:a16="http://schemas.microsoft.com/office/drawing/2014/main" id="{00000000-0008-0000-0200-0000A1000000}"/>
            </a:ext>
          </a:extLst>
        </xdr:cNvPr>
        <xdr:cNvSpPr>
          <a:spLocks noChangeShapeType="1"/>
        </xdr:cNvSpPr>
      </xdr:nvSpPr>
      <xdr:spPr bwMode="auto">
        <a:xfrm>
          <a:off x="13382625" y="12011025"/>
          <a:ext cx="5305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400050</xdr:colOff>
      <xdr:row>64</xdr:row>
      <xdr:rowOff>104775</xdr:rowOff>
    </xdr:from>
    <xdr:to>
      <xdr:col>23</xdr:col>
      <xdr:colOff>428625</xdr:colOff>
      <xdr:row>64</xdr:row>
      <xdr:rowOff>104775</xdr:rowOff>
    </xdr:to>
    <xdr:sp macro="" textlink="">
      <xdr:nvSpPr>
        <xdr:cNvPr id="162" name="Line 307">
          <a:extLst>
            <a:ext uri="{FF2B5EF4-FFF2-40B4-BE49-F238E27FC236}">
              <a16:creationId xmlns:a16="http://schemas.microsoft.com/office/drawing/2014/main" id="{00000000-0008-0000-0200-0000A2000000}"/>
            </a:ext>
          </a:extLst>
        </xdr:cNvPr>
        <xdr:cNvSpPr>
          <a:spLocks noChangeShapeType="1"/>
        </xdr:cNvSpPr>
      </xdr:nvSpPr>
      <xdr:spPr bwMode="auto">
        <a:xfrm>
          <a:off x="14116050" y="12753975"/>
          <a:ext cx="383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400050</xdr:colOff>
      <xdr:row>64</xdr:row>
      <xdr:rowOff>114300</xdr:rowOff>
    </xdr:from>
    <xdr:to>
      <xdr:col>18</xdr:col>
      <xdr:colOff>400050</xdr:colOff>
      <xdr:row>66</xdr:row>
      <xdr:rowOff>180975</xdr:rowOff>
    </xdr:to>
    <xdr:sp macro="" textlink="">
      <xdr:nvSpPr>
        <xdr:cNvPr id="163" name="Line 308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SpPr>
          <a:spLocks noChangeShapeType="1"/>
        </xdr:cNvSpPr>
      </xdr:nvSpPr>
      <xdr:spPr bwMode="auto">
        <a:xfrm>
          <a:off x="14116050" y="12763500"/>
          <a:ext cx="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438150</xdr:colOff>
      <xdr:row>64</xdr:row>
      <xdr:rowOff>104775</xdr:rowOff>
    </xdr:from>
    <xdr:to>
      <xdr:col>23</xdr:col>
      <xdr:colOff>438150</xdr:colOff>
      <xdr:row>68</xdr:row>
      <xdr:rowOff>38100</xdr:rowOff>
    </xdr:to>
    <xdr:sp macro="" textlink="">
      <xdr:nvSpPr>
        <xdr:cNvPr id="164" name="Line 309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SpPr>
          <a:spLocks noChangeShapeType="1"/>
        </xdr:cNvSpPr>
      </xdr:nvSpPr>
      <xdr:spPr bwMode="auto">
        <a:xfrm>
          <a:off x="17964150" y="12753975"/>
          <a:ext cx="0" cy="695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638175</xdr:colOff>
      <xdr:row>64</xdr:row>
      <xdr:rowOff>66675</xdr:rowOff>
    </xdr:from>
    <xdr:to>
      <xdr:col>17</xdr:col>
      <xdr:colOff>638175</xdr:colOff>
      <xdr:row>67</xdr:row>
      <xdr:rowOff>9525</xdr:rowOff>
    </xdr:to>
    <xdr:sp macro="" textlink="">
      <xdr:nvSpPr>
        <xdr:cNvPr id="165" name="Line 310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SpPr>
          <a:spLocks noChangeShapeType="1"/>
        </xdr:cNvSpPr>
      </xdr:nvSpPr>
      <xdr:spPr bwMode="auto">
        <a:xfrm>
          <a:off x="13592175" y="12715875"/>
          <a:ext cx="0" cy="514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219075</xdr:colOff>
      <xdr:row>64</xdr:row>
      <xdr:rowOff>95250</xdr:rowOff>
    </xdr:from>
    <xdr:to>
      <xdr:col>24</xdr:col>
      <xdr:colOff>219075</xdr:colOff>
      <xdr:row>67</xdr:row>
      <xdr:rowOff>152400</xdr:rowOff>
    </xdr:to>
    <xdr:sp macro="" textlink="">
      <xdr:nvSpPr>
        <xdr:cNvPr id="166" name="Line 311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SpPr>
          <a:spLocks noChangeShapeType="1"/>
        </xdr:cNvSpPr>
      </xdr:nvSpPr>
      <xdr:spPr bwMode="auto">
        <a:xfrm>
          <a:off x="18507075" y="12744450"/>
          <a:ext cx="0" cy="628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647700</xdr:colOff>
      <xdr:row>61</xdr:row>
      <xdr:rowOff>76200</xdr:rowOff>
    </xdr:from>
    <xdr:to>
      <xdr:col>24</xdr:col>
      <xdr:colOff>152400</xdr:colOff>
      <xdr:row>61</xdr:row>
      <xdr:rowOff>76200</xdr:rowOff>
    </xdr:to>
    <xdr:sp macro="" textlink="">
      <xdr:nvSpPr>
        <xdr:cNvPr id="167" name="Line 312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SpPr>
          <a:spLocks noChangeShapeType="1"/>
        </xdr:cNvSpPr>
      </xdr:nvSpPr>
      <xdr:spPr bwMode="auto">
        <a:xfrm>
          <a:off x="13601700" y="12153900"/>
          <a:ext cx="4838700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38100</xdr:colOff>
      <xdr:row>63</xdr:row>
      <xdr:rowOff>171450</xdr:rowOff>
    </xdr:from>
    <xdr:to>
      <xdr:col>24</xdr:col>
      <xdr:colOff>142875</xdr:colOff>
      <xdr:row>63</xdr:row>
      <xdr:rowOff>171450</xdr:rowOff>
    </xdr:to>
    <xdr:sp macro="" textlink="">
      <xdr:nvSpPr>
        <xdr:cNvPr id="168" name="Line 313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SpPr>
          <a:spLocks noChangeShapeType="1"/>
        </xdr:cNvSpPr>
      </xdr:nvSpPr>
      <xdr:spPr bwMode="auto">
        <a:xfrm>
          <a:off x="13754100" y="12630150"/>
          <a:ext cx="4676775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533400</xdr:colOff>
      <xdr:row>59</xdr:row>
      <xdr:rowOff>152400</xdr:rowOff>
    </xdr:from>
    <xdr:to>
      <xdr:col>20</xdr:col>
      <xdr:colOff>542925</xdr:colOff>
      <xdr:row>61</xdr:row>
      <xdr:rowOff>38100</xdr:rowOff>
    </xdr:to>
    <xdr:sp macro="" textlink="">
      <xdr:nvSpPr>
        <xdr:cNvPr id="169" name="Line 314">
          <a:extLst>
            <a:ext uri="{FF2B5EF4-FFF2-40B4-BE49-F238E27FC236}">
              <a16:creationId xmlns:a16="http://schemas.microsoft.com/office/drawing/2014/main" id="{00000000-0008-0000-0200-0000A9000000}"/>
            </a:ext>
          </a:extLst>
        </xdr:cNvPr>
        <xdr:cNvSpPr>
          <a:spLocks noChangeShapeType="1"/>
        </xdr:cNvSpPr>
      </xdr:nvSpPr>
      <xdr:spPr bwMode="auto">
        <a:xfrm>
          <a:off x="15773400" y="11849100"/>
          <a:ext cx="9525" cy="266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19</xdr:col>
      <xdr:colOff>381000</xdr:colOff>
      <xdr:row>64</xdr:row>
      <xdr:rowOff>9525</xdr:rowOff>
    </xdr:from>
    <xdr:to>
      <xdr:col>19</xdr:col>
      <xdr:colOff>504825</xdr:colOff>
      <xdr:row>65</xdr:row>
      <xdr:rowOff>38100</xdr:rowOff>
    </xdr:to>
    <xdr:sp macro="" textlink="">
      <xdr:nvSpPr>
        <xdr:cNvPr id="170" name="Line 315">
          <a:extLst>
            <a:ext uri="{FF2B5EF4-FFF2-40B4-BE49-F238E27FC236}">
              <a16:creationId xmlns:a16="http://schemas.microsoft.com/office/drawing/2014/main" id="{00000000-0008-0000-0200-0000AA000000}"/>
            </a:ext>
          </a:extLst>
        </xdr:cNvPr>
        <xdr:cNvSpPr>
          <a:spLocks noChangeShapeType="1"/>
        </xdr:cNvSpPr>
      </xdr:nvSpPr>
      <xdr:spPr bwMode="auto">
        <a:xfrm flipH="1" flipV="1">
          <a:off x="14859000" y="12658725"/>
          <a:ext cx="123825" cy="219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17</xdr:col>
      <xdr:colOff>190500</xdr:colOff>
      <xdr:row>60</xdr:row>
      <xdr:rowOff>47625</xdr:rowOff>
    </xdr:from>
    <xdr:to>
      <xdr:col>17</xdr:col>
      <xdr:colOff>561975</xdr:colOff>
      <xdr:row>65</xdr:row>
      <xdr:rowOff>152400</xdr:rowOff>
    </xdr:to>
    <xdr:sp macro="" textlink="">
      <xdr:nvSpPr>
        <xdr:cNvPr id="171" name="Freeform 316">
          <a:extLst>
            <a:ext uri="{FF2B5EF4-FFF2-40B4-BE49-F238E27FC236}">
              <a16:creationId xmlns:a16="http://schemas.microsoft.com/office/drawing/2014/main" id="{00000000-0008-0000-0200-0000AB000000}"/>
            </a:ext>
          </a:extLst>
        </xdr:cNvPr>
        <xdr:cNvSpPr>
          <a:spLocks/>
        </xdr:cNvSpPr>
      </xdr:nvSpPr>
      <xdr:spPr bwMode="auto">
        <a:xfrm>
          <a:off x="13144500" y="11934825"/>
          <a:ext cx="371475" cy="1057275"/>
        </a:xfrm>
        <a:custGeom>
          <a:avLst/>
          <a:gdLst>
            <a:gd name="T0" fmla="*/ 0 w 39"/>
            <a:gd name="T1" fmla="*/ 0 h 105"/>
            <a:gd name="T2" fmla="*/ 247650 w 39"/>
            <a:gd name="T3" fmla="*/ 219075 h 105"/>
            <a:gd name="T4" fmla="*/ 114300 w 39"/>
            <a:gd name="T5" fmla="*/ 523875 h 105"/>
            <a:gd name="T6" fmla="*/ 333375 w 39"/>
            <a:gd name="T7" fmla="*/ 590550 h 105"/>
            <a:gd name="T8" fmla="*/ 333375 w 39"/>
            <a:gd name="T9" fmla="*/ 1000125 h 10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39"/>
            <a:gd name="T16" fmla="*/ 0 h 105"/>
            <a:gd name="T17" fmla="*/ 39 w 39"/>
            <a:gd name="T18" fmla="*/ 105 h 10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39" h="105">
              <a:moveTo>
                <a:pt x="0" y="0"/>
              </a:moveTo>
              <a:cubicBezTo>
                <a:pt x="12" y="7"/>
                <a:pt x="24" y="14"/>
                <a:pt x="26" y="23"/>
              </a:cubicBezTo>
              <a:cubicBezTo>
                <a:pt x="28" y="32"/>
                <a:pt x="11" y="49"/>
                <a:pt x="12" y="55"/>
              </a:cubicBezTo>
              <a:cubicBezTo>
                <a:pt x="13" y="61"/>
                <a:pt x="31" y="54"/>
                <a:pt x="35" y="62"/>
              </a:cubicBezTo>
              <a:cubicBezTo>
                <a:pt x="39" y="70"/>
                <a:pt x="35" y="98"/>
                <a:pt x="35" y="105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323850</xdr:colOff>
      <xdr:row>59</xdr:row>
      <xdr:rowOff>104775</xdr:rowOff>
    </xdr:from>
    <xdr:to>
      <xdr:col>24</xdr:col>
      <xdr:colOff>647700</xdr:colOff>
      <xdr:row>65</xdr:row>
      <xdr:rowOff>0</xdr:rowOff>
    </xdr:to>
    <xdr:sp macro="" textlink="">
      <xdr:nvSpPr>
        <xdr:cNvPr id="172" name="Freeform 317">
          <a:extLst>
            <a:ext uri="{FF2B5EF4-FFF2-40B4-BE49-F238E27FC236}">
              <a16:creationId xmlns:a16="http://schemas.microsoft.com/office/drawing/2014/main" id="{00000000-0008-0000-0200-0000AC000000}"/>
            </a:ext>
          </a:extLst>
        </xdr:cNvPr>
        <xdr:cNvSpPr>
          <a:spLocks/>
        </xdr:cNvSpPr>
      </xdr:nvSpPr>
      <xdr:spPr bwMode="auto">
        <a:xfrm>
          <a:off x="18611850" y="11801475"/>
          <a:ext cx="323850" cy="1038225"/>
        </a:xfrm>
        <a:custGeom>
          <a:avLst/>
          <a:gdLst>
            <a:gd name="T0" fmla="*/ 323850 w 61"/>
            <a:gd name="T1" fmla="*/ 0 h 103"/>
            <a:gd name="T2" fmla="*/ 69017 w 61"/>
            <a:gd name="T3" fmla="*/ 361950 h 103"/>
            <a:gd name="T4" fmla="*/ 217670 w 61"/>
            <a:gd name="T5" fmla="*/ 647700 h 103"/>
            <a:gd name="T6" fmla="*/ 31854 w 61"/>
            <a:gd name="T7" fmla="*/ 742950 h 103"/>
            <a:gd name="T8" fmla="*/ 15927 w 61"/>
            <a:gd name="T9" fmla="*/ 981075 h 10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1"/>
            <a:gd name="T16" fmla="*/ 0 h 103"/>
            <a:gd name="T17" fmla="*/ 61 w 61"/>
            <a:gd name="T18" fmla="*/ 103 h 10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1" h="103">
              <a:moveTo>
                <a:pt x="61" y="0"/>
              </a:moveTo>
              <a:cubicBezTo>
                <a:pt x="38" y="13"/>
                <a:pt x="16" y="27"/>
                <a:pt x="13" y="38"/>
              </a:cubicBezTo>
              <a:cubicBezTo>
                <a:pt x="10" y="49"/>
                <a:pt x="42" y="61"/>
                <a:pt x="41" y="68"/>
              </a:cubicBezTo>
              <a:cubicBezTo>
                <a:pt x="40" y="75"/>
                <a:pt x="12" y="72"/>
                <a:pt x="6" y="78"/>
              </a:cubicBezTo>
              <a:cubicBezTo>
                <a:pt x="0" y="84"/>
                <a:pt x="1" y="93"/>
                <a:pt x="3" y="103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142875</xdr:colOff>
      <xdr:row>67</xdr:row>
      <xdr:rowOff>66675</xdr:rowOff>
    </xdr:from>
    <xdr:to>
      <xdr:col>19</xdr:col>
      <xdr:colOff>133350</xdr:colOff>
      <xdr:row>69</xdr:row>
      <xdr:rowOff>47625</xdr:rowOff>
    </xdr:to>
    <xdr:sp macro="" textlink="">
      <xdr:nvSpPr>
        <xdr:cNvPr id="173" name="Freeform 318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SpPr>
          <a:spLocks/>
        </xdr:cNvSpPr>
      </xdr:nvSpPr>
      <xdr:spPr bwMode="auto">
        <a:xfrm>
          <a:off x="13096875" y="13287375"/>
          <a:ext cx="1514475" cy="361950"/>
        </a:xfrm>
        <a:custGeom>
          <a:avLst/>
          <a:gdLst>
            <a:gd name="T0" fmla="*/ 0 w 145"/>
            <a:gd name="T1" fmla="*/ 228600 h 32"/>
            <a:gd name="T2" fmla="*/ 459565 w 145"/>
            <a:gd name="T3" fmla="*/ 19050 h 32"/>
            <a:gd name="T4" fmla="*/ 752015 w 145"/>
            <a:gd name="T5" fmla="*/ 304800 h 32"/>
            <a:gd name="T6" fmla="*/ 1253358 w 145"/>
            <a:gd name="T7" fmla="*/ 28575 h 32"/>
            <a:gd name="T8" fmla="*/ 1514475 w 145"/>
            <a:gd name="T9" fmla="*/ 114300 h 32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45"/>
            <a:gd name="T16" fmla="*/ 0 h 32"/>
            <a:gd name="T17" fmla="*/ 145 w 145"/>
            <a:gd name="T18" fmla="*/ 32 h 32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45" h="32">
              <a:moveTo>
                <a:pt x="0" y="24"/>
              </a:moveTo>
              <a:cubicBezTo>
                <a:pt x="16" y="12"/>
                <a:pt x="32" y="1"/>
                <a:pt x="44" y="2"/>
              </a:cubicBezTo>
              <a:cubicBezTo>
                <a:pt x="56" y="3"/>
                <a:pt x="59" y="32"/>
                <a:pt x="72" y="32"/>
              </a:cubicBezTo>
              <a:cubicBezTo>
                <a:pt x="85" y="32"/>
                <a:pt x="108" y="6"/>
                <a:pt x="120" y="3"/>
              </a:cubicBezTo>
              <a:cubicBezTo>
                <a:pt x="132" y="0"/>
                <a:pt x="138" y="6"/>
                <a:pt x="145" y="12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704850</xdr:colOff>
      <xdr:row>68</xdr:row>
      <xdr:rowOff>19050</xdr:rowOff>
    </xdr:from>
    <xdr:to>
      <xdr:col>24</xdr:col>
      <xdr:colOff>466725</xdr:colOff>
      <xdr:row>69</xdr:row>
      <xdr:rowOff>133350</xdr:rowOff>
    </xdr:to>
    <xdr:sp macro="" textlink="">
      <xdr:nvSpPr>
        <xdr:cNvPr id="174" name="Freeform 319">
          <a:extLst>
            <a:ext uri="{FF2B5EF4-FFF2-40B4-BE49-F238E27FC236}">
              <a16:creationId xmlns:a16="http://schemas.microsoft.com/office/drawing/2014/main" id="{00000000-0008-0000-0200-0000AE000000}"/>
            </a:ext>
          </a:extLst>
        </xdr:cNvPr>
        <xdr:cNvSpPr>
          <a:spLocks/>
        </xdr:cNvSpPr>
      </xdr:nvSpPr>
      <xdr:spPr bwMode="auto">
        <a:xfrm>
          <a:off x="17468850" y="13430250"/>
          <a:ext cx="1285875" cy="304800"/>
        </a:xfrm>
        <a:custGeom>
          <a:avLst/>
          <a:gdLst>
            <a:gd name="T0" fmla="*/ 0 w 135"/>
            <a:gd name="T1" fmla="*/ 247650 h 29"/>
            <a:gd name="T2" fmla="*/ 460587 w 135"/>
            <a:gd name="T3" fmla="*/ 66675 h 29"/>
            <a:gd name="T4" fmla="*/ 537351 w 135"/>
            <a:gd name="T5" fmla="*/ 161925 h 29"/>
            <a:gd name="T6" fmla="*/ 892387 w 135"/>
            <a:gd name="T7" fmla="*/ 247650 h 29"/>
            <a:gd name="T8" fmla="*/ 1295400 w 135"/>
            <a:gd name="T9" fmla="*/ 0 h 29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35"/>
            <a:gd name="T16" fmla="*/ 0 h 29"/>
            <a:gd name="T17" fmla="*/ 135 w 135"/>
            <a:gd name="T18" fmla="*/ 29 h 29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35" h="29">
              <a:moveTo>
                <a:pt x="0" y="26"/>
              </a:moveTo>
              <a:cubicBezTo>
                <a:pt x="19" y="17"/>
                <a:pt x="39" y="8"/>
                <a:pt x="48" y="7"/>
              </a:cubicBezTo>
              <a:cubicBezTo>
                <a:pt x="57" y="6"/>
                <a:pt x="49" y="14"/>
                <a:pt x="56" y="17"/>
              </a:cubicBezTo>
              <a:cubicBezTo>
                <a:pt x="63" y="20"/>
                <a:pt x="80" y="29"/>
                <a:pt x="93" y="26"/>
              </a:cubicBezTo>
              <a:cubicBezTo>
                <a:pt x="106" y="23"/>
                <a:pt x="128" y="4"/>
                <a:pt x="135" y="0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657225</xdr:colOff>
      <xdr:row>61</xdr:row>
      <xdr:rowOff>123825</xdr:rowOff>
    </xdr:from>
    <xdr:to>
      <xdr:col>19</xdr:col>
      <xdr:colOff>276225</xdr:colOff>
      <xdr:row>61</xdr:row>
      <xdr:rowOff>123825</xdr:rowOff>
    </xdr:to>
    <xdr:sp macro="" textlink="">
      <xdr:nvSpPr>
        <xdr:cNvPr id="175" name="Line 320">
          <a:extLst>
            <a:ext uri="{FF2B5EF4-FFF2-40B4-BE49-F238E27FC236}">
              <a16:creationId xmlns:a16="http://schemas.microsoft.com/office/drawing/2014/main" id="{00000000-0008-0000-0200-0000AF000000}"/>
            </a:ext>
          </a:extLst>
        </xdr:cNvPr>
        <xdr:cNvSpPr>
          <a:spLocks noChangeShapeType="1"/>
        </xdr:cNvSpPr>
      </xdr:nvSpPr>
      <xdr:spPr bwMode="auto">
        <a:xfrm>
          <a:off x="13611225" y="12201525"/>
          <a:ext cx="114300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247650</xdr:colOff>
      <xdr:row>61</xdr:row>
      <xdr:rowOff>152400</xdr:rowOff>
    </xdr:from>
    <xdr:to>
      <xdr:col>24</xdr:col>
      <xdr:colOff>114300</xdr:colOff>
      <xdr:row>61</xdr:row>
      <xdr:rowOff>152400</xdr:rowOff>
    </xdr:to>
    <xdr:sp macro="" textlink="">
      <xdr:nvSpPr>
        <xdr:cNvPr id="176" name="Line 321">
          <a:extLst>
            <a:ext uri="{FF2B5EF4-FFF2-40B4-BE49-F238E27FC236}">
              <a16:creationId xmlns:a16="http://schemas.microsoft.com/office/drawing/2014/main" id="{00000000-0008-0000-0200-0000B0000000}"/>
            </a:ext>
          </a:extLst>
        </xdr:cNvPr>
        <xdr:cNvSpPr>
          <a:spLocks noChangeShapeType="1"/>
        </xdr:cNvSpPr>
      </xdr:nvSpPr>
      <xdr:spPr bwMode="auto">
        <a:xfrm>
          <a:off x="17011650" y="12230100"/>
          <a:ext cx="139065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466725</xdr:colOff>
      <xdr:row>63</xdr:row>
      <xdr:rowOff>104775</xdr:rowOff>
    </xdr:from>
    <xdr:to>
      <xdr:col>22</xdr:col>
      <xdr:colOff>152400</xdr:colOff>
      <xdr:row>63</xdr:row>
      <xdr:rowOff>104775</xdr:rowOff>
    </xdr:to>
    <xdr:sp macro="" textlink="">
      <xdr:nvSpPr>
        <xdr:cNvPr id="177" name="Line 322">
          <a:extLst>
            <a:ext uri="{FF2B5EF4-FFF2-40B4-BE49-F238E27FC236}">
              <a16:creationId xmlns:a16="http://schemas.microsoft.com/office/drawing/2014/main" id="{00000000-0008-0000-0200-0000B1000000}"/>
            </a:ext>
          </a:extLst>
        </xdr:cNvPr>
        <xdr:cNvSpPr>
          <a:spLocks noChangeShapeType="1"/>
        </xdr:cNvSpPr>
      </xdr:nvSpPr>
      <xdr:spPr bwMode="auto">
        <a:xfrm>
          <a:off x="14944725" y="12563475"/>
          <a:ext cx="19716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352425</xdr:colOff>
      <xdr:row>61</xdr:row>
      <xdr:rowOff>123825</xdr:rowOff>
    </xdr:from>
    <xdr:to>
      <xdr:col>18</xdr:col>
      <xdr:colOff>438150</xdr:colOff>
      <xdr:row>62</xdr:row>
      <xdr:rowOff>142875</xdr:rowOff>
    </xdr:to>
    <xdr:sp macro="" textlink="">
      <xdr:nvSpPr>
        <xdr:cNvPr id="178" name="Line 323">
          <a:extLst>
            <a:ext uri="{FF2B5EF4-FFF2-40B4-BE49-F238E27FC236}">
              <a16:creationId xmlns:a16="http://schemas.microsoft.com/office/drawing/2014/main" id="{00000000-0008-0000-0200-0000B2000000}"/>
            </a:ext>
          </a:extLst>
        </xdr:cNvPr>
        <xdr:cNvSpPr>
          <a:spLocks noChangeShapeType="1"/>
        </xdr:cNvSpPr>
      </xdr:nvSpPr>
      <xdr:spPr bwMode="auto">
        <a:xfrm flipV="1">
          <a:off x="14068425" y="12201525"/>
          <a:ext cx="85725" cy="209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23</xdr:col>
      <xdr:colOff>152400</xdr:colOff>
      <xdr:row>62</xdr:row>
      <xdr:rowOff>19050</xdr:rowOff>
    </xdr:from>
    <xdr:to>
      <xdr:col>23</xdr:col>
      <xdr:colOff>361950</xdr:colOff>
      <xdr:row>62</xdr:row>
      <xdr:rowOff>123825</xdr:rowOff>
    </xdr:to>
    <xdr:sp macro="" textlink="">
      <xdr:nvSpPr>
        <xdr:cNvPr id="179" name="Line 324">
          <a:extLst>
            <a:ext uri="{FF2B5EF4-FFF2-40B4-BE49-F238E27FC236}">
              <a16:creationId xmlns:a16="http://schemas.microsoft.com/office/drawing/2014/main" id="{00000000-0008-0000-0200-0000B3000000}"/>
            </a:ext>
          </a:extLst>
        </xdr:cNvPr>
        <xdr:cNvSpPr>
          <a:spLocks noChangeShapeType="1"/>
        </xdr:cNvSpPr>
      </xdr:nvSpPr>
      <xdr:spPr bwMode="auto">
        <a:xfrm flipH="1" flipV="1">
          <a:off x="17678400" y="12287250"/>
          <a:ext cx="20955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20</xdr:col>
      <xdr:colOff>28575</xdr:colOff>
      <xdr:row>62</xdr:row>
      <xdr:rowOff>95250</xdr:rowOff>
    </xdr:from>
    <xdr:to>
      <xdr:col>20</xdr:col>
      <xdr:colOff>371475</xdr:colOff>
      <xdr:row>63</xdr:row>
      <xdr:rowOff>85725</xdr:rowOff>
    </xdr:to>
    <xdr:sp macro="" textlink="">
      <xdr:nvSpPr>
        <xdr:cNvPr id="180" name="Line 325">
          <a:extLst>
            <a:ext uri="{FF2B5EF4-FFF2-40B4-BE49-F238E27FC236}">
              <a16:creationId xmlns:a16="http://schemas.microsoft.com/office/drawing/2014/main" id="{00000000-0008-0000-0200-0000B4000000}"/>
            </a:ext>
          </a:extLst>
        </xdr:cNvPr>
        <xdr:cNvSpPr>
          <a:spLocks noChangeShapeType="1"/>
        </xdr:cNvSpPr>
      </xdr:nvSpPr>
      <xdr:spPr bwMode="auto">
        <a:xfrm>
          <a:off x="15268575" y="12363450"/>
          <a:ext cx="342900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28575</xdr:colOff>
      <xdr:row>66</xdr:row>
      <xdr:rowOff>114300</xdr:rowOff>
    </xdr:from>
    <xdr:to>
      <xdr:col>23</xdr:col>
      <xdr:colOff>323850</xdr:colOff>
      <xdr:row>66</xdr:row>
      <xdr:rowOff>114300</xdr:rowOff>
    </xdr:to>
    <xdr:sp macro="" textlink="">
      <xdr:nvSpPr>
        <xdr:cNvPr id="181" name="Line 480">
          <a:extLst>
            <a:ext uri="{FF2B5EF4-FFF2-40B4-BE49-F238E27FC236}">
              <a16:creationId xmlns:a16="http://schemas.microsoft.com/office/drawing/2014/main" id="{00000000-0008-0000-0200-0000B5000000}"/>
            </a:ext>
          </a:extLst>
        </xdr:cNvPr>
        <xdr:cNvSpPr>
          <a:spLocks noChangeShapeType="1"/>
        </xdr:cNvSpPr>
      </xdr:nvSpPr>
      <xdr:spPr bwMode="auto">
        <a:xfrm>
          <a:off x="16030575" y="13144500"/>
          <a:ext cx="1819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685800</xdr:colOff>
      <xdr:row>66</xdr:row>
      <xdr:rowOff>95250</xdr:rowOff>
    </xdr:from>
    <xdr:to>
      <xdr:col>20</xdr:col>
      <xdr:colOff>466725</xdr:colOff>
      <xdr:row>66</xdr:row>
      <xdr:rowOff>95250</xdr:rowOff>
    </xdr:to>
    <xdr:sp macro="" textlink="">
      <xdr:nvSpPr>
        <xdr:cNvPr id="182" name="Line 481">
          <a:extLst>
            <a:ext uri="{FF2B5EF4-FFF2-40B4-BE49-F238E27FC236}">
              <a16:creationId xmlns:a16="http://schemas.microsoft.com/office/drawing/2014/main" id="{00000000-0008-0000-0200-0000B6000000}"/>
            </a:ext>
          </a:extLst>
        </xdr:cNvPr>
        <xdr:cNvSpPr>
          <a:spLocks noChangeShapeType="1"/>
        </xdr:cNvSpPr>
      </xdr:nvSpPr>
      <xdr:spPr bwMode="auto">
        <a:xfrm flipH="1">
          <a:off x="14401800" y="13125450"/>
          <a:ext cx="1304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19</xdr:col>
      <xdr:colOff>381000</xdr:colOff>
      <xdr:row>64</xdr:row>
      <xdr:rowOff>9525</xdr:rowOff>
    </xdr:from>
    <xdr:to>
      <xdr:col>19</xdr:col>
      <xdr:colOff>504825</xdr:colOff>
      <xdr:row>65</xdr:row>
      <xdr:rowOff>38100</xdr:rowOff>
    </xdr:to>
    <xdr:sp macro="" textlink="">
      <xdr:nvSpPr>
        <xdr:cNvPr id="218" name="Line 267">
          <a:extLst>
            <a:ext uri="{FF2B5EF4-FFF2-40B4-BE49-F238E27FC236}">
              <a16:creationId xmlns:a16="http://schemas.microsoft.com/office/drawing/2014/main" id="{00000000-0008-0000-0200-0000DA000000}"/>
            </a:ext>
          </a:extLst>
        </xdr:cNvPr>
        <xdr:cNvSpPr>
          <a:spLocks noChangeShapeType="1"/>
        </xdr:cNvSpPr>
      </xdr:nvSpPr>
      <xdr:spPr bwMode="auto">
        <a:xfrm flipH="1" flipV="1">
          <a:off x="14859000" y="12658725"/>
          <a:ext cx="123825" cy="219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19</xdr:col>
      <xdr:colOff>381000</xdr:colOff>
      <xdr:row>64</xdr:row>
      <xdr:rowOff>9525</xdr:rowOff>
    </xdr:from>
    <xdr:to>
      <xdr:col>19</xdr:col>
      <xdr:colOff>504825</xdr:colOff>
      <xdr:row>65</xdr:row>
      <xdr:rowOff>38100</xdr:rowOff>
    </xdr:to>
    <xdr:sp macro="" textlink="">
      <xdr:nvSpPr>
        <xdr:cNvPr id="219" name="Line 315">
          <a:extLst>
            <a:ext uri="{FF2B5EF4-FFF2-40B4-BE49-F238E27FC236}">
              <a16:creationId xmlns:a16="http://schemas.microsoft.com/office/drawing/2014/main" id="{00000000-0008-0000-0200-0000DB000000}"/>
            </a:ext>
          </a:extLst>
        </xdr:cNvPr>
        <xdr:cNvSpPr>
          <a:spLocks noChangeShapeType="1"/>
        </xdr:cNvSpPr>
      </xdr:nvSpPr>
      <xdr:spPr bwMode="auto">
        <a:xfrm flipH="1" flipV="1">
          <a:off x="14859000" y="12658725"/>
          <a:ext cx="123825" cy="219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381000</xdr:colOff>
      <xdr:row>184</xdr:row>
      <xdr:rowOff>180975</xdr:rowOff>
    </xdr:from>
    <xdr:to>
      <xdr:col>12</xdr:col>
      <xdr:colOff>561975</xdr:colOff>
      <xdr:row>202</xdr:row>
      <xdr:rowOff>133350</xdr:rowOff>
    </xdr:to>
    <xdr:pic>
      <xdr:nvPicPr>
        <xdr:cNvPr id="2" name="1 Imagen" descr="Columna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11247" r="67078" b="40614"/>
        <a:stretch>
          <a:fillRect/>
        </a:stretch>
      </xdr:blipFill>
      <xdr:spPr bwMode="auto">
        <a:xfrm>
          <a:off x="7239000" y="36718875"/>
          <a:ext cx="2466975" cy="3438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752475</xdr:colOff>
      <xdr:row>159</xdr:row>
      <xdr:rowOff>190500</xdr:rowOff>
    </xdr:from>
    <xdr:to>
      <xdr:col>12</xdr:col>
      <xdr:colOff>638175</xdr:colOff>
      <xdr:row>168</xdr:row>
      <xdr:rowOff>19050</xdr:rowOff>
    </xdr:to>
    <xdr:pic>
      <xdr:nvPicPr>
        <xdr:cNvPr id="3" name="2 Imagen" descr="Seccion de columna.jp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r="54269" b="55460"/>
        <a:stretch>
          <a:fillRect/>
        </a:stretch>
      </xdr:blipFill>
      <xdr:spPr bwMode="auto">
        <a:xfrm>
          <a:off x="6848475" y="31861125"/>
          <a:ext cx="2933700" cy="1571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228600</xdr:colOff>
      <xdr:row>34</xdr:row>
      <xdr:rowOff>180975</xdr:rowOff>
    </xdr:from>
    <xdr:to>
      <xdr:col>7</xdr:col>
      <xdr:colOff>561975</xdr:colOff>
      <xdr:row>39</xdr:row>
      <xdr:rowOff>142875</xdr:rowOff>
    </xdr:to>
    <xdr:pic>
      <xdr:nvPicPr>
        <xdr:cNvPr id="4" name="3 Imagen" descr="Sec de columna.jp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 t="1781" r="90558" b="81392"/>
        <a:stretch>
          <a:fillRect/>
        </a:stretch>
      </xdr:blipFill>
      <xdr:spPr bwMode="auto">
        <a:xfrm>
          <a:off x="4800600" y="7534275"/>
          <a:ext cx="1095375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228600</xdr:colOff>
      <xdr:row>34</xdr:row>
      <xdr:rowOff>180975</xdr:rowOff>
    </xdr:from>
    <xdr:to>
      <xdr:col>10</xdr:col>
      <xdr:colOff>552450</xdr:colOff>
      <xdr:row>39</xdr:row>
      <xdr:rowOff>142875</xdr:rowOff>
    </xdr:to>
    <xdr:pic>
      <xdr:nvPicPr>
        <xdr:cNvPr id="5" name="4 Imagen" descr="Sec de columna.jp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 t="1781" r="90558" b="81392"/>
        <a:stretch>
          <a:fillRect/>
        </a:stretch>
      </xdr:blipFill>
      <xdr:spPr bwMode="auto">
        <a:xfrm>
          <a:off x="7086600" y="7534275"/>
          <a:ext cx="1085850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333375</xdr:colOff>
      <xdr:row>36</xdr:row>
      <xdr:rowOff>9525</xdr:rowOff>
    </xdr:from>
    <xdr:to>
      <xdr:col>3</xdr:col>
      <xdr:colOff>866775</xdr:colOff>
      <xdr:row>38</xdr:row>
      <xdr:rowOff>152400</xdr:rowOff>
    </xdr:to>
    <xdr:pic>
      <xdr:nvPicPr>
        <xdr:cNvPr id="6" name="5 Imagen" descr="Ejes.jpg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rcRect l="6322" t="12621" r="84154" b="67799"/>
        <a:stretch>
          <a:fillRect/>
        </a:stretch>
      </xdr:blipFill>
      <xdr:spPr bwMode="auto">
        <a:xfrm>
          <a:off x="2619375" y="7753350"/>
          <a:ext cx="53340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381000</xdr:colOff>
      <xdr:row>184</xdr:row>
      <xdr:rowOff>180975</xdr:rowOff>
    </xdr:from>
    <xdr:to>
      <xdr:col>12</xdr:col>
      <xdr:colOff>561975</xdr:colOff>
      <xdr:row>202</xdr:row>
      <xdr:rowOff>133350</xdr:rowOff>
    </xdr:to>
    <xdr:pic>
      <xdr:nvPicPr>
        <xdr:cNvPr id="2" name="1 Imagen" descr="Columna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11247" r="67078" b="40614"/>
        <a:stretch>
          <a:fillRect/>
        </a:stretch>
      </xdr:blipFill>
      <xdr:spPr bwMode="auto">
        <a:xfrm>
          <a:off x="7239000" y="36966525"/>
          <a:ext cx="2466975" cy="3438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752475</xdr:colOff>
      <xdr:row>159</xdr:row>
      <xdr:rowOff>190500</xdr:rowOff>
    </xdr:from>
    <xdr:to>
      <xdr:col>12</xdr:col>
      <xdr:colOff>638175</xdr:colOff>
      <xdr:row>168</xdr:row>
      <xdr:rowOff>19050</xdr:rowOff>
    </xdr:to>
    <xdr:pic>
      <xdr:nvPicPr>
        <xdr:cNvPr id="3" name="2 Imagen" descr="Seccion de columna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r="54269" b="55460"/>
        <a:stretch>
          <a:fillRect/>
        </a:stretch>
      </xdr:blipFill>
      <xdr:spPr bwMode="auto">
        <a:xfrm>
          <a:off x="6848475" y="32108775"/>
          <a:ext cx="2933700" cy="1571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228600</xdr:colOff>
      <xdr:row>34</xdr:row>
      <xdr:rowOff>180975</xdr:rowOff>
    </xdr:from>
    <xdr:to>
      <xdr:col>7</xdr:col>
      <xdr:colOff>561975</xdr:colOff>
      <xdr:row>39</xdr:row>
      <xdr:rowOff>142875</xdr:rowOff>
    </xdr:to>
    <xdr:pic>
      <xdr:nvPicPr>
        <xdr:cNvPr id="4" name="3 Imagen" descr="Sec de columna.jp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 t="1781" r="90558" b="81392"/>
        <a:stretch>
          <a:fillRect/>
        </a:stretch>
      </xdr:blipFill>
      <xdr:spPr bwMode="auto">
        <a:xfrm>
          <a:off x="4800600" y="7781925"/>
          <a:ext cx="1095375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228600</xdr:colOff>
      <xdr:row>34</xdr:row>
      <xdr:rowOff>180975</xdr:rowOff>
    </xdr:from>
    <xdr:to>
      <xdr:col>10</xdr:col>
      <xdr:colOff>552450</xdr:colOff>
      <xdr:row>39</xdr:row>
      <xdr:rowOff>142875</xdr:rowOff>
    </xdr:to>
    <xdr:pic>
      <xdr:nvPicPr>
        <xdr:cNvPr id="5" name="4 Imagen" descr="Sec de columna.jpg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 t="1781" r="90558" b="81392"/>
        <a:stretch>
          <a:fillRect/>
        </a:stretch>
      </xdr:blipFill>
      <xdr:spPr bwMode="auto">
        <a:xfrm>
          <a:off x="7086600" y="7781925"/>
          <a:ext cx="1085850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333375</xdr:colOff>
      <xdr:row>36</xdr:row>
      <xdr:rowOff>9525</xdr:rowOff>
    </xdr:from>
    <xdr:to>
      <xdr:col>3</xdr:col>
      <xdr:colOff>866775</xdr:colOff>
      <xdr:row>38</xdr:row>
      <xdr:rowOff>152400</xdr:rowOff>
    </xdr:to>
    <xdr:pic>
      <xdr:nvPicPr>
        <xdr:cNvPr id="6" name="5 Imagen" descr="Ejes.jpg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rcRect l="6322" t="12621" r="84154" b="67799"/>
        <a:stretch>
          <a:fillRect/>
        </a:stretch>
      </xdr:blipFill>
      <xdr:spPr bwMode="auto">
        <a:xfrm>
          <a:off x="2619375" y="8001000"/>
          <a:ext cx="53340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18</xdr:row>
      <xdr:rowOff>142876</xdr:rowOff>
    </xdr:from>
    <xdr:to>
      <xdr:col>12</xdr:col>
      <xdr:colOff>78144</xdr:colOff>
      <xdr:row>20</xdr:row>
      <xdr:rowOff>104776</xdr:rowOff>
    </xdr:to>
    <xdr:sp macro="" textlink="">
      <xdr:nvSpPr>
        <xdr:cNvPr id="2" name="1 Ar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 rot="13055298">
          <a:off x="2886075" y="3895726"/>
          <a:ext cx="363894" cy="342900"/>
        </a:xfrm>
        <a:prstGeom prst="arc">
          <a:avLst>
            <a:gd name="adj1" fmla="val 3025202"/>
            <a:gd name="adj2" fmla="val 18313061"/>
          </a:avLst>
        </a:prstGeom>
        <a:ln w="19050">
          <a:solidFill>
            <a:schemeClr val="tx1"/>
          </a:solidFill>
          <a:headEnd type="arrow" w="med" len="sm"/>
          <a:tailEnd type="non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GT" sz="1100"/>
        </a:p>
      </xdr:txBody>
    </xdr:sp>
    <xdr:clientData/>
  </xdr:twoCellAnchor>
  <xdr:twoCellAnchor>
    <xdr:from>
      <xdr:col>8</xdr:col>
      <xdr:colOff>9525</xdr:colOff>
      <xdr:row>50</xdr:row>
      <xdr:rowOff>19050</xdr:rowOff>
    </xdr:from>
    <xdr:to>
      <xdr:col>9</xdr:col>
      <xdr:colOff>190500</xdr:colOff>
      <xdr:row>52</xdr:row>
      <xdr:rowOff>0</xdr:rowOff>
    </xdr:to>
    <xdr:sp macro="" textlink="">
      <xdr:nvSpPr>
        <xdr:cNvPr id="3" name="2 Rectángul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2305050" y="10077450"/>
          <a:ext cx="400050" cy="381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GT" sz="1100"/>
        </a:p>
      </xdr:txBody>
    </xdr:sp>
    <xdr:clientData/>
  </xdr:twoCellAnchor>
  <xdr:twoCellAnchor>
    <xdr:from>
      <xdr:col>8</xdr:col>
      <xdr:colOff>9525</xdr:colOff>
      <xdr:row>18</xdr:row>
      <xdr:rowOff>19050</xdr:rowOff>
    </xdr:from>
    <xdr:to>
      <xdr:col>9</xdr:col>
      <xdr:colOff>190500</xdr:colOff>
      <xdr:row>20</xdr:row>
      <xdr:rowOff>0</xdr:rowOff>
    </xdr:to>
    <xdr:sp macro="" textlink="">
      <xdr:nvSpPr>
        <xdr:cNvPr id="4" name="3 Rectángul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2305050" y="3771900"/>
          <a:ext cx="400050" cy="361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GT" sz="1100"/>
        </a:p>
      </xdr:txBody>
    </xdr:sp>
    <xdr:clientData/>
  </xdr:twoCellAnchor>
  <xdr:twoCellAnchor>
    <xdr:from>
      <xdr:col>6</xdr:col>
      <xdr:colOff>202916</xdr:colOff>
      <xdr:row>16</xdr:row>
      <xdr:rowOff>151576</xdr:rowOff>
    </xdr:from>
    <xdr:to>
      <xdr:col>8</xdr:col>
      <xdr:colOff>90644</xdr:colOff>
      <xdr:row>18</xdr:row>
      <xdr:rowOff>113476</xdr:rowOff>
    </xdr:to>
    <xdr:sp macro="" textlink="">
      <xdr:nvSpPr>
        <xdr:cNvPr id="5" name="4 Arco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 rot="13055298" flipH="1">
          <a:off x="2060291" y="3523426"/>
          <a:ext cx="325878" cy="342900"/>
        </a:xfrm>
        <a:prstGeom prst="arc">
          <a:avLst>
            <a:gd name="adj1" fmla="val 3025202"/>
            <a:gd name="adj2" fmla="val 18313061"/>
          </a:avLst>
        </a:prstGeom>
        <a:ln w="19050">
          <a:solidFill>
            <a:schemeClr val="tx1"/>
          </a:solidFill>
          <a:headEnd type="arrow" w="med" len="sm"/>
          <a:tailEnd type="non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GT" sz="1100"/>
        </a:p>
      </xdr:txBody>
    </xdr:sp>
    <xdr:clientData/>
  </xdr:twoCellAnchor>
  <xdr:twoCellAnchor>
    <xdr:from>
      <xdr:col>5</xdr:col>
      <xdr:colOff>0</xdr:colOff>
      <xdr:row>75</xdr:row>
      <xdr:rowOff>114300</xdr:rowOff>
    </xdr:from>
    <xdr:to>
      <xdr:col>12</xdr:col>
      <xdr:colOff>9525</xdr:colOff>
      <xdr:row>77</xdr:row>
      <xdr:rowOff>76200</xdr:rowOff>
    </xdr:to>
    <xdr:cxnSp macro="">
      <xdr:nvCxnSpPr>
        <xdr:cNvPr id="6" name="5 Conector rect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CxnSpPr/>
      </xdr:nvCxnSpPr>
      <xdr:spPr>
        <a:xfrm>
          <a:off x="1638300" y="15135225"/>
          <a:ext cx="1543050" cy="342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75</xdr:row>
      <xdr:rowOff>0</xdr:rowOff>
    </xdr:from>
    <xdr:to>
      <xdr:col>5</xdr:col>
      <xdr:colOff>0</xdr:colOff>
      <xdr:row>75</xdr:row>
      <xdr:rowOff>123825</xdr:rowOff>
    </xdr:to>
    <xdr:cxnSp macro="">
      <xdr:nvCxnSpPr>
        <xdr:cNvPr id="7" name="6 Conector recto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1638300" y="15020925"/>
          <a:ext cx="0" cy="1238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209550</xdr:colOff>
      <xdr:row>74</xdr:row>
      <xdr:rowOff>190500</xdr:rowOff>
    </xdr:from>
    <xdr:to>
      <xdr:col>12</xdr:col>
      <xdr:colOff>9525</xdr:colOff>
      <xdr:row>77</xdr:row>
      <xdr:rowOff>76200</xdr:rowOff>
    </xdr:to>
    <xdr:cxnSp macro="">
      <xdr:nvCxnSpPr>
        <xdr:cNvPr id="8" name="7 Conector recto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CxnSpPr/>
      </xdr:nvCxnSpPr>
      <xdr:spPr>
        <a:xfrm flipH="1" flipV="1">
          <a:off x="3162300" y="15011400"/>
          <a:ext cx="19050" cy="4667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74</xdr:row>
      <xdr:rowOff>180975</xdr:rowOff>
    </xdr:from>
    <xdr:to>
      <xdr:col>6</xdr:col>
      <xdr:colOff>0</xdr:colOff>
      <xdr:row>75</xdr:row>
      <xdr:rowOff>152400</xdr:rowOff>
    </xdr:to>
    <xdr:cxnSp macro="">
      <xdr:nvCxnSpPr>
        <xdr:cNvPr id="9" name="8 Conector recto de flecha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 flipV="1">
          <a:off x="1857375" y="15001875"/>
          <a:ext cx="0" cy="1714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74</xdr:row>
      <xdr:rowOff>190500</xdr:rowOff>
    </xdr:from>
    <xdr:to>
      <xdr:col>7</xdr:col>
      <xdr:colOff>104775</xdr:colOff>
      <xdr:row>76</xdr:row>
      <xdr:rowOff>28575</xdr:rowOff>
    </xdr:to>
    <xdr:cxnSp macro="">
      <xdr:nvCxnSpPr>
        <xdr:cNvPr id="10" name="9 Conector recto de flecha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CxnSpPr/>
      </xdr:nvCxnSpPr>
      <xdr:spPr>
        <a:xfrm flipV="1">
          <a:off x="2181225" y="15011400"/>
          <a:ext cx="0" cy="2286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75</xdr:row>
      <xdr:rowOff>9525</xdr:rowOff>
    </xdr:from>
    <xdr:to>
      <xdr:col>9</xdr:col>
      <xdr:colOff>9525</xdr:colOff>
      <xdr:row>76</xdr:row>
      <xdr:rowOff>85725</xdr:rowOff>
    </xdr:to>
    <xdr:cxnSp macro="">
      <xdr:nvCxnSpPr>
        <xdr:cNvPr id="11" name="10 Conector recto de flecha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CxnSpPr/>
      </xdr:nvCxnSpPr>
      <xdr:spPr>
        <a:xfrm flipV="1">
          <a:off x="2524125" y="15030450"/>
          <a:ext cx="0" cy="2667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114300</xdr:colOff>
      <xdr:row>75</xdr:row>
      <xdr:rowOff>9525</xdr:rowOff>
    </xdr:from>
    <xdr:to>
      <xdr:col>10</xdr:col>
      <xdr:colOff>123825</xdr:colOff>
      <xdr:row>77</xdr:row>
      <xdr:rowOff>0</xdr:rowOff>
    </xdr:to>
    <xdr:cxnSp macro="">
      <xdr:nvCxnSpPr>
        <xdr:cNvPr id="12" name="11 Conector recto de flecha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CxnSpPr/>
      </xdr:nvCxnSpPr>
      <xdr:spPr>
        <a:xfrm flipH="1" flipV="1">
          <a:off x="2847975" y="15030450"/>
          <a:ext cx="952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18</xdr:row>
      <xdr:rowOff>142876</xdr:rowOff>
    </xdr:from>
    <xdr:to>
      <xdr:col>12</xdr:col>
      <xdr:colOff>78144</xdr:colOff>
      <xdr:row>20</xdr:row>
      <xdr:rowOff>104776</xdr:rowOff>
    </xdr:to>
    <xdr:sp macro="" textlink="">
      <xdr:nvSpPr>
        <xdr:cNvPr id="2" name="1 Ar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 rot="13055298">
          <a:off x="2886075" y="3895726"/>
          <a:ext cx="363894" cy="342900"/>
        </a:xfrm>
        <a:prstGeom prst="arc">
          <a:avLst>
            <a:gd name="adj1" fmla="val 3025202"/>
            <a:gd name="adj2" fmla="val 18313061"/>
          </a:avLst>
        </a:prstGeom>
        <a:ln w="19050">
          <a:solidFill>
            <a:schemeClr val="tx1"/>
          </a:solidFill>
          <a:headEnd type="arrow" w="med" len="sm"/>
          <a:tailEnd type="non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GT" sz="1100"/>
        </a:p>
      </xdr:txBody>
    </xdr:sp>
    <xdr:clientData/>
  </xdr:twoCellAnchor>
  <xdr:twoCellAnchor>
    <xdr:from>
      <xdr:col>8</xdr:col>
      <xdr:colOff>9525</xdr:colOff>
      <xdr:row>50</xdr:row>
      <xdr:rowOff>19050</xdr:rowOff>
    </xdr:from>
    <xdr:to>
      <xdr:col>9</xdr:col>
      <xdr:colOff>190500</xdr:colOff>
      <xdr:row>52</xdr:row>
      <xdr:rowOff>0</xdr:rowOff>
    </xdr:to>
    <xdr:sp macro="" textlink="">
      <xdr:nvSpPr>
        <xdr:cNvPr id="3" name="2 Rectángul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2305050" y="10077450"/>
          <a:ext cx="400050" cy="381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GT" sz="1100"/>
        </a:p>
      </xdr:txBody>
    </xdr:sp>
    <xdr:clientData/>
  </xdr:twoCellAnchor>
  <xdr:twoCellAnchor>
    <xdr:from>
      <xdr:col>8</xdr:col>
      <xdr:colOff>9525</xdr:colOff>
      <xdr:row>18</xdr:row>
      <xdr:rowOff>19050</xdr:rowOff>
    </xdr:from>
    <xdr:to>
      <xdr:col>9</xdr:col>
      <xdr:colOff>190500</xdr:colOff>
      <xdr:row>20</xdr:row>
      <xdr:rowOff>0</xdr:rowOff>
    </xdr:to>
    <xdr:sp macro="" textlink="">
      <xdr:nvSpPr>
        <xdr:cNvPr id="4" name="3 Rectángul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2305050" y="3771900"/>
          <a:ext cx="400050" cy="361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GT" sz="1100"/>
        </a:p>
      </xdr:txBody>
    </xdr:sp>
    <xdr:clientData/>
  </xdr:twoCellAnchor>
  <xdr:twoCellAnchor>
    <xdr:from>
      <xdr:col>6</xdr:col>
      <xdr:colOff>202916</xdr:colOff>
      <xdr:row>16</xdr:row>
      <xdr:rowOff>151576</xdr:rowOff>
    </xdr:from>
    <xdr:to>
      <xdr:col>8</xdr:col>
      <xdr:colOff>90644</xdr:colOff>
      <xdr:row>18</xdr:row>
      <xdr:rowOff>113476</xdr:rowOff>
    </xdr:to>
    <xdr:sp macro="" textlink="">
      <xdr:nvSpPr>
        <xdr:cNvPr id="5" name="4 Arco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 rot="13055298" flipH="1">
          <a:off x="2060291" y="3523426"/>
          <a:ext cx="325878" cy="342900"/>
        </a:xfrm>
        <a:prstGeom prst="arc">
          <a:avLst>
            <a:gd name="adj1" fmla="val 3025202"/>
            <a:gd name="adj2" fmla="val 18313061"/>
          </a:avLst>
        </a:prstGeom>
        <a:ln w="19050">
          <a:solidFill>
            <a:schemeClr val="tx1"/>
          </a:solidFill>
          <a:headEnd type="arrow" w="med" len="sm"/>
          <a:tailEnd type="non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GT" sz="1100"/>
        </a:p>
      </xdr:txBody>
    </xdr:sp>
    <xdr:clientData/>
  </xdr:twoCellAnchor>
  <xdr:twoCellAnchor>
    <xdr:from>
      <xdr:col>5</xdr:col>
      <xdr:colOff>0</xdr:colOff>
      <xdr:row>75</xdr:row>
      <xdr:rowOff>114300</xdr:rowOff>
    </xdr:from>
    <xdr:to>
      <xdr:col>12</xdr:col>
      <xdr:colOff>9525</xdr:colOff>
      <xdr:row>77</xdr:row>
      <xdr:rowOff>76200</xdr:rowOff>
    </xdr:to>
    <xdr:cxnSp macro="">
      <xdr:nvCxnSpPr>
        <xdr:cNvPr id="6" name="5 Conector recto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>
          <a:off x="1638300" y="15135225"/>
          <a:ext cx="1543050" cy="342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75</xdr:row>
      <xdr:rowOff>0</xdr:rowOff>
    </xdr:from>
    <xdr:to>
      <xdr:col>5</xdr:col>
      <xdr:colOff>0</xdr:colOff>
      <xdr:row>75</xdr:row>
      <xdr:rowOff>123825</xdr:rowOff>
    </xdr:to>
    <xdr:cxnSp macro="">
      <xdr:nvCxnSpPr>
        <xdr:cNvPr id="7" name="6 Conector recto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638300" y="15020925"/>
          <a:ext cx="0" cy="1238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209550</xdr:colOff>
      <xdr:row>74</xdr:row>
      <xdr:rowOff>190500</xdr:rowOff>
    </xdr:from>
    <xdr:to>
      <xdr:col>12</xdr:col>
      <xdr:colOff>9525</xdr:colOff>
      <xdr:row>77</xdr:row>
      <xdr:rowOff>76200</xdr:rowOff>
    </xdr:to>
    <xdr:cxnSp macro="">
      <xdr:nvCxnSpPr>
        <xdr:cNvPr id="8" name="7 Conector recto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 flipV="1">
          <a:off x="3162300" y="15011400"/>
          <a:ext cx="19050" cy="4667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74</xdr:row>
      <xdr:rowOff>180975</xdr:rowOff>
    </xdr:from>
    <xdr:to>
      <xdr:col>6</xdr:col>
      <xdr:colOff>0</xdr:colOff>
      <xdr:row>75</xdr:row>
      <xdr:rowOff>152400</xdr:rowOff>
    </xdr:to>
    <xdr:cxnSp macro="">
      <xdr:nvCxnSpPr>
        <xdr:cNvPr id="9" name="8 Conector recto de flecha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V="1">
          <a:off x="1857375" y="15001875"/>
          <a:ext cx="0" cy="1714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74</xdr:row>
      <xdr:rowOff>190500</xdr:rowOff>
    </xdr:from>
    <xdr:to>
      <xdr:col>7</xdr:col>
      <xdr:colOff>104775</xdr:colOff>
      <xdr:row>76</xdr:row>
      <xdr:rowOff>28575</xdr:rowOff>
    </xdr:to>
    <xdr:cxnSp macro="">
      <xdr:nvCxnSpPr>
        <xdr:cNvPr id="10" name="9 Conector recto de flecha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2181225" y="15011400"/>
          <a:ext cx="0" cy="2286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75</xdr:row>
      <xdr:rowOff>9525</xdr:rowOff>
    </xdr:from>
    <xdr:to>
      <xdr:col>9</xdr:col>
      <xdr:colOff>9525</xdr:colOff>
      <xdr:row>76</xdr:row>
      <xdr:rowOff>85725</xdr:rowOff>
    </xdr:to>
    <xdr:cxnSp macro="">
      <xdr:nvCxnSpPr>
        <xdr:cNvPr id="11" name="10 Conector recto de flecha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2524125" y="15030450"/>
          <a:ext cx="0" cy="2667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114300</xdr:colOff>
      <xdr:row>75</xdr:row>
      <xdr:rowOff>9525</xdr:rowOff>
    </xdr:from>
    <xdr:to>
      <xdr:col>10</xdr:col>
      <xdr:colOff>123825</xdr:colOff>
      <xdr:row>77</xdr:row>
      <xdr:rowOff>0</xdr:rowOff>
    </xdr:to>
    <xdr:cxnSp macro="">
      <xdr:nvCxnSpPr>
        <xdr:cNvPr id="12" name="11 Conector recto de flecha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H="1" flipV="1">
          <a:off x="2847975" y="15030450"/>
          <a:ext cx="952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10</xdr:row>
      <xdr:rowOff>142875</xdr:rowOff>
    </xdr:from>
    <xdr:to>
      <xdr:col>4</xdr:col>
      <xdr:colOff>182919</xdr:colOff>
      <xdr:row>12</xdr:row>
      <xdr:rowOff>85725</xdr:rowOff>
    </xdr:to>
    <xdr:sp macro="" textlink="">
      <xdr:nvSpPr>
        <xdr:cNvPr id="2" name="1 Ar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238250" y="2314575"/>
          <a:ext cx="363894" cy="342900"/>
        </a:xfrm>
        <a:prstGeom prst="arc">
          <a:avLst>
            <a:gd name="adj1" fmla="val 3025202"/>
            <a:gd name="adj2" fmla="val 18313061"/>
          </a:avLst>
        </a:prstGeom>
        <a:ln w="19050">
          <a:solidFill>
            <a:schemeClr val="tx1"/>
          </a:solidFill>
          <a:headEnd type="arrow" w="med" len="sm"/>
          <a:tailEnd type="non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GT" sz="1100"/>
        </a:p>
      </xdr:txBody>
    </xdr:sp>
    <xdr:clientData/>
  </xdr:twoCellAnchor>
  <xdr:twoCellAnchor>
    <xdr:from>
      <xdr:col>2</xdr:col>
      <xdr:colOff>38100</xdr:colOff>
      <xdr:row>59</xdr:row>
      <xdr:rowOff>190500</xdr:rowOff>
    </xdr:from>
    <xdr:to>
      <xdr:col>5</xdr:col>
      <xdr:colOff>209550</xdr:colOff>
      <xdr:row>64</xdr:row>
      <xdr:rowOff>0</xdr:rowOff>
    </xdr:to>
    <xdr:cxnSp macro="">
      <xdr:nvCxnSpPr>
        <xdr:cNvPr id="3" name="2 Conector rect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flipV="1">
          <a:off x="1019175" y="12077700"/>
          <a:ext cx="828675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95</xdr:row>
      <xdr:rowOff>0</xdr:rowOff>
    </xdr:from>
    <xdr:to>
      <xdr:col>9</xdr:col>
      <xdr:colOff>209550</xdr:colOff>
      <xdr:row>98</xdr:row>
      <xdr:rowOff>9525</xdr:rowOff>
    </xdr:to>
    <xdr:cxnSp macro="">
      <xdr:nvCxnSpPr>
        <xdr:cNvPr id="4" name="3 Conector rect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2076450" y="18964275"/>
          <a:ext cx="647700" cy="600075"/>
        </a:xfrm>
        <a:prstGeom prst="line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105</xdr:row>
      <xdr:rowOff>180975</xdr:rowOff>
    </xdr:from>
    <xdr:to>
      <xdr:col>16</xdr:col>
      <xdr:colOff>9525</xdr:colOff>
      <xdr:row>106</xdr:row>
      <xdr:rowOff>180975</xdr:rowOff>
    </xdr:to>
    <xdr:sp macro="" textlink="">
      <xdr:nvSpPr>
        <xdr:cNvPr id="5" name="4 Forma libre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2085975" y="21097875"/>
          <a:ext cx="1971675" cy="190500"/>
        </a:xfrm>
        <a:custGeom>
          <a:avLst/>
          <a:gdLst>
            <a:gd name="connsiteX0" fmla="*/ 0 w 1971675"/>
            <a:gd name="connsiteY0" fmla="*/ 190500 h 190500"/>
            <a:gd name="connsiteX1" fmla="*/ 1314450 w 1971675"/>
            <a:gd name="connsiteY1" fmla="*/ 0 h 190500"/>
            <a:gd name="connsiteX2" fmla="*/ 1971675 w 1971675"/>
            <a:gd name="connsiteY2" fmla="*/ 190500 h 190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971675" h="190500">
              <a:moveTo>
                <a:pt x="0" y="190500"/>
              </a:moveTo>
              <a:cubicBezTo>
                <a:pt x="492919" y="95250"/>
                <a:pt x="985838" y="0"/>
                <a:pt x="1314450" y="0"/>
              </a:cubicBezTo>
              <a:cubicBezTo>
                <a:pt x="1643062" y="0"/>
                <a:pt x="1843088" y="149225"/>
                <a:pt x="1971675" y="190500"/>
              </a:cubicBezTo>
            </a:path>
          </a:pathLst>
        </a:cu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GT" sz="1100"/>
        </a:p>
      </xdr:txBody>
    </xdr:sp>
    <xdr:clientData/>
  </xdr:twoCellAnchor>
  <xdr:twoCellAnchor>
    <xdr:from>
      <xdr:col>7</xdr:col>
      <xdr:colOff>0</xdr:colOff>
      <xdr:row>96</xdr:row>
      <xdr:rowOff>0</xdr:rowOff>
    </xdr:from>
    <xdr:to>
      <xdr:col>8</xdr:col>
      <xdr:colOff>209550</xdr:colOff>
      <xdr:row>96</xdr:row>
      <xdr:rowOff>1588</xdr:rowOff>
    </xdr:to>
    <xdr:cxnSp macro="">
      <xdr:nvCxnSpPr>
        <xdr:cNvPr id="6" name="5 Conector recto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CxnSpPr/>
      </xdr:nvCxnSpPr>
      <xdr:spPr>
        <a:xfrm>
          <a:off x="2076450" y="19164300"/>
          <a:ext cx="428625" cy="1588"/>
        </a:xfrm>
        <a:prstGeom prst="line">
          <a:avLst/>
        </a:prstGeom>
        <a:ln w="15875"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</xdr:colOff>
      <xdr:row>96</xdr:row>
      <xdr:rowOff>792</xdr:rowOff>
    </xdr:from>
    <xdr:to>
      <xdr:col>9</xdr:col>
      <xdr:colOff>10321</xdr:colOff>
      <xdr:row>99</xdr:row>
      <xdr:rowOff>9527</xdr:rowOff>
    </xdr:to>
    <xdr:cxnSp macro="">
      <xdr:nvCxnSpPr>
        <xdr:cNvPr id="7" name="6 Conector recto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 rot="5400000">
          <a:off x="2220118" y="19459575"/>
          <a:ext cx="599285" cy="10320"/>
        </a:xfrm>
        <a:prstGeom prst="line">
          <a:avLst/>
        </a:prstGeom>
        <a:ln w="15875"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113</xdr:row>
      <xdr:rowOff>0</xdr:rowOff>
    </xdr:from>
    <xdr:to>
      <xdr:col>12</xdr:col>
      <xdr:colOff>209550</xdr:colOff>
      <xdr:row>114</xdr:row>
      <xdr:rowOff>0</xdr:rowOff>
    </xdr:to>
    <xdr:cxnSp macro="">
      <xdr:nvCxnSpPr>
        <xdr:cNvPr id="8" name="7 Conector recto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CxnSpPr/>
      </xdr:nvCxnSpPr>
      <xdr:spPr>
        <a:xfrm>
          <a:off x="2952750" y="22450425"/>
          <a:ext cx="428625" cy="200025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113</xdr:row>
      <xdr:rowOff>0</xdr:rowOff>
    </xdr:from>
    <xdr:to>
      <xdr:col>10</xdr:col>
      <xdr:colOff>209550</xdr:colOff>
      <xdr:row>116</xdr:row>
      <xdr:rowOff>9525</xdr:rowOff>
    </xdr:to>
    <xdr:cxnSp macro="">
      <xdr:nvCxnSpPr>
        <xdr:cNvPr id="9" name="8 Conector recto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CxnSpPr/>
      </xdr:nvCxnSpPr>
      <xdr:spPr>
        <a:xfrm rot="5400000">
          <a:off x="2533650" y="22650450"/>
          <a:ext cx="609600" cy="20955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113</xdr:row>
      <xdr:rowOff>0</xdr:rowOff>
    </xdr:from>
    <xdr:to>
      <xdr:col>11</xdr:col>
      <xdr:colOff>9525</xdr:colOff>
      <xdr:row>113</xdr:row>
      <xdr:rowOff>9525</xdr:rowOff>
    </xdr:to>
    <xdr:cxnSp macro="">
      <xdr:nvCxnSpPr>
        <xdr:cNvPr id="10" name="9 Conector recto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CxnSpPr/>
      </xdr:nvCxnSpPr>
      <xdr:spPr>
        <a:xfrm>
          <a:off x="2085975" y="22450425"/>
          <a:ext cx="876300" cy="9525"/>
        </a:xfrm>
        <a:prstGeom prst="line">
          <a:avLst/>
        </a:prstGeom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</xdr:colOff>
      <xdr:row>37</xdr:row>
      <xdr:rowOff>19050</xdr:rowOff>
    </xdr:from>
    <xdr:to>
      <xdr:col>6</xdr:col>
      <xdr:colOff>209550</xdr:colOff>
      <xdr:row>39</xdr:row>
      <xdr:rowOff>0</xdr:rowOff>
    </xdr:to>
    <xdr:sp macro="" textlink="">
      <xdr:nvSpPr>
        <xdr:cNvPr id="11" name="10 Rectángulo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1666875" y="7534275"/>
          <a:ext cx="400050" cy="381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G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U124"/>
  <sheetViews>
    <sheetView tabSelected="1" topLeftCell="B34" zoomScale="73" zoomScaleNormal="73" workbookViewId="0">
      <selection activeCell="D46" sqref="D46"/>
    </sheetView>
  </sheetViews>
  <sheetFormatPr baseColWidth="10" defaultRowHeight="14.4" x14ac:dyDescent="0.3"/>
  <cols>
    <col min="1" max="1" width="19" customWidth="1"/>
    <col min="2" max="2" width="6.88671875" customWidth="1"/>
    <col min="3" max="3" width="16.33203125" customWidth="1"/>
    <col min="4" max="4" width="16.88671875" customWidth="1"/>
    <col min="5" max="5" width="21.109375" customWidth="1"/>
    <col min="6" max="6" width="19.33203125" bestFit="1" customWidth="1"/>
    <col min="7" max="7" width="14.5546875" customWidth="1"/>
    <col min="8" max="8" width="15.109375" customWidth="1"/>
    <col min="9" max="9" width="19.6640625" customWidth="1"/>
    <col min="10" max="10" width="13.109375" customWidth="1"/>
    <col min="11" max="11" width="13.44140625" customWidth="1"/>
    <col min="12" max="12" width="15" customWidth="1"/>
    <col min="13" max="13" width="18.5546875" customWidth="1"/>
    <col min="14" max="15" width="17.109375" bestFit="1" customWidth="1"/>
    <col min="16" max="16" width="14.77734375" customWidth="1"/>
    <col min="17" max="17" width="17.33203125" customWidth="1"/>
    <col min="18" max="18" width="18.44140625" customWidth="1"/>
    <col min="19" max="19" width="13.88671875" customWidth="1"/>
    <col min="20" max="20" width="13.44140625" customWidth="1"/>
    <col min="21" max="21" width="12.5546875" customWidth="1"/>
  </cols>
  <sheetData>
    <row r="2" spans="2:15" ht="31.2" x14ac:dyDescent="0.6">
      <c r="C2" s="2" t="s">
        <v>0</v>
      </c>
    </row>
    <row r="4" spans="2:15" ht="15" thickBot="1" x14ac:dyDescent="0.35"/>
    <row r="5" spans="2:15" x14ac:dyDescent="0.3">
      <c r="B5" s="566">
        <v>7.5</v>
      </c>
      <c r="C5" s="527" t="s">
        <v>1</v>
      </c>
      <c r="D5" s="528"/>
      <c r="E5" s="519" t="s">
        <v>10</v>
      </c>
      <c r="F5" s="519" t="s">
        <v>3</v>
      </c>
      <c r="G5" s="519" t="s">
        <v>520</v>
      </c>
      <c r="I5" s="3" t="s">
        <v>7</v>
      </c>
      <c r="J5" s="4">
        <v>3</v>
      </c>
      <c r="K5" s="5">
        <v>3.6</v>
      </c>
      <c r="L5" s="6">
        <f>+$J$5/$K$5</f>
        <v>0.83333333333333326</v>
      </c>
      <c r="M5" s="526" t="str">
        <f>IF(L5&gt;0.5,"DOS SENTIDOS","UN SENTIDO")</f>
        <v>DOS SENTIDOS</v>
      </c>
      <c r="N5" s="526"/>
      <c r="O5" s="8">
        <f>+(2*J5+2*K5)/180</f>
        <v>7.3333333333333334E-2</v>
      </c>
    </row>
    <row r="6" spans="2:15" x14ac:dyDescent="0.3">
      <c r="B6" s="567"/>
      <c r="C6" s="529"/>
      <c r="D6" s="530"/>
      <c r="E6" s="520"/>
      <c r="F6" s="520"/>
      <c r="G6" s="520"/>
      <c r="I6" s="3" t="s">
        <v>522</v>
      </c>
      <c r="J6" s="4">
        <v>3</v>
      </c>
      <c r="K6" s="5">
        <v>6.63</v>
      </c>
      <c r="L6" s="6">
        <f t="shared" ref="L6" si="0">+J6/K6</f>
        <v>0.45248868778280543</v>
      </c>
      <c r="M6" s="526" t="str">
        <f>IF(L6&gt;=0.5,"DOS SENTIDOS","UN SENTIDO")</f>
        <v>UN SENTIDO</v>
      </c>
      <c r="N6" s="526"/>
      <c r="O6" s="8">
        <f>J6/24</f>
        <v>0.125</v>
      </c>
    </row>
    <row r="7" spans="2:15" x14ac:dyDescent="0.3">
      <c r="B7" s="567"/>
      <c r="C7" s="529"/>
      <c r="D7" s="530"/>
      <c r="E7" s="520"/>
      <c r="F7" s="520"/>
      <c r="G7" s="520"/>
      <c r="I7" s="3" t="s">
        <v>2</v>
      </c>
      <c r="J7" s="4">
        <v>6.23</v>
      </c>
      <c r="K7" s="5">
        <v>10.17</v>
      </c>
      <c r="L7" s="6">
        <f t="shared" ref="L7:L12" si="1">+J7/K7</f>
        <v>0.61258603736479844</v>
      </c>
      <c r="M7" s="526" t="str">
        <f t="shared" ref="M7:M12" si="2">IF(L7&gt;0.5,"DOS SENTIDOS","UN SENTIDO")</f>
        <v>DOS SENTIDOS</v>
      </c>
      <c r="N7" s="526"/>
      <c r="O7" s="8">
        <f>+(2*J7+2*K7)/180</f>
        <v>0.1822222222222222</v>
      </c>
    </row>
    <row r="8" spans="2:15" x14ac:dyDescent="0.3">
      <c r="B8" s="567"/>
      <c r="C8" s="529"/>
      <c r="D8" s="530"/>
      <c r="E8" s="520"/>
      <c r="F8" s="520"/>
      <c r="G8" s="520"/>
      <c r="I8" s="3" t="s">
        <v>3</v>
      </c>
      <c r="J8" s="4">
        <v>3</v>
      </c>
      <c r="K8" s="5">
        <v>6</v>
      </c>
      <c r="L8" s="6">
        <f>+J8/K8</f>
        <v>0.5</v>
      </c>
      <c r="M8" s="522" t="str">
        <f>IF(L8&gt;=0.5,"DOS SENTIDOS","UN SENTIDO")</f>
        <v>DOS SENTIDOS</v>
      </c>
      <c r="N8" s="523"/>
      <c r="O8" s="8">
        <f>+(2*J8+2*K8)/180</f>
        <v>0.1</v>
      </c>
    </row>
    <row r="9" spans="2:15" x14ac:dyDescent="0.3">
      <c r="B9" s="567"/>
      <c r="C9" s="529"/>
      <c r="D9" s="530"/>
      <c r="E9" s="520"/>
      <c r="F9" s="520"/>
      <c r="G9" s="520"/>
      <c r="I9" s="3" t="s">
        <v>4</v>
      </c>
      <c r="J9" s="7">
        <v>9</v>
      </c>
      <c r="K9" s="5">
        <v>10.87</v>
      </c>
      <c r="L9" s="6">
        <f t="shared" si="1"/>
        <v>0.82796688132474705</v>
      </c>
      <c r="M9" s="522" t="str">
        <f t="shared" si="2"/>
        <v>DOS SENTIDOS</v>
      </c>
      <c r="N9" s="523"/>
      <c r="O9" s="8">
        <f>+(2*J9+2*K9)/180</f>
        <v>0.22077777777777774</v>
      </c>
    </row>
    <row r="10" spans="2:15" ht="15.6" x14ac:dyDescent="0.3">
      <c r="B10" s="567"/>
      <c r="C10" s="529"/>
      <c r="D10" s="530"/>
      <c r="E10" s="520"/>
      <c r="F10" s="520"/>
      <c r="G10" s="520"/>
      <c r="H10" s="517">
        <v>7.5</v>
      </c>
      <c r="I10" s="3" t="s">
        <v>5</v>
      </c>
      <c r="J10" s="7">
        <v>6.23</v>
      </c>
      <c r="K10" s="5">
        <v>10.17</v>
      </c>
      <c r="L10" s="6">
        <f t="shared" si="1"/>
        <v>0.61258603736479844</v>
      </c>
      <c r="M10" s="522" t="str">
        <f t="shared" si="2"/>
        <v>DOS SENTIDOS</v>
      </c>
      <c r="N10" s="523"/>
      <c r="O10" s="8">
        <f t="shared" ref="O10:O12" si="3">+(2*J10+2*K10)/180</f>
        <v>0.1822222222222222</v>
      </c>
    </row>
    <row r="11" spans="2:15" x14ac:dyDescent="0.3">
      <c r="B11" s="567"/>
      <c r="C11" s="529"/>
      <c r="D11" s="530"/>
      <c r="E11" s="520"/>
      <c r="F11" s="520"/>
      <c r="G11" s="520"/>
      <c r="I11" s="3" t="s">
        <v>6</v>
      </c>
      <c r="J11" s="7">
        <v>3</v>
      </c>
      <c r="K11" s="5">
        <v>6</v>
      </c>
      <c r="L11" s="6">
        <f t="shared" si="1"/>
        <v>0.5</v>
      </c>
      <c r="M11" s="522" t="str">
        <f>IF(L11&gt;=0.5,"DOS SENTIDOS","UN SENTIDO")</f>
        <v>DOS SENTIDOS</v>
      </c>
      <c r="N11" s="523"/>
      <c r="O11" s="8">
        <f t="shared" si="3"/>
        <v>0.1</v>
      </c>
    </row>
    <row r="12" spans="2:15" x14ac:dyDescent="0.3">
      <c r="B12" s="567"/>
      <c r="C12" s="529"/>
      <c r="D12" s="530"/>
      <c r="E12" s="520"/>
      <c r="F12" s="520"/>
      <c r="G12" s="520"/>
      <c r="I12" s="3" t="s">
        <v>520</v>
      </c>
      <c r="J12" s="7">
        <v>4.83</v>
      </c>
      <c r="K12" s="5">
        <v>9</v>
      </c>
      <c r="L12" s="6">
        <f t="shared" si="1"/>
        <v>0.53666666666666663</v>
      </c>
      <c r="M12" s="522" t="str">
        <f t="shared" si="2"/>
        <v>DOS SENTIDOS</v>
      </c>
      <c r="N12" s="523"/>
      <c r="O12" s="8">
        <f t="shared" si="3"/>
        <v>0.15366666666666667</v>
      </c>
    </row>
    <row r="13" spans="2:15" x14ac:dyDescent="0.3">
      <c r="B13" s="567"/>
      <c r="C13" s="529"/>
      <c r="D13" s="530"/>
      <c r="E13" s="520"/>
      <c r="F13" s="520"/>
      <c r="G13" s="520"/>
    </row>
    <row r="14" spans="2:15" x14ac:dyDescent="0.3">
      <c r="B14" s="567"/>
      <c r="C14" s="529"/>
      <c r="D14" s="530"/>
      <c r="E14" s="520"/>
      <c r="F14" s="520"/>
      <c r="G14" s="520"/>
      <c r="J14" t="s">
        <v>9</v>
      </c>
      <c r="L14" s="9">
        <f>MAX(O5:O12)</f>
        <v>0.22077777777777774</v>
      </c>
      <c r="M14" s="232"/>
    </row>
    <row r="15" spans="2:15" ht="15" thickBot="1" x14ac:dyDescent="0.35">
      <c r="B15" s="568"/>
      <c r="C15" s="531"/>
      <c r="D15" s="532"/>
      <c r="E15" s="521"/>
      <c r="F15" s="521"/>
      <c r="G15" s="521"/>
    </row>
    <row r="16" spans="2:15" ht="15" thickBot="1" x14ac:dyDescent="0.35">
      <c r="B16" s="566">
        <v>7.5</v>
      </c>
      <c r="C16" s="527" t="s">
        <v>4</v>
      </c>
      <c r="D16" s="528"/>
      <c r="E16" s="519" t="s">
        <v>5</v>
      </c>
      <c r="F16" s="519" t="s">
        <v>6</v>
      </c>
      <c r="G16" s="519" t="s">
        <v>521</v>
      </c>
      <c r="J16" s="18" t="s">
        <v>12</v>
      </c>
    </row>
    <row r="17" spans="2:16" ht="15" thickBot="1" x14ac:dyDescent="0.35">
      <c r="B17" s="567"/>
      <c r="C17" s="529"/>
      <c r="D17" s="530"/>
      <c r="E17" s="520"/>
      <c r="F17" s="520"/>
      <c r="G17" s="520"/>
      <c r="I17" s="12" t="s">
        <v>14</v>
      </c>
      <c r="J17" s="524" t="s">
        <v>11</v>
      </c>
      <c r="K17" s="525"/>
      <c r="L17" s="524" t="s">
        <v>13</v>
      </c>
      <c r="M17" s="525"/>
    </row>
    <row r="18" spans="2:16" ht="15.6" x14ac:dyDescent="0.3">
      <c r="B18" s="567"/>
      <c r="C18" s="529"/>
      <c r="D18" s="530"/>
      <c r="E18" s="520"/>
      <c r="F18" s="520"/>
      <c r="G18" s="520"/>
      <c r="H18" s="517">
        <v>7.5</v>
      </c>
      <c r="I18" s="15" t="s">
        <v>1</v>
      </c>
      <c r="J18" s="465" t="s">
        <v>506</v>
      </c>
      <c r="K18" s="460" t="s">
        <v>15</v>
      </c>
      <c r="L18" s="459" t="s">
        <v>509</v>
      </c>
      <c r="M18" s="460" t="s">
        <v>15</v>
      </c>
    </row>
    <row r="19" spans="2:16" x14ac:dyDescent="0.3">
      <c r="B19" s="567"/>
      <c r="C19" s="529"/>
      <c r="D19" s="530"/>
      <c r="E19" s="520"/>
      <c r="F19" s="520"/>
      <c r="G19" s="520"/>
      <c r="I19" s="16" t="s">
        <v>10</v>
      </c>
      <c r="J19" s="466" t="s">
        <v>17</v>
      </c>
      <c r="K19" s="461" t="s">
        <v>15</v>
      </c>
      <c r="L19" s="101" t="s">
        <v>509</v>
      </c>
      <c r="M19" s="461" t="s">
        <v>15</v>
      </c>
    </row>
    <row r="20" spans="2:16" ht="15" customHeight="1" x14ac:dyDescent="0.3">
      <c r="B20" s="567"/>
      <c r="C20" s="529"/>
      <c r="D20" s="530"/>
      <c r="E20" s="520"/>
      <c r="F20" s="520"/>
      <c r="G20" s="520"/>
      <c r="I20" s="16" t="s">
        <v>3</v>
      </c>
      <c r="J20" s="466" t="s">
        <v>507</v>
      </c>
      <c r="K20" s="462" t="s">
        <v>15</v>
      </c>
      <c r="L20" s="14" t="s">
        <v>509</v>
      </c>
      <c r="M20" s="461" t="s">
        <v>15</v>
      </c>
    </row>
    <row r="21" spans="2:16" ht="15" thickBot="1" x14ac:dyDescent="0.35">
      <c r="B21" s="568"/>
      <c r="C21" s="531"/>
      <c r="D21" s="532"/>
      <c r="E21" s="521"/>
      <c r="F21" s="521"/>
      <c r="G21" s="521"/>
      <c r="I21" s="16" t="s">
        <v>4</v>
      </c>
      <c r="J21" s="466" t="s">
        <v>508</v>
      </c>
      <c r="K21" s="462" t="s">
        <v>15</v>
      </c>
      <c r="L21" s="14" t="s">
        <v>16</v>
      </c>
      <c r="M21" s="461" t="s">
        <v>15</v>
      </c>
    </row>
    <row r="22" spans="2:16" ht="15.6" x14ac:dyDescent="0.3">
      <c r="B22" s="457"/>
      <c r="C22" s="569">
        <v>7.5</v>
      </c>
      <c r="D22" s="569"/>
      <c r="E22" s="458">
        <v>7.5</v>
      </c>
      <c r="F22" s="458">
        <v>7.5</v>
      </c>
      <c r="G22" s="518">
        <v>7.5</v>
      </c>
      <c r="I22" s="16" t="s">
        <v>5</v>
      </c>
      <c r="J22" s="466" t="s">
        <v>507</v>
      </c>
      <c r="K22" s="462" t="s">
        <v>15</v>
      </c>
      <c r="L22" s="14" t="s">
        <v>510</v>
      </c>
      <c r="M22" s="461" t="s">
        <v>15</v>
      </c>
    </row>
    <row r="23" spans="2:16" ht="15" thickBot="1" x14ac:dyDescent="0.35">
      <c r="B23" s="457"/>
      <c r="C23" s="456"/>
      <c r="D23" s="456"/>
      <c r="E23" s="456"/>
      <c r="F23" s="456"/>
      <c r="G23" s="456"/>
      <c r="I23" s="17" t="s">
        <v>6</v>
      </c>
      <c r="J23" s="467" t="s">
        <v>17</v>
      </c>
      <c r="K23" s="464" t="s">
        <v>15</v>
      </c>
      <c r="L23" s="463" t="s">
        <v>510</v>
      </c>
      <c r="M23" s="461" t="s">
        <v>15</v>
      </c>
    </row>
    <row r="24" spans="2:16" x14ac:dyDescent="0.3">
      <c r="B24" s="457"/>
      <c r="C24" s="456"/>
      <c r="D24" s="456"/>
      <c r="E24" s="456"/>
      <c r="F24" s="456"/>
      <c r="G24" s="456"/>
      <c r="I24" s="279"/>
      <c r="J24" s="101"/>
      <c r="K24" s="101"/>
      <c r="L24" s="101"/>
      <c r="M24" s="101"/>
    </row>
    <row r="25" spans="2:16" x14ac:dyDescent="0.3">
      <c r="B25" s="101"/>
      <c r="C25" s="431"/>
      <c r="D25" s="431"/>
      <c r="E25" s="431"/>
      <c r="F25" s="431"/>
      <c r="G25" s="431"/>
      <c r="I25" s="279"/>
      <c r="J25" s="101"/>
      <c r="K25" s="101"/>
      <c r="L25" s="101"/>
      <c r="M25" s="101"/>
    </row>
    <row r="26" spans="2:16" ht="15" thickBot="1" x14ac:dyDescent="0.35"/>
    <row r="27" spans="2:16" ht="15" thickBot="1" x14ac:dyDescent="0.35">
      <c r="C27" s="542" t="s">
        <v>18</v>
      </c>
      <c r="D27" s="543"/>
      <c r="E27" s="544"/>
    </row>
    <row r="28" spans="2:16" x14ac:dyDescent="0.3">
      <c r="C28" t="s">
        <v>19</v>
      </c>
      <c r="D28" s="19">
        <v>2400</v>
      </c>
      <c r="F28" s="21">
        <v>0.1</v>
      </c>
      <c r="G28" s="24">
        <v>0.05</v>
      </c>
    </row>
    <row r="29" spans="2:16" x14ac:dyDescent="0.3">
      <c r="C29" t="s">
        <v>20</v>
      </c>
      <c r="D29" s="19">
        <v>0</v>
      </c>
      <c r="F29" s="22">
        <v>0.5</v>
      </c>
      <c r="G29" s="23">
        <f>+F30-0.05</f>
        <v>0.2</v>
      </c>
    </row>
    <row r="30" spans="2:16" x14ac:dyDescent="0.3">
      <c r="C30" t="s">
        <v>21</v>
      </c>
      <c r="D30" s="20">
        <v>175</v>
      </c>
      <c r="F30" s="480">
        <v>0.25</v>
      </c>
    </row>
    <row r="31" spans="2:16" ht="15" thickBot="1" x14ac:dyDescent="0.35"/>
    <row r="32" spans="2:16" s="1" customFormat="1" ht="21.6" thickBot="1" x14ac:dyDescent="0.45">
      <c r="C32" s="33" t="s">
        <v>1</v>
      </c>
      <c r="G32" s="33" t="s">
        <v>523</v>
      </c>
      <c r="K32" s="33" t="s">
        <v>10</v>
      </c>
      <c r="O32" s="468"/>
      <c r="P32" s="33" t="s">
        <v>3</v>
      </c>
    </row>
    <row r="33" spans="3:18" x14ac:dyDescent="0.3">
      <c r="C33" t="s">
        <v>22</v>
      </c>
      <c r="E33" s="20">
        <f>+$D$28*$G$28</f>
        <v>120</v>
      </c>
      <c r="G33" t="s">
        <v>22</v>
      </c>
      <c r="I33" s="20">
        <f>+$D$28*$G$28</f>
        <v>120</v>
      </c>
      <c r="K33" t="s">
        <v>22</v>
      </c>
      <c r="M33" s="20">
        <f>+$D$28*$G$28</f>
        <v>120</v>
      </c>
      <c r="O33" s="145"/>
      <c r="P33" t="s">
        <v>22</v>
      </c>
      <c r="R33" s="20">
        <f>+$D$28*$G$28</f>
        <v>120</v>
      </c>
    </row>
    <row r="34" spans="3:18" x14ac:dyDescent="0.3">
      <c r="C34" t="s">
        <v>23</v>
      </c>
      <c r="E34" s="20">
        <f>($D$28*$F$28*K5*$G$29*15)/(J5*K5)</f>
        <v>239.99999999999997</v>
      </c>
      <c r="G34" t="s">
        <v>23</v>
      </c>
      <c r="I34" s="20">
        <f>($D$28*$F$28*K6*$G$29*9)/(J6*K6)</f>
        <v>144</v>
      </c>
      <c r="K34" t="s">
        <v>23</v>
      </c>
      <c r="M34" s="20">
        <f>($D$28*$F$28*K7*$G$29*15)/(K7*J7)</f>
        <v>115.56982343499199</v>
      </c>
      <c r="O34" s="145"/>
      <c r="P34" t="s">
        <v>23</v>
      </c>
      <c r="R34" s="20">
        <f>($D$28*$F$28*K8*$G$29*15)/(J8*K8)</f>
        <v>240</v>
      </c>
    </row>
    <row r="35" spans="3:18" x14ac:dyDescent="0.3">
      <c r="C35" t="s">
        <v>24</v>
      </c>
      <c r="E35" s="20">
        <f>($D$28*$F$28*$G$29*7*(J5-15*$F$28))/(K5*J5)</f>
        <v>46.666666666666664</v>
      </c>
      <c r="G35" t="s">
        <v>24</v>
      </c>
      <c r="I35" s="20">
        <f>($D$28*$F$28*$G$29*7*(J6-9*$F$28))/(J6*K6)</f>
        <v>35.475113122171948</v>
      </c>
      <c r="K35" t="s">
        <v>24</v>
      </c>
      <c r="M35" s="20">
        <f>($D$28*$F$28*$G$29*7*(J7-15*$F$28))/(J7*K7)</f>
        <v>25.083689635742932</v>
      </c>
      <c r="O35" s="145"/>
      <c r="P35" t="s">
        <v>24</v>
      </c>
      <c r="R35" s="20">
        <f>($D$28*$F$28*$G$29*7*(J8-15*$F$28))/(J8*K8)</f>
        <v>28</v>
      </c>
    </row>
    <row r="36" spans="3:18" x14ac:dyDescent="0.3">
      <c r="C36" t="s">
        <v>25</v>
      </c>
      <c r="E36" s="20">
        <f>((C22-7*$F$28)*(B5-15*$F$28)*$G$29*$D$29)/(B5*C22)</f>
        <v>0</v>
      </c>
      <c r="G36" t="s">
        <v>25</v>
      </c>
      <c r="I36" s="20">
        <f>((E22-7*$F$28)*(B5-9*$F$28)*$G$29*$D$29)/(B5*E22)</f>
        <v>0</v>
      </c>
      <c r="K36" t="s">
        <v>25</v>
      </c>
      <c r="M36" s="20">
        <f>((E22-7*$F$28)*(B5-15*$F$28)*$G$29*$D$29)/(B5*E22)</f>
        <v>0</v>
      </c>
      <c r="O36" s="145"/>
      <c r="P36" t="s">
        <v>25</v>
      </c>
      <c r="R36" s="20">
        <f>((G22-7*$F$28)*(H10-15*$F$28)*$G$29*$D$29)/(H10*G22)</f>
        <v>0</v>
      </c>
    </row>
    <row r="37" spans="3:18" x14ac:dyDescent="0.3">
      <c r="C37" s="10" t="s">
        <v>26</v>
      </c>
      <c r="D37" s="25"/>
      <c r="E37" s="26">
        <f>SUM(E33:E36)</f>
        <v>406.66666666666669</v>
      </c>
      <c r="G37" s="10" t="s">
        <v>26</v>
      </c>
      <c r="H37" s="25"/>
      <c r="I37" s="26">
        <f>SUM(I33:I36)</f>
        <v>299.47511312217193</v>
      </c>
      <c r="K37" s="10" t="s">
        <v>26</v>
      </c>
      <c r="L37" s="25"/>
      <c r="M37" s="26">
        <f>SUM(M33:M36)</f>
        <v>260.6535130707349</v>
      </c>
      <c r="O37" s="469"/>
      <c r="P37" s="10" t="s">
        <v>26</v>
      </c>
      <c r="Q37" s="25"/>
      <c r="R37" s="26">
        <f>SUM(R33:R36)</f>
        <v>388</v>
      </c>
    </row>
    <row r="38" spans="3:18" x14ac:dyDescent="0.3">
      <c r="C38" s="27" t="s">
        <v>29</v>
      </c>
      <c r="D38" s="28"/>
      <c r="E38" s="29">
        <f>+$D$30</f>
        <v>175</v>
      </c>
      <c r="G38" s="27" t="s">
        <v>29</v>
      </c>
      <c r="H38" s="28"/>
      <c r="I38" s="29">
        <f>+$D$30</f>
        <v>175</v>
      </c>
      <c r="K38" s="27" t="s">
        <v>29</v>
      </c>
      <c r="L38" s="28"/>
      <c r="M38" s="29">
        <f>+$D$30</f>
        <v>175</v>
      </c>
      <c r="O38" s="364"/>
      <c r="P38" s="27" t="s">
        <v>29</v>
      </c>
      <c r="Q38" s="28"/>
      <c r="R38" s="29">
        <f>+$D$30</f>
        <v>175</v>
      </c>
    </row>
    <row r="39" spans="3:18" x14ac:dyDescent="0.3">
      <c r="C39" s="27" t="s">
        <v>30</v>
      </c>
      <c r="D39" s="28"/>
      <c r="E39" s="29">
        <f>+E37+E38</f>
        <v>581.66666666666674</v>
      </c>
      <c r="G39" s="27" t="s">
        <v>30</v>
      </c>
      <c r="H39" s="28"/>
      <c r="I39" s="29">
        <f>+I37+I38</f>
        <v>474.47511312217193</v>
      </c>
      <c r="K39" s="27" t="s">
        <v>30</v>
      </c>
      <c r="L39" s="28"/>
      <c r="M39" s="29">
        <f>+M37+M38</f>
        <v>435.6535130707349</v>
      </c>
      <c r="O39" s="364"/>
      <c r="P39" s="27" t="s">
        <v>30</v>
      </c>
      <c r="Q39" s="28"/>
      <c r="R39" s="29">
        <f>+R37+R38</f>
        <v>563</v>
      </c>
    </row>
    <row r="40" spans="3:18" x14ac:dyDescent="0.3">
      <c r="I40" s="505">
        <f>SUM(I38:I39)</f>
        <v>649.47511312217193</v>
      </c>
      <c r="M40" s="20">
        <f>+M39+200</f>
        <v>635.6535130707349</v>
      </c>
      <c r="O40" s="145"/>
      <c r="R40" s="20">
        <f>+R39+200</f>
        <v>763</v>
      </c>
    </row>
    <row r="41" spans="3:18" x14ac:dyDescent="0.3">
      <c r="C41" s="32" t="s">
        <v>27</v>
      </c>
      <c r="G41" s="32" t="s">
        <v>27</v>
      </c>
      <c r="K41" s="32" t="s">
        <v>27</v>
      </c>
      <c r="O41" s="470"/>
      <c r="P41" s="32" t="s">
        <v>27</v>
      </c>
    </row>
    <row r="42" spans="3:18" x14ac:dyDescent="0.3">
      <c r="C42" s="30" t="s">
        <v>28</v>
      </c>
      <c r="D42" s="31">
        <f>1.4*E39*$F$29</f>
        <v>407.16666666666669</v>
      </c>
      <c r="G42" s="30" t="s">
        <v>28</v>
      </c>
      <c r="H42" s="31">
        <f>1.4*I39*$F$29</f>
        <v>332.13257918552034</v>
      </c>
      <c r="K42" s="30" t="s">
        <v>28</v>
      </c>
      <c r="L42" s="31">
        <f>1.4*M39*$F$29</f>
        <v>304.95745914951442</v>
      </c>
      <c r="O42" s="471"/>
      <c r="P42" s="30" t="s">
        <v>28</v>
      </c>
      <c r="Q42" s="31">
        <f>1.4*R39*$F$29</f>
        <v>394.09999999999997</v>
      </c>
    </row>
    <row r="43" spans="3:18" x14ac:dyDescent="0.3">
      <c r="O43" s="145"/>
    </row>
    <row r="44" spans="3:18" x14ac:dyDescent="0.3">
      <c r="C44" s="32" t="s">
        <v>31</v>
      </c>
      <c r="G44" s="32" t="s">
        <v>31</v>
      </c>
      <c r="K44" s="32" t="s">
        <v>31</v>
      </c>
      <c r="O44" s="470"/>
      <c r="P44" s="32" t="s">
        <v>31</v>
      </c>
    </row>
    <row r="45" spans="3:18" x14ac:dyDescent="0.3">
      <c r="C45" s="30" t="s">
        <v>32</v>
      </c>
      <c r="D45" s="31">
        <f>1.7*100*$F$29</f>
        <v>85</v>
      </c>
      <c r="G45" s="30" t="s">
        <v>32</v>
      </c>
      <c r="H45" s="31">
        <f>1.7*100*$F$29</f>
        <v>85</v>
      </c>
      <c r="K45" s="30" t="s">
        <v>32</v>
      </c>
      <c r="L45" s="31">
        <f>1.7*100*$F$29</f>
        <v>85</v>
      </c>
      <c r="O45" s="471"/>
      <c r="P45" s="30" t="s">
        <v>32</v>
      </c>
      <c r="Q45" s="31">
        <f>1.7*100*$F$29</f>
        <v>85</v>
      </c>
    </row>
    <row r="46" spans="3:18" x14ac:dyDescent="0.3">
      <c r="O46" s="145"/>
    </row>
    <row r="47" spans="3:18" x14ac:dyDescent="0.3">
      <c r="C47" s="32" t="s">
        <v>33</v>
      </c>
      <c r="G47" s="32" t="s">
        <v>33</v>
      </c>
      <c r="K47" s="32" t="s">
        <v>33</v>
      </c>
      <c r="O47" s="470"/>
      <c r="P47" s="32" t="s">
        <v>33</v>
      </c>
    </row>
    <row r="48" spans="3:18" x14ac:dyDescent="0.3">
      <c r="C48" s="30" t="s">
        <v>34</v>
      </c>
      <c r="D48" s="31">
        <f>+D42+D45</f>
        <v>492.16666666666669</v>
      </c>
      <c r="G48" s="30" t="s">
        <v>34</v>
      </c>
      <c r="H48" s="31">
        <f>+H42+H45</f>
        <v>417.13257918552034</v>
      </c>
      <c r="K48" s="30" t="s">
        <v>34</v>
      </c>
      <c r="L48" s="31">
        <f>+L42+L45</f>
        <v>389.95745914951442</v>
      </c>
      <c r="O48" s="471"/>
      <c r="P48" s="30" t="s">
        <v>34</v>
      </c>
      <c r="Q48" s="31">
        <f>+Q42+Q45</f>
        <v>479.09999999999997</v>
      </c>
    </row>
    <row r="49" spans="3:19" ht="15" thickBot="1" x14ac:dyDescent="0.35">
      <c r="O49" s="145"/>
    </row>
    <row r="50" spans="3:19" s="1" customFormat="1" ht="21.6" thickBot="1" x14ac:dyDescent="0.45">
      <c r="C50" s="33" t="s">
        <v>4</v>
      </c>
      <c r="G50" s="33" t="s">
        <v>5</v>
      </c>
      <c r="K50" s="33" t="s">
        <v>6</v>
      </c>
      <c r="O50" s="468"/>
      <c r="P50" s="33" t="s">
        <v>520</v>
      </c>
    </row>
    <row r="51" spans="3:19" x14ac:dyDescent="0.3">
      <c r="C51" t="s">
        <v>22</v>
      </c>
      <c r="E51" s="20">
        <f>+$D$28*$G$28</f>
        <v>120</v>
      </c>
      <c r="G51" t="s">
        <v>22</v>
      </c>
      <c r="I51" s="20">
        <f>+$D$28*$G$28</f>
        <v>120</v>
      </c>
      <c r="K51" t="s">
        <v>22</v>
      </c>
      <c r="M51" s="20">
        <f>+$D$28*$G$28</f>
        <v>120</v>
      </c>
      <c r="O51" s="145"/>
      <c r="P51" t="s">
        <v>22</v>
      </c>
      <c r="R51" s="20">
        <f>+$D$28*$G$28</f>
        <v>120</v>
      </c>
    </row>
    <row r="52" spans="3:19" x14ac:dyDescent="0.3">
      <c r="C52" t="s">
        <v>23</v>
      </c>
      <c r="E52" s="20">
        <f>($D$28*$F$28*K9*$G$29*15)/(J9*K9)</f>
        <v>80</v>
      </c>
      <c r="G52" t="s">
        <v>23</v>
      </c>
      <c r="I52" s="20">
        <f>($D$28*$F$28*K10*$G$29*9)/(J10*K10)</f>
        <v>69.341894060995187</v>
      </c>
      <c r="K52" t="s">
        <v>23</v>
      </c>
      <c r="M52" s="20">
        <f>($D$28*$F$28*L11*$G$29*15)/(K11*L11)</f>
        <v>120</v>
      </c>
      <c r="O52" s="145"/>
      <c r="P52" t="s">
        <v>23</v>
      </c>
      <c r="R52" s="20">
        <f>($D$28*$F$28*K12*$G$29*15)/(J12*K12)</f>
        <v>149.06832298136646</v>
      </c>
    </row>
    <row r="53" spans="3:19" x14ac:dyDescent="0.3">
      <c r="C53" t="s">
        <v>24</v>
      </c>
      <c r="E53" s="20">
        <f>($D$28*$F$28*$G$29*8*(J9-15*$F$28))/(K9*J9)</f>
        <v>29.438822447102115</v>
      </c>
      <c r="G53" t="s">
        <v>24</v>
      </c>
      <c r="I53" s="20">
        <f>($D$28*$F$28*$G$29*8*(J10-9*$F$28))/(K10*J10)</f>
        <v>32.303489159410404</v>
      </c>
      <c r="K53" t="s">
        <v>24</v>
      </c>
      <c r="M53" s="20">
        <f>($D$28*$F$28*$G$29*8*(J11-15*$F$28))/(K11*J11)</f>
        <v>32</v>
      </c>
      <c r="O53" s="145"/>
      <c r="P53" t="s">
        <v>24</v>
      </c>
      <c r="R53" s="20">
        <f>($D$28*$F$28*$G$29*7*(J12-15*$F$28))/(K12*J12)</f>
        <v>25.739130434782613</v>
      </c>
    </row>
    <row r="54" spans="3:19" x14ac:dyDescent="0.3">
      <c r="C54" t="s">
        <v>25</v>
      </c>
      <c r="E54" s="20">
        <f>((C22-8*$F$28)*(B16-15*$F$28)*$G$29*$D$29)/(B16*C22)</f>
        <v>0</v>
      </c>
      <c r="G54" t="s">
        <v>25</v>
      </c>
      <c r="I54" s="20">
        <f>((E22-8*$F$28)*(B16-9*$F$28)*$G$29*$D$29)/(B16*E22)</f>
        <v>0</v>
      </c>
      <c r="K54" t="s">
        <v>25</v>
      </c>
      <c r="M54" s="20">
        <f>((F22-8*$F$28)*(B16-15*$F$28)*$G$29*$D$29)/(B16*F22)</f>
        <v>0</v>
      </c>
      <c r="O54" s="145"/>
      <c r="P54" t="s">
        <v>25</v>
      </c>
      <c r="R54" s="20">
        <f>((H18-7*$F$28)*(G22-15*$F$28)*$G$29*$D$29)/(H18*G22)</f>
        <v>0</v>
      </c>
    </row>
    <row r="55" spans="3:19" x14ac:dyDescent="0.3">
      <c r="C55" s="10" t="s">
        <v>26</v>
      </c>
      <c r="D55" s="25"/>
      <c r="E55" s="26">
        <f>SUM(E51:E54)</f>
        <v>229.43882244710213</v>
      </c>
      <c r="G55" s="10" t="s">
        <v>26</v>
      </c>
      <c r="H55" s="25"/>
      <c r="I55" s="26">
        <f>SUM(I51:I54)</f>
        <v>221.64538322040556</v>
      </c>
      <c r="K55" s="10" t="s">
        <v>26</v>
      </c>
      <c r="L55" s="25"/>
      <c r="M55" s="26">
        <f>SUM(M51:M54)</f>
        <v>272</v>
      </c>
      <c r="O55" s="469"/>
      <c r="P55" s="10" t="s">
        <v>26</v>
      </c>
      <c r="Q55" s="25"/>
      <c r="R55" s="26">
        <f>SUM(R51:R54)</f>
        <v>294.80745341614909</v>
      </c>
    </row>
    <row r="56" spans="3:19" x14ac:dyDescent="0.3">
      <c r="C56" s="27" t="s">
        <v>29</v>
      </c>
      <c r="D56" s="28"/>
      <c r="E56" s="29">
        <f>+$D$30</f>
        <v>175</v>
      </c>
      <c r="G56" s="27" t="s">
        <v>29</v>
      </c>
      <c r="H56" s="28"/>
      <c r="I56" s="29">
        <f>+$D$30</f>
        <v>175</v>
      </c>
      <c r="K56" s="27" t="s">
        <v>29</v>
      </c>
      <c r="L56" s="28"/>
      <c r="M56" s="29">
        <f>+$D$30</f>
        <v>175</v>
      </c>
      <c r="O56" s="364"/>
      <c r="P56" s="27" t="s">
        <v>29</v>
      </c>
      <c r="Q56" s="28"/>
      <c r="R56" s="29">
        <f>+$D$30</f>
        <v>175</v>
      </c>
    </row>
    <row r="57" spans="3:19" x14ac:dyDescent="0.3">
      <c r="C57" s="27" t="s">
        <v>30</v>
      </c>
      <c r="D57" s="28"/>
      <c r="E57" s="29">
        <f>+E55+E56</f>
        <v>404.4388224471021</v>
      </c>
      <c r="G57" s="27" t="s">
        <v>30</v>
      </c>
      <c r="H57" s="28"/>
      <c r="I57" s="29">
        <f>+I55+I56</f>
        <v>396.64538322040556</v>
      </c>
      <c r="K57" s="27" t="s">
        <v>30</v>
      </c>
      <c r="L57" s="28"/>
      <c r="M57" s="29">
        <f>+M55+M56</f>
        <v>447</v>
      </c>
      <c r="O57" s="364"/>
      <c r="P57" s="27" t="s">
        <v>30</v>
      </c>
      <c r="Q57" s="28"/>
      <c r="R57" s="29">
        <f>+R55+R56</f>
        <v>469.80745341614909</v>
      </c>
    </row>
    <row r="58" spans="3:19" x14ac:dyDescent="0.3">
      <c r="I58" s="505">
        <f>SUM(I56:I57)</f>
        <v>571.64538322040562</v>
      </c>
      <c r="N58" s="20">
        <f>+M57+200</f>
        <v>647</v>
      </c>
      <c r="O58" s="145"/>
      <c r="R58" s="20">
        <f>+R57+200</f>
        <v>669.80745341614909</v>
      </c>
      <c r="S58" s="20">
        <f>+R57+200</f>
        <v>669.80745341614909</v>
      </c>
    </row>
    <row r="59" spans="3:19" x14ac:dyDescent="0.3">
      <c r="C59" s="32" t="s">
        <v>27</v>
      </c>
      <c r="G59" s="32" t="s">
        <v>27</v>
      </c>
      <c r="K59" s="32" t="s">
        <v>27</v>
      </c>
      <c r="O59" s="470"/>
      <c r="P59" s="32" t="s">
        <v>27</v>
      </c>
    </row>
    <row r="60" spans="3:19" x14ac:dyDescent="0.3">
      <c r="C60" s="30" t="s">
        <v>28</v>
      </c>
      <c r="D60" s="31">
        <f>1.4*E57*$F$29</f>
        <v>283.10717571297147</v>
      </c>
      <c r="G60" s="30" t="s">
        <v>28</v>
      </c>
      <c r="H60" s="31">
        <f>1.4*I57*$F$29</f>
        <v>277.65176825428387</v>
      </c>
      <c r="K60" s="30" t="s">
        <v>28</v>
      </c>
      <c r="L60" s="31">
        <f>1.4*M57*$F$29</f>
        <v>312.89999999999998</v>
      </c>
      <c r="O60" s="471"/>
      <c r="P60" s="30" t="s">
        <v>28</v>
      </c>
      <c r="Q60" s="31">
        <f>1.4*R57*$F$29</f>
        <v>328.86521739130433</v>
      </c>
    </row>
    <row r="61" spans="3:19" x14ac:dyDescent="0.3">
      <c r="O61" s="145"/>
    </row>
    <row r="62" spans="3:19" x14ac:dyDescent="0.3">
      <c r="C62" s="32" t="s">
        <v>31</v>
      </c>
      <c r="G62" s="32" t="s">
        <v>31</v>
      </c>
      <c r="K62" s="32" t="s">
        <v>31</v>
      </c>
      <c r="O62" s="470"/>
      <c r="P62" s="32" t="s">
        <v>31</v>
      </c>
    </row>
    <row r="63" spans="3:19" x14ac:dyDescent="0.3">
      <c r="C63" s="30" t="s">
        <v>32</v>
      </c>
      <c r="D63" s="31">
        <f>1.7*100*$F$29</f>
        <v>85</v>
      </c>
      <c r="G63" s="30" t="s">
        <v>32</v>
      </c>
      <c r="H63" s="31">
        <f>1.7*100*$F$29</f>
        <v>85</v>
      </c>
      <c r="K63" s="30" t="s">
        <v>32</v>
      </c>
      <c r="L63" s="31">
        <f>1.7*100*$F$29</f>
        <v>85</v>
      </c>
      <c r="O63" s="471"/>
      <c r="P63" s="30" t="s">
        <v>32</v>
      </c>
      <c r="Q63" s="31">
        <f>1.7*100*$F$29</f>
        <v>85</v>
      </c>
    </row>
    <row r="64" spans="3:19" x14ac:dyDescent="0.3">
      <c r="O64" s="145"/>
    </row>
    <row r="65" spans="3:21" x14ac:dyDescent="0.3">
      <c r="C65" s="32" t="s">
        <v>33</v>
      </c>
      <c r="G65" s="32" t="s">
        <v>33</v>
      </c>
      <c r="K65" s="32" t="s">
        <v>33</v>
      </c>
      <c r="O65" s="470"/>
      <c r="P65" s="32" t="s">
        <v>33</v>
      </c>
    </row>
    <row r="66" spans="3:21" x14ac:dyDescent="0.3">
      <c r="C66" s="30" t="s">
        <v>34</v>
      </c>
      <c r="D66" s="31">
        <f>+D60+D63</f>
        <v>368.10717571297147</v>
      </c>
      <c r="G66" s="30" t="s">
        <v>34</v>
      </c>
      <c r="H66" s="31">
        <f>+H60+H63</f>
        <v>362.65176825428387</v>
      </c>
      <c r="K66" s="30" t="s">
        <v>34</v>
      </c>
      <c r="L66" s="31">
        <f>+L60+L63</f>
        <v>397.9</v>
      </c>
      <c r="O66" s="471"/>
      <c r="P66" s="30" t="s">
        <v>34</v>
      </c>
      <c r="Q66" s="31">
        <f>+Q60+Q63</f>
        <v>413.86521739130433</v>
      </c>
    </row>
    <row r="68" spans="3:21" ht="15" thickBot="1" x14ac:dyDescent="0.35"/>
    <row r="69" spans="3:21" ht="21.6" thickBot="1" x14ac:dyDescent="0.45">
      <c r="C69" s="545" t="s">
        <v>35</v>
      </c>
      <c r="D69" s="546"/>
      <c r="E69" s="546"/>
      <c r="F69" s="546"/>
      <c r="G69" s="547"/>
    </row>
    <row r="70" spans="3:21" x14ac:dyDescent="0.3">
      <c r="C70" s="538"/>
      <c r="D70" s="539"/>
      <c r="E70" s="539"/>
      <c r="F70" s="535" t="s">
        <v>37</v>
      </c>
      <c r="G70" s="536"/>
      <c r="H70" s="537"/>
      <c r="I70" s="535" t="s">
        <v>38</v>
      </c>
      <c r="J70" s="536"/>
      <c r="K70" s="537"/>
      <c r="N70" s="10" t="s">
        <v>43</v>
      </c>
    </row>
    <row r="71" spans="3:21" ht="15" thickBot="1" x14ac:dyDescent="0.35">
      <c r="C71" s="540"/>
      <c r="D71" s="541"/>
      <c r="E71" s="541"/>
      <c r="F71" s="533" t="s">
        <v>39</v>
      </c>
      <c r="G71" s="534"/>
      <c r="H71" s="42" t="s">
        <v>40</v>
      </c>
      <c r="I71" s="533" t="s">
        <v>39</v>
      </c>
      <c r="J71" s="534"/>
      <c r="K71" s="42" t="s">
        <v>40</v>
      </c>
      <c r="N71" s="49"/>
      <c r="R71" s="50" t="s">
        <v>44</v>
      </c>
      <c r="S71" s="50" t="s">
        <v>45</v>
      </c>
      <c r="T71" s="50" t="s">
        <v>46</v>
      </c>
      <c r="U71" s="50" t="s">
        <v>46</v>
      </c>
    </row>
    <row r="72" spans="3:21" ht="15" thickBot="1" x14ac:dyDescent="0.35">
      <c r="C72" s="35"/>
      <c r="D72" s="35" t="s">
        <v>36</v>
      </c>
      <c r="E72" s="38" t="s">
        <v>8</v>
      </c>
      <c r="F72" s="46" t="s">
        <v>41</v>
      </c>
      <c r="G72" s="47" t="s">
        <v>42</v>
      </c>
      <c r="H72" s="48" t="s">
        <v>41</v>
      </c>
      <c r="I72" s="46" t="s">
        <v>41</v>
      </c>
      <c r="J72" s="47" t="s">
        <v>42</v>
      </c>
      <c r="K72" s="48" t="s">
        <v>41</v>
      </c>
      <c r="M72" s="11" t="s">
        <v>47</v>
      </c>
      <c r="N72" s="51">
        <f>+F74</f>
        <v>516.20156674208135</v>
      </c>
      <c r="O72" s="52">
        <f>+F73</f>
        <v>1578.0093750000003</v>
      </c>
      <c r="P72" s="526" t="str">
        <f>IF(O72&gt;0.8*N72,"PROM. ARITMETICO","PROPORCIONAL RIGIDEZ")</f>
        <v>PROM. ARITMETICO</v>
      </c>
      <c r="Q72" s="526"/>
      <c r="R72" s="34">
        <f>+((1/C22)/(1/C22 +1/E22))</f>
        <v>0.5</v>
      </c>
      <c r="S72" s="34">
        <f>+((1/E22)/(1/E22 +1/C22))</f>
        <v>0.5</v>
      </c>
      <c r="T72" s="53">
        <f>+N72-(R72*(N72-O72))</f>
        <v>1047.1054708710408</v>
      </c>
      <c r="U72" s="54">
        <f>+O72+(S72*(N72-O72))</f>
        <v>1047.1054708710408</v>
      </c>
    </row>
    <row r="73" spans="3:21" x14ac:dyDescent="0.3">
      <c r="C73" s="36" t="s">
        <v>1</v>
      </c>
      <c r="D73" s="35">
        <v>7</v>
      </c>
      <c r="E73" s="39">
        <f>+L5</f>
        <v>0.83333333333333326</v>
      </c>
      <c r="F73" s="43">
        <f>0.057*D48*C22*C22</f>
        <v>1578.0093750000003</v>
      </c>
      <c r="G73" s="44">
        <f>+(C22*C22)*(0.04*D42+0.025*D45)</f>
        <v>1035.6562500000002</v>
      </c>
      <c r="H73" s="45"/>
      <c r="I73" s="43">
        <f>0.04*D48*B5*B5</f>
        <v>1107.375</v>
      </c>
      <c r="J73" s="44">
        <f>+(B5*B5)*(0.022*D42+0.026*D45)</f>
        <v>628.18124999999998</v>
      </c>
      <c r="K73" s="45">
        <v>0</v>
      </c>
      <c r="N73" s="51">
        <f>+F75</f>
        <v>1908.3543157129361</v>
      </c>
      <c r="O73" s="52">
        <f>+F74</f>
        <v>516.20156674208135</v>
      </c>
      <c r="P73" s="526" t="str">
        <f>IF(O73&gt;0.8*N73,"PROM. ARITMETICO","PROPORCIONAL RIGIDEZ")</f>
        <v>PROPORCIONAL RIGIDEZ</v>
      </c>
      <c r="Q73" s="526"/>
      <c r="R73" s="34">
        <f>+((1/E22)/(1/E22 +1/F22))</f>
        <v>0.5</v>
      </c>
      <c r="S73" s="34">
        <f>+((1/F22)/(1/F22 +1/E22))</f>
        <v>0.5</v>
      </c>
      <c r="T73" s="53">
        <f>+(N73+O73)/2</f>
        <v>1212.2779412275088</v>
      </c>
      <c r="U73" s="54">
        <f t="shared" ref="U73:U75" si="4">+O73+(S73*(N73-O73))</f>
        <v>1212.2779412275086</v>
      </c>
    </row>
    <row r="74" spans="3:21" x14ac:dyDescent="0.3">
      <c r="C74" s="36" t="s">
        <v>523</v>
      </c>
      <c r="D74" s="35">
        <v>4</v>
      </c>
      <c r="E74" s="39">
        <f t="shared" ref="E74:E78" si="5">+L6</f>
        <v>0.45248868778280543</v>
      </c>
      <c r="F74" s="41">
        <f>0.022*H48*E22*E22</f>
        <v>516.20156674208135</v>
      </c>
      <c r="G74" s="37">
        <f>+(E22*E22)*(0.059*H42+0.004*H45)</f>
        <v>1121.3899971719457</v>
      </c>
      <c r="H74" s="45">
        <v>0</v>
      </c>
      <c r="I74" s="41">
        <f>0.008*H48*B5*B5</f>
        <v>187.70966063348413</v>
      </c>
      <c r="J74" s="37">
        <f>+(B5*B5)*(0.005*H42+0.009*H45)</f>
        <v>136.44353789592759</v>
      </c>
      <c r="K74" s="45">
        <v>0</v>
      </c>
      <c r="N74" s="51">
        <f>+F76</f>
        <v>227.76631497240109</v>
      </c>
      <c r="O74" s="52">
        <f>+F77</f>
        <v>836.36564053644224</v>
      </c>
      <c r="P74" s="526" t="str">
        <f>IF(O74&gt;0.8*N74,"PROM. ARITMETICO","PROPORCIONAL RIGIDEZ")</f>
        <v>PROM. ARITMETICO</v>
      </c>
      <c r="Q74" s="526"/>
      <c r="R74" s="34">
        <f>+((1/C22)/(1/C22 +1/E22))</f>
        <v>0.5</v>
      </c>
      <c r="S74" s="34">
        <f>+((1/E22)/(1/E22 +1/C22))</f>
        <v>0.5</v>
      </c>
      <c r="T74" s="53">
        <f t="shared" ref="T74:T75" si="6">+N74-(R74*(N74-O74))</f>
        <v>532.06597775442162</v>
      </c>
      <c r="U74" s="54">
        <f t="shared" si="4"/>
        <v>532.06597775442174</v>
      </c>
    </row>
    <row r="75" spans="3:21" x14ac:dyDescent="0.3">
      <c r="C75" s="36" t="s">
        <v>10</v>
      </c>
      <c r="D75" s="35">
        <v>9</v>
      </c>
      <c r="E75" s="40">
        <f t="shared" si="5"/>
        <v>0.61258603736479844</v>
      </c>
      <c r="F75" s="41">
        <f>0.087*L48*F22*F22</f>
        <v>1908.3543157129361</v>
      </c>
      <c r="G75" s="37">
        <f>+(F22*F22)*(0.034*L42+0.005*L45)</f>
        <v>607.13739062344644</v>
      </c>
      <c r="H75" s="45">
        <v>0</v>
      </c>
      <c r="I75" s="41">
        <f>0.019*L48*B5*B5</f>
        <v>416.76703446604353</v>
      </c>
      <c r="J75" s="37">
        <f>+(B5*B5)*(0.011*L42+0.014*L45)</f>
        <v>255.62992784876204</v>
      </c>
      <c r="K75" s="45">
        <v>0</v>
      </c>
      <c r="N75" s="51">
        <f>+F78</f>
        <v>649.07437500000003</v>
      </c>
      <c r="O75" s="52">
        <f>+F77</f>
        <v>836.36564053644224</v>
      </c>
      <c r="P75" s="526" t="str">
        <f>IF(O75&gt;0.8*N75,"PROM. ARITMETICO","PROPORCIONAL RIGIDEZ")</f>
        <v>PROM. ARITMETICO</v>
      </c>
      <c r="Q75" s="526"/>
      <c r="R75" s="34">
        <f>+((1/E22)/(1/E22 +1/F22))</f>
        <v>0.5</v>
      </c>
      <c r="S75" s="34">
        <f>+((1/F22)/(1/F22 +1/E22))</f>
        <v>0.5</v>
      </c>
      <c r="T75" s="53">
        <f t="shared" si="6"/>
        <v>742.72000776822119</v>
      </c>
      <c r="U75" s="54">
        <f t="shared" si="4"/>
        <v>742.72000776822119</v>
      </c>
    </row>
    <row r="76" spans="3:21" x14ac:dyDescent="0.3">
      <c r="C76" s="36" t="s">
        <v>3</v>
      </c>
      <c r="D76" s="35">
        <v>4</v>
      </c>
      <c r="E76" s="39">
        <f t="shared" si="5"/>
        <v>0.5</v>
      </c>
      <c r="F76" s="41">
        <f>0.011*D66*C22*C22</f>
        <v>227.76631497240109</v>
      </c>
      <c r="G76" s="37">
        <f>+(C22*C22)*(0.007*D60+0.009*D63)</f>
        <v>154.50470043698252</v>
      </c>
      <c r="H76" s="45">
        <v>0</v>
      </c>
      <c r="I76" s="41">
        <f>0.089*D66*B16*B16</f>
        <v>1842.8365484130634</v>
      </c>
      <c r="J76" s="37">
        <f>+(B16*B16)*(0.053*D60+0.067*D63)</f>
        <v>1164.3570175942962</v>
      </c>
      <c r="K76" s="45">
        <v>0</v>
      </c>
      <c r="R76" s="34"/>
      <c r="S76" s="34"/>
      <c r="T76" s="55"/>
    </row>
    <row r="77" spans="3:21" x14ac:dyDescent="0.3">
      <c r="C77" s="36" t="s">
        <v>4</v>
      </c>
      <c r="D77" s="35">
        <v>8</v>
      </c>
      <c r="E77" s="39">
        <f t="shared" si="5"/>
        <v>0.82796688132474705</v>
      </c>
      <c r="F77" s="41">
        <f>0.041*H66*E22*E22</f>
        <v>836.36564053644224</v>
      </c>
      <c r="G77" s="37">
        <f>+(E22*E22)*(0.015*H60+0.019*H63)</f>
        <v>325.11242946455201</v>
      </c>
      <c r="H77" s="45">
        <v>0</v>
      </c>
      <c r="I77" s="41">
        <f>0.055*H66*B16*B16</f>
        <v>1121.9539080366906</v>
      </c>
      <c r="J77" s="37">
        <f>+(B16*B16)*(0.032*H60+0.044*H63)</f>
        <v>710.14818285771105</v>
      </c>
      <c r="K77" s="45">
        <v>0</v>
      </c>
      <c r="M77" s="11" t="s">
        <v>48</v>
      </c>
      <c r="N77" s="51">
        <f>+I73</f>
        <v>1107.375</v>
      </c>
      <c r="O77" s="52">
        <f>+I76</f>
        <v>1842.8365484130634</v>
      </c>
      <c r="P77" s="526" t="str">
        <f>IF(O77&gt;0.8*N77,"PROM. ARITMETICO","PROPORCIONAL RIGIDEZ")</f>
        <v>PROM. ARITMETICO</v>
      </c>
      <c r="Q77" s="526"/>
      <c r="R77" s="34">
        <f>+((1/B5)/(1/B5 +1/B16))</f>
        <v>0.5</v>
      </c>
      <c r="S77" s="34">
        <f>+((1/B16)/(1/B5 +1/B16))</f>
        <v>0.5</v>
      </c>
      <c r="T77" s="53">
        <f>+N77-(R77*(N77-O77))</f>
        <v>1475.1057742065318</v>
      </c>
      <c r="U77" s="54">
        <f>+O77+(S77*(N77-O77))</f>
        <v>1475.1057742065318</v>
      </c>
    </row>
    <row r="78" spans="3:21" x14ac:dyDescent="0.3">
      <c r="C78" s="36" t="s">
        <v>5</v>
      </c>
      <c r="D78" s="35">
        <v>4</v>
      </c>
      <c r="E78" s="39">
        <f t="shared" si="5"/>
        <v>0.61258603736479844</v>
      </c>
      <c r="F78" s="41">
        <f>0.029*L66*F22*F22</f>
        <v>649.07437500000003</v>
      </c>
      <c r="G78" s="37">
        <f>+(F22*F22)*(0.013*L60+0.016*L63)</f>
        <v>305.30812499999996</v>
      </c>
      <c r="H78" s="45">
        <v>0</v>
      </c>
      <c r="I78" s="41">
        <f>0.076*L66*B16*B16</f>
        <v>1701.0224999999998</v>
      </c>
      <c r="J78" s="37">
        <f>+(B16*B16)*(0.043*L60+0.052*L63)</f>
        <v>1005.4518749999999</v>
      </c>
      <c r="K78" s="45">
        <v>0</v>
      </c>
      <c r="N78" s="51">
        <f>+I74</f>
        <v>187.70966063348413</v>
      </c>
      <c r="O78" s="52">
        <f>+I77</f>
        <v>1121.9539080366906</v>
      </c>
      <c r="P78" s="526" t="str">
        <f>IF(O78&gt;0.8*N78,"PROM. ARITMETICO","PROPORCIONAL RIGIDEZ")</f>
        <v>PROM. ARITMETICO</v>
      </c>
      <c r="Q78" s="526"/>
      <c r="R78" s="34">
        <f>+((1/B5)/(1/B5 +1/B16))</f>
        <v>0.5</v>
      </c>
      <c r="S78" s="34">
        <f>+((1/B16)/(1/B16 +1/B5))</f>
        <v>0.5</v>
      </c>
      <c r="T78" s="53">
        <f>+N78-(R78*(N78-O78))</f>
        <v>654.83178433508738</v>
      </c>
      <c r="U78" s="54">
        <f>+O78+(S78*(N78-O78))</f>
        <v>654.83178433508738</v>
      </c>
    </row>
    <row r="79" spans="3:21" x14ac:dyDescent="0.3">
      <c r="C79" s="36" t="s">
        <v>6</v>
      </c>
      <c r="D79" s="35">
        <v>4</v>
      </c>
      <c r="E79" s="39">
        <f t="shared" ref="E79" si="7">+L11</f>
        <v>0.5</v>
      </c>
      <c r="F79" s="41">
        <f>0.029*L67*F23*F23</f>
        <v>0</v>
      </c>
      <c r="G79" s="37">
        <f>+(F23*F23)*(0.013*L61+0.016*L64)</f>
        <v>0</v>
      </c>
      <c r="H79" s="45">
        <v>0</v>
      </c>
      <c r="I79" s="41">
        <f>0.076*L67*B17*B17</f>
        <v>0</v>
      </c>
      <c r="J79" s="37">
        <f>+(B17*B17)*(0.043*L61+0.052*L64)</f>
        <v>0</v>
      </c>
      <c r="K79" s="45">
        <v>0</v>
      </c>
      <c r="N79" s="51">
        <f>+I75</f>
        <v>416.76703446604353</v>
      </c>
      <c r="O79" s="52">
        <f>+I78</f>
        <v>1701.0224999999998</v>
      </c>
      <c r="P79" s="526" t="str">
        <f>IF(O79&gt;0.8*N79,"PROM. ARITMETICO","PROPORCIONAL RIGIDEZ")</f>
        <v>PROM. ARITMETICO</v>
      </c>
      <c r="Q79" s="526"/>
      <c r="R79" s="34">
        <f>+((1/B5)/(1/B5 +1/B16))</f>
        <v>0.5</v>
      </c>
      <c r="S79" s="34">
        <f>+((1/B16)/(1/B16 +1/B5))</f>
        <v>0.5</v>
      </c>
      <c r="T79" s="53">
        <f>+N79-(R79*(N79-O79))</f>
        <v>1058.8947672330216</v>
      </c>
      <c r="U79" s="11"/>
    </row>
    <row r="80" spans="3:21" x14ac:dyDescent="0.3">
      <c r="C80" s="36" t="s">
        <v>524</v>
      </c>
      <c r="D80" s="35">
        <v>4</v>
      </c>
      <c r="E80" s="39">
        <f t="shared" ref="E80" si="8">+L12</f>
        <v>0.53666666666666663</v>
      </c>
      <c r="F80" s="41">
        <f>0.029*L68*F24*F24</f>
        <v>0</v>
      </c>
      <c r="G80" s="37">
        <f>+(F24*F24)*(0.013*L62+0.016*L65)</f>
        <v>0</v>
      </c>
      <c r="H80" s="45">
        <f t="shared" ref="H80" si="9">+G80/3</f>
        <v>0</v>
      </c>
      <c r="I80" s="41">
        <f>0.076*L68*B18*B18</f>
        <v>0</v>
      </c>
      <c r="J80" s="37">
        <f>+(B18*B18)*(0.043*L62+0.052*L65)</f>
        <v>0</v>
      </c>
      <c r="K80" s="45">
        <f t="shared" ref="K80" si="10">+J80/3</f>
        <v>0</v>
      </c>
      <c r="N80" s="51"/>
      <c r="O80" s="52"/>
      <c r="P80" s="526"/>
      <c r="Q80" s="526"/>
      <c r="R80" s="11"/>
      <c r="S80" s="11"/>
      <c r="T80" s="53"/>
      <c r="U80" s="11"/>
    </row>
    <row r="81" spans="2:21" x14ac:dyDescent="0.3">
      <c r="G81" s="62">
        <f>+MAX(G73:G80)</f>
        <v>1121.3899971719457</v>
      </c>
      <c r="J81" s="62">
        <f>+MAX(J73:J80)</f>
        <v>1164.3570175942962</v>
      </c>
      <c r="N81" s="51"/>
      <c r="O81" s="52"/>
      <c r="P81" s="526"/>
      <c r="Q81" s="526"/>
      <c r="R81" s="11"/>
      <c r="S81" s="11"/>
      <c r="T81" s="53"/>
      <c r="U81" s="11"/>
    </row>
    <row r="82" spans="2:21" ht="15" thickBot="1" x14ac:dyDescent="0.35">
      <c r="N82" s="51"/>
      <c r="O82" s="52"/>
      <c r="P82" s="526"/>
      <c r="Q82" s="526"/>
      <c r="R82" s="11"/>
      <c r="S82" s="57"/>
      <c r="T82" s="58"/>
      <c r="U82" s="11"/>
    </row>
    <row r="83" spans="2:21" ht="24" thickBot="1" x14ac:dyDescent="0.5">
      <c r="B83" s="79"/>
      <c r="C83" s="80" t="s">
        <v>50</v>
      </c>
      <c r="G83" s="18" t="s">
        <v>53</v>
      </c>
      <c r="S83" s="59" t="s">
        <v>49</v>
      </c>
      <c r="T83" s="60">
        <f>+MAX(T72:T82)</f>
        <v>1475.1057742065318</v>
      </c>
    </row>
    <row r="84" spans="2:21" x14ac:dyDescent="0.3">
      <c r="C84" s="81" t="s">
        <v>51</v>
      </c>
      <c r="D84" s="82">
        <v>1.2699999999999999E-2</v>
      </c>
      <c r="E84" s="83">
        <v>2</v>
      </c>
      <c r="G84" t="s">
        <v>54</v>
      </c>
      <c r="H84" s="56">
        <f>+T83</f>
        <v>1475.1057742065318</v>
      </c>
      <c r="I84" s="61"/>
      <c r="J84" s="61"/>
      <c r="K84" s="61"/>
    </row>
    <row r="85" spans="2:21" x14ac:dyDescent="0.3">
      <c r="C85" s="84">
        <f>+F28</f>
        <v>0.1</v>
      </c>
      <c r="D85" s="85">
        <f>+G28</f>
        <v>0.05</v>
      </c>
      <c r="E85" s="86">
        <v>280</v>
      </c>
      <c r="G85" t="s">
        <v>55</v>
      </c>
      <c r="H85" s="56">
        <f>MAX(G81,J81)</f>
        <v>1164.3570175942962</v>
      </c>
      <c r="I85" s="61"/>
      <c r="J85" s="61"/>
      <c r="K85" s="61"/>
    </row>
    <row r="86" spans="2:21" x14ac:dyDescent="0.3">
      <c r="C86" s="87">
        <f>+F29</f>
        <v>0.5</v>
      </c>
      <c r="D86" s="88">
        <f>+C87-0.05</f>
        <v>0.2</v>
      </c>
      <c r="E86" s="89">
        <v>4210</v>
      </c>
      <c r="I86" s="61"/>
      <c r="J86" s="61"/>
      <c r="K86" s="61"/>
    </row>
    <row r="87" spans="2:21" x14ac:dyDescent="0.3">
      <c r="C87" s="481">
        <f>+F30</f>
        <v>0.25</v>
      </c>
      <c r="D87" s="90"/>
      <c r="E87" s="90"/>
      <c r="G87" s="18" t="s">
        <v>56</v>
      </c>
      <c r="I87" s="61"/>
      <c r="J87" s="61"/>
      <c r="K87" s="61"/>
    </row>
    <row r="88" spans="2:21" ht="15" thickBot="1" x14ac:dyDescent="0.35">
      <c r="G88" t="s">
        <v>57</v>
      </c>
      <c r="H88" s="56">
        <f>+H84</f>
        <v>1475.1057742065318</v>
      </c>
      <c r="I88" s="63">
        <f>0.85*(E85/E86)*((C85*100*D89*100)-SQRT((C85*100*D89*100)*(C85*100*D89*100)-((H88*C85*100)/(0.003825*E85))))</f>
        <v>1.8805820822733814</v>
      </c>
      <c r="J88" s="61"/>
      <c r="K88" s="61"/>
    </row>
    <row r="89" spans="2:21" ht="15" thickBot="1" x14ac:dyDescent="0.35">
      <c r="B89" s="18" t="s">
        <v>52</v>
      </c>
      <c r="D89" s="69">
        <f>+C87-E84/100-(D84/2)</f>
        <v>0.22365000000000002</v>
      </c>
      <c r="G89" t="s">
        <v>58</v>
      </c>
      <c r="H89" s="56">
        <f>+H85</f>
        <v>1164.3570175942962</v>
      </c>
      <c r="I89" s="63">
        <f>0.85*(E85/E86)*((C86*100*D89*100)-SQRT((C86*100*D89*100)*(C86*100*D89*100)-((H89*C86*100)/(0.003825*E85))))</f>
        <v>1.3892845106119138</v>
      </c>
      <c r="J89" s="61"/>
      <c r="K89" s="61"/>
    </row>
    <row r="90" spans="2:21" ht="15" thickBot="1" x14ac:dyDescent="0.35">
      <c r="I90" s="64">
        <f>+MAX(I88:I89)</f>
        <v>1.8805820822733814</v>
      </c>
      <c r="J90" s="61"/>
      <c r="K90" s="61"/>
    </row>
    <row r="91" spans="2:21" x14ac:dyDescent="0.3">
      <c r="C91" s="18" t="s">
        <v>59</v>
      </c>
      <c r="G91" s="65"/>
    </row>
    <row r="92" spans="2:21" x14ac:dyDescent="0.3">
      <c r="C92" s="550">
        <f>+I90/(C85*100*D89*100)</f>
        <v>8.4085941527984841E-3</v>
      </c>
      <c r="D92" s="550"/>
      <c r="G92" s="68" t="s">
        <v>60</v>
      </c>
    </row>
    <row r="93" spans="2:21" x14ac:dyDescent="0.3">
      <c r="C93" s="551">
        <f>14.1/E86</f>
        <v>3.3491686460807601E-3</v>
      </c>
      <c r="D93" s="551"/>
      <c r="E93" s="67" t="str">
        <f>+IF(C92&lt;C94,"DISEÑAR SIMPLEMENTE REFORZADA", "FALLA NO ES DUCTIL")</f>
        <v>DISEÑAR SIMPLEMENTE REFORZADA</v>
      </c>
      <c r="H93" s="548">
        <f>+I89</f>
        <v>1.3892845106119138</v>
      </c>
      <c r="I93" s="548"/>
    </row>
    <row r="94" spans="2:21" x14ac:dyDescent="0.3">
      <c r="C94" s="581">
        <f>0.85*0.85*(E85/E86)*(6300/(6300+E86))</f>
        <v>2.8803921612941864E-2</v>
      </c>
      <c r="D94" s="581"/>
      <c r="H94" s="549">
        <f>+(H93*E86)/(0.85*E85*C86*100)</f>
        <v>0.49150317560303841</v>
      </c>
      <c r="I94" s="549"/>
    </row>
    <row r="95" spans="2:21" x14ac:dyDescent="0.3">
      <c r="C95" s="582">
        <f>0.75*C94</f>
        <v>2.1602941209706399E-2</v>
      </c>
      <c r="D95" s="582"/>
    </row>
    <row r="96" spans="2:21" x14ac:dyDescent="0.3">
      <c r="C96" s="66"/>
      <c r="D96" s="66"/>
    </row>
    <row r="97" spans="2:13" x14ac:dyDescent="0.3">
      <c r="B97" s="18" t="s">
        <v>61</v>
      </c>
      <c r="G97" s="18" t="s">
        <v>64</v>
      </c>
    </row>
    <row r="98" spans="2:13" x14ac:dyDescent="0.3">
      <c r="G98" s="578">
        <f>+C94*C86*100*D89*100</f>
        <v>32.209985343672244</v>
      </c>
      <c r="H98" s="578"/>
    </row>
    <row r="99" spans="2:13" x14ac:dyDescent="0.3">
      <c r="C99" s="575">
        <f>+C93*C85*100*D89*100</f>
        <v>0.7490415676959622</v>
      </c>
      <c r="D99" s="575"/>
      <c r="E99" s="574" t="s">
        <v>62</v>
      </c>
      <c r="F99" s="574"/>
      <c r="G99" s="579">
        <f>0.5*C94*C86*100*D89*100</f>
        <v>16.104992671836122</v>
      </c>
      <c r="H99" s="579"/>
    </row>
    <row r="100" spans="2:13" x14ac:dyDescent="0.3">
      <c r="C100" s="576">
        <f>0.5*C94*C85*100*D89*100</f>
        <v>3.2209985343672245</v>
      </c>
      <c r="D100" s="576"/>
      <c r="E100" s="577" t="s">
        <v>63</v>
      </c>
      <c r="F100" s="577"/>
      <c r="G100" s="580">
        <f>0.75*C94*C86*100*D89*100</f>
        <v>24.15748900775418</v>
      </c>
      <c r="H100" s="580"/>
    </row>
    <row r="101" spans="2:13" x14ac:dyDescent="0.3">
      <c r="G101" s="572">
        <f>0.4*(14.1/E86)*C86*100*D89*100</f>
        <v>1.4980831353919244</v>
      </c>
      <c r="H101" s="572"/>
    </row>
    <row r="103" spans="2:13" ht="15" thickBot="1" x14ac:dyDescent="0.35">
      <c r="B103" s="18" t="s">
        <v>65</v>
      </c>
    </row>
    <row r="104" spans="2:13" ht="15" thickBot="1" x14ac:dyDescent="0.35">
      <c r="B104" s="573">
        <f>+G101</f>
        <v>1.4980831353919244</v>
      </c>
      <c r="C104" s="574"/>
      <c r="D104" t="s">
        <v>66</v>
      </c>
      <c r="E104" s="93" t="s">
        <v>67</v>
      </c>
      <c r="F104" s="94">
        <v>1.2669999999999999</v>
      </c>
    </row>
    <row r="105" spans="2:13" ht="15" thickBot="1" x14ac:dyDescent="0.35">
      <c r="E105" s="95" t="s">
        <v>68</v>
      </c>
      <c r="F105" s="94">
        <v>1.4259999999999999</v>
      </c>
    </row>
    <row r="106" spans="2:13" ht="15" thickBot="1" x14ac:dyDescent="0.35">
      <c r="E106" s="96" t="s">
        <v>69</v>
      </c>
      <c r="F106" s="97">
        <f>SUM(F104:F105)</f>
        <v>2.6929999999999996</v>
      </c>
    </row>
    <row r="107" spans="2:13" ht="15" thickBot="1" x14ac:dyDescent="0.35"/>
    <row r="108" spans="2:13" ht="15.6" thickTop="1" thickBot="1" x14ac:dyDescent="0.35">
      <c r="B108" s="18" t="s">
        <v>70</v>
      </c>
      <c r="G108" s="554" t="s">
        <v>73</v>
      </c>
      <c r="H108" s="555"/>
      <c r="I108" s="556"/>
      <c r="K108" s="571" t="s">
        <v>79</v>
      </c>
      <c r="L108" s="571"/>
      <c r="M108" s="571"/>
    </row>
    <row r="109" spans="2:13" ht="15" thickBot="1" x14ac:dyDescent="0.35">
      <c r="G109" s="557"/>
      <c r="H109" s="558"/>
      <c r="I109" s="559"/>
      <c r="K109" s="571"/>
      <c r="L109" s="571"/>
      <c r="M109" s="571"/>
    </row>
    <row r="110" spans="2:13" ht="15.6" thickTop="1" thickBot="1" x14ac:dyDescent="0.35">
      <c r="C110" s="18" t="s">
        <v>71</v>
      </c>
      <c r="E110" s="70">
        <f>0.9*1.27*E86*((D89*100)-((1.27*E86)/(1.7*E85*C85*100)))/100</f>
        <v>1022.1590792457985</v>
      </c>
      <c r="G110" s="560" t="str">
        <f>+E100</f>
        <v>1 varilla # 4 = 1.267 cm2</v>
      </c>
      <c r="H110" s="561"/>
      <c r="I110" s="562"/>
      <c r="K110" t="s">
        <v>80</v>
      </c>
    </row>
    <row r="111" spans="2:13" ht="15.6" thickTop="1" thickBot="1" x14ac:dyDescent="0.35">
      <c r="C111" s="18" t="s">
        <v>72</v>
      </c>
      <c r="E111" s="70">
        <f>0.9*F106*E86*((D89*100)-((F106*E86)/(1.7*E85*C86*100)))/100</f>
        <v>2233.4673193899957</v>
      </c>
      <c r="K111" t="s">
        <v>81</v>
      </c>
      <c r="M111" t="s">
        <v>82</v>
      </c>
    </row>
    <row r="112" spans="2:13" ht="15.6" thickTop="1" thickBot="1" x14ac:dyDescent="0.35">
      <c r="K112" s="570">
        <f>0.002*100*D85*100</f>
        <v>1.0000000000000002</v>
      </c>
      <c r="L112" s="570"/>
    </row>
    <row r="113" spans="2:11" ht="15" thickTop="1" x14ac:dyDescent="0.3">
      <c r="B113" s="18" t="s">
        <v>74</v>
      </c>
      <c r="G113" s="72" t="s">
        <v>76</v>
      </c>
      <c r="H113" s="18"/>
      <c r="I113" s="18"/>
    </row>
    <row r="114" spans="2:11" ht="15" thickBot="1" x14ac:dyDescent="0.35">
      <c r="G114" s="553">
        <f>3.5*C85*100*C121/E86</f>
        <v>0.20783847980997625</v>
      </c>
      <c r="H114" s="553"/>
      <c r="I114" s="18"/>
      <c r="K114" s="18" t="s">
        <v>83</v>
      </c>
    </row>
    <row r="115" spans="2:11" ht="16.8" thickTop="1" thickBot="1" x14ac:dyDescent="0.35">
      <c r="C115" s="564">
        <f>0.53*0.85*SQRT(E85)*C85*100*D89*100</f>
        <v>1685.942324558458</v>
      </c>
      <c r="D115" s="564"/>
      <c r="G115" s="563" t="str">
        <f>+IF(C120&gt;G114,"OK", "NO")</f>
        <v>OK</v>
      </c>
      <c r="H115" s="563"/>
      <c r="I115" s="563"/>
      <c r="K115" s="91">
        <f>0.317*100</f>
        <v>31.7</v>
      </c>
    </row>
    <row r="116" spans="2:11" ht="15.6" thickTop="1" thickBot="1" x14ac:dyDescent="0.35">
      <c r="C116" s="565">
        <f>+L48*(B5/2)</f>
        <v>1462.340471810679</v>
      </c>
      <c r="D116" s="565"/>
    </row>
    <row r="117" spans="2:11" ht="15.6" thickTop="1" thickBot="1" x14ac:dyDescent="0.35">
      <c r="C117" s="563" t="str">
        <f>+IF(C116&lt;C115/2, "NO SE REQUIERE REFUERZO A CORTE", "SI SE REQUIERE REFUERZO A CORTE")</f>
        <v>SI SE REQUIERE REFUERZO A CORTE</v>
      </c>
      <c r="D117" s="563"/>
      <c r="E117" s="563"/>
      <c r="G117" s="72" t="s">
        <v>77</v>
      </c>
      <c r="H117" s="72"/>
    </row>
    <row r="118" spans="2:11" ht="15" thickTop="1" x14ac:dyDescent="0.3">
      <c r="G118" s="18" t="s">
        <v>78</v>
      </c>
      <c r="H118" s="18"/>
    </row>
    <row r="119" spans="2:11" x14ac:dyDescent="0.3">
      <c r="B119" s="92" t="s">
        <v>75</v>
      </c>
      <c r="C119" s="92"/>
      <c r="D119" s="92"/>
      <c r="E119" s="92"/>
    </row>
    <row r="120" spans="2:11" ht="15" thickBot="1" x14ac:dyDescent="0.35">
      <c r="C120" s="71">
        <f>2*0.317</f>
        <v>0.63400000000000001</v>
      </c>
      <c r="G120" s="78">
        <f>+C115+C122</f>
        <v>3834.9737041584581</v>
      </c>
    </row>
    <row r="121" spans="2:11" ht="15" thickBot="1" x14ac:dyDescent="0.35">
      <c r="C121" s="98">
        <v>25</v>
      </c>
    </row>
    <row r="122" spans="2:11" ht="15.6" thickTop="1" thickBot="1" x14ac:dyDescent="0.35">
      <c r="C122" s="73">
        <f>0.9*C120*E86*D89*100/C121</f>
        <v>2149.0313796</v>
      </c>
      <c r="D122" s="552" t="str">
        <f>+IF(C122&lt;C123,"SE TIENE UNA BUENA SEPARACION"," NO SE TIENE UNA BUENA SEPARACION")</f>
        <v>SE TIENE UNA BUENA SEPARACION</v>
      </c>
      <c r="E122" s="552"/>
      <c r="G122" s="77" t="str">
        <f>+IF(G120&gt;C116, "SE COLOCAN ESTRIBOS #2 @ 0.25 m", "REVISAR")</f>
        <v>SE COLOCAN ESTRIBOS #2 @ 0.25 m</v>
      </c>
      <c r="H122" s="76"/>
      <c r="I122" s="76"/>
    </row>
    <row r="123" spans="2:11" ht="15" thickBot="1" x14ac:dyDescent="0.35">
      <c r="C123" s="74">
        <f>1.1*SQRT(E85)*C85*100*D89*100</f>
        <v>4116.6183285556126</v>
      </c>
      <c r="D123" s="552" t="str">
        <f>+IF(C122&lt;C124,"SE TIENE UNA BUENA SEPARACION"," NO SE TIENE UNA BUENA SEPARACION")</f>
        <v>SE TIENE UNA BUENA SEPARACION</v>
      </c>
      <c r="E123" s="552"/>
    </row>
    <row r="124" spans="2:11" x14ac:dyDescent="0.3">
      <c r="C124" s="75">
        <f>2.1*SQRT(E85)*C85*100*D89*100</f>
        <v>7858.998627242534</v>
      </c>
    </row>
  </sheetData>
  <mergeCells count="64">
    <mergeCell ref="B5:B15"/>
    <mergeCell ref="B16:B21"/>
    <mergeCell ref="C22:D22"/>
    <mergeCell ref="K112:L112"/>
    <mergeCell ref="K108:M109"/>
    <mergeCell ref="G101:H101"/>
    <mergeCell ref="B104:C104"/>
    <mergeCell ref="C99:D99"/>
    <mergeCell ref="C100:D100"/>
    <mergeCell ref="E99:F99"/>
    <mergeCell ref="E100:F100"/>
    <mergeCell ref="G98:H98"/>
    <mergeCell ref="G99:H99"/>
    <mergeCell ref="G100:H100"/>
    <mergeCell ref="C94:D94"/>
    <mergeCell ref="C95:D95"/>
    <mergeCell ref="D122:E122"/>
    <mergeCell ref="D123:E123"/>
    <mergeCell ref="G114:H114"/>
    <mergeCell ref="G108:I109"/>
    <mergeCell ref="G110:I110"/>
    <mergeCell ref="G115:I115"/>
    <mergeCell ref="C115:D115"/>
    <mergeCell ref="C116:D116"/>
    <mergeCell ref="C117:E117"/>
    <mergeCell ref="H94:I94"/>
    <mergeCell ref="C92:D92"/>
    <mergeCell ref="C93:D93"/>
    <mergeCell ref="P78:Q78"/>
    <mergeCell ref="P79:Q79"/>
    <mergeCell ref="P80:Q80"/>
    <mergeCell ref="P81:Q81"/>
    <mergeCell ref="P82:Q82"/>
    <mergeCell ref="P73:Q73"/>
    <mergeCell ref="P74:Q74"/>
    <mergeCell ref="P75:Q75"/>
    <mergeCell ref="P77:Q77"/>
    <mergeCell ref="H93:I93"/>
    <mergeCell ref="C5:D15"/>
    <mergeCell ref="E5:E15"/>
    <mergeCell ref="F5:F15"/>
    <mergeCell ref="F71:G71"/>
    <mergeCell ref="P72:Q72"/>
    <mergeCell ref="C16:D21"/>
    <mergeCell ref="E16:E21"/>
    <mergeCell ref="F16:F21"/>
    <mergeCell ref="I70:K70"/>
    <mergeCell ref="C70:E71"/>
    <mergeCell ref="C27:E27"/>
    <mergeCell ref="C69:G69"/>
    <mergeCell ref="F70:H70"/>
    <mergeCell ref="I71:J71"/>
    <mergeCell ref="J17:K17"/>
    <mergeCell ref="M5:N5"/>
    <mergeCell ref="G5:G15"/>
    <mergeCell ref="G16:G21"/>
    <mergeCell ref="M11:N11"/>
    <mergeCell ref="M12:N12"/>
    <mergeCell ref="L17:M17"/>
    <mergeCell ref="M6:N6"/>
    <mergeCell ref="M7:N7"/>
    <mergeCell ref="M8:N8"/>
    <mergeCell ref="M9:N9"/>
    <mergeCell ref="M10:N10"/>
  </mergeCells>
  <phoneticPr fontId="80" type="noConversion"/>
  <pageMargins left="0.7" right="0.7" top="0.75" bottom="0.75" header="0.3" footer="0.3"/>
  <pageSetup scale="40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214AB-B1F3-459D-9EA0-244529523331}">
  <dimension ref="A1:C6"/>
  <sheetViews>
    <sheetView workbookViewId="0">
      <selection activeCell="A7" sqref="A7"/>
    </sheetView>
  </sheetViews>
  <sheetFormatPr baseColWidth="10" defaultRowHeight="14.4" x14ac:dyDescent="0.3"/>
  <sheetData>
    <row r="1" spans="1:3" x14ac:dyDescent="0.3">
      <c r="A1">
        <f>11.1/2</f>
        <v>5.55</v>
      </c>
      <c r="B1">
        <v>4.5999999999999996</v>
      </c>
      <c r="C1">
        <f>A1+B1</f>
        <v>10.149999999999999</v>
      </c>
    </row>
    <row r="2" spans="1:3" x14ac:dyDescent="0.3">
      <c r="A2">
        <v>5.6</v>
      </c>
      <c r="B2">
        <v>3.6</v>
      </c>
      <c r="C2">
        <f>A2+B2</f>
        <v>9.1999999999999993</v>
      </c>
    </row>
    <row r="3" spans="1:3" x14ac:dyDescent="0.3">
      <c r="A3">
        <f>11.1/2</f>
        <v>5.55</v>
      </c>
      <c r="B3">
        <v>4.5999999999999996</v>
      </c>
      <c r="C3">
        <f>B3+A3</f>
        <v>10.149999999999999</v>
      </c>
    </row>
    <row r="4" spans="1:3" x14ac:dyDescent="0.3">
      <c r="A4">
        <v>5.6</v>
      </c>
      <c r="B4">
        <v>3.6</v>
      </c>
      <c r="C4">
        <f>A4+B4</f>
        <v>9.1999999999999993</v>
      </c>
    </row>
    <row r="5" spans="1:3" x14ac:dyDescent="0.3">
      <c r="A5">
        <f>10.23/2</f>
        <v>5.1150000000000002</v>
      </c>
    </row>
    <row r="6" spans="1:3" x14ac:dyDescent="0.3">
      <c r="A6">
        <f>10.23-3.6</f>
        <v>6.6300000000000008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H161"/>
  <sheetViews>
    <sheetView topLeftCell="A22" workbookViewId="0">
      <selection activeCell="F46" sqref="F46"/>
    </sheetView>
  </sheetViews>
  <sheetFormatPr baseColWidth="10" defaultRowHeight="14.4" x14ac:dyDescent="0.3"/>
  <cols>
    <col min="3" max="3" width="13.33203125" customWidth="1"/>
    <col min="4" max="4" width="14.44140625" customWidth="1"/>
    <col min="5" max="5" width="18.6640625" customWidth="1"/>
    <col min="6" max="6" width="21.88671875" customWidth="1"/>
    <col min="22" max="22" width="12.5546875" customWidth="1"/>
    <col min="27" max="27" width="13.109375" customWidth="1"/>
  </cols>
  <sheetData>
    <row r="2" spans="2:7" ht="23.4" x14ac:dyDescent="0.45">
      <c r="C2" s="482" t="s">
        <v>84</v>
      </c>
    </row>
    <row r="4" spans="2:7" ht="15" thickBot="1" x14ac:dyDescent="0.35"/>
    <row r="5" spans="2:7" x14ac:dyDescent="0.3">
      <c r="B5" s="566">
        <v>7.5</v>
      </c>
      <c r="C5" s="483"/>
      <c r="D5" s="490" t="s">
        <v>97</v>
      </c>
      <c r="E5" s="474" t="s">
        <v>100</v>
      </c>
      <c r="F5" s="474" t="s">
        <v>96</v>
      </c>
    </row>
    <row r="6" spans="2:7" x14ac:dyDescent="0.3">
      <c r="B6" s="567"/>
      <c r="C6" s="484"/>
      <c r="D6" s="491"/>
      <c r="E6" s="475"/>
      <c r="F6" s="475"/>
    </row>
    <row r="7" spans="2:7" x14ac:dyDescent="0.3">
      <c r="B7" s="567"/>
      <c r="C7" s="484"/>
      <c r="D7" s="491"/>
      <c r="E7" s="475"/>
      <c r="F7" s="475"/>
    </row>
    <row r="8" spans="2:7" x14ac:dyDescent="0.3">
      <c r="B8" s="567"/>
      <c r="C8" s="484"/>
      <c r="D8" s="491"/>
      <c r="E8" s="475"/>
      <c r="F8" s="475"/>
    </row>
    <row r="9" spans="2:7" x14ac:dyDescent="0.3">
      <c r="B9" s="567"/>
      <c r="C9" s="484"/>
      <c r="D9" s="491"/>
      <c r="E9" s="475"/>
      <c r="F9" s="475"/>
    </row>
    <row r="10" spans="2:7" x14ac:dyDescent="0.3">
      <c r="B10" s="567"/>
      <c r="C10" s="486" t="s">
        <v>87</v>
      </c>
      <c r="D10" s="491"/>
      <c r="E10" s="496" t="s">
        <v>88</v>
      </c>
      <c r="F10" s="496" t="s">
        <v>89</v>
      </c>
      <c r="G10" t="s">
        <v>90</v>
      </c>
    </row>
    <row r="11" spans="2:7" x14ac:dyDescent="0.3">
      <c r="B11" s="567"/>
      <c r="C11" s="486"/>
      <c r="D11" s="491"/>
      <c r="E11" s="475"/>
      <c r="F11" s="475"/>
    </row>
    <row r="12" spans="2:7" x14ac:dyDescent="0.3">
      <c r="B12" s="567"/>
      <c r="C12" s="486"/>
      <c r="D12" s="491"/>
      <c r="E12" s="475"/>
      <c r="F12" s="475"/>
    </row>
    <row r="13" spans="2:7" x14ac:dyDescent="0.3">
      <c r="B13" s="567"/>
      <c r="C13" s="486"/>
      <c r="D13" s="491"/>
      <c r="E13" s="475"/>
      <c r="F13" s="475"/>
    </row>
    <row r="14" spans="2:7" x14ac:dyDescent="0.3">
      <c r="B14" s="567"/>
      <c r="C14" s="486"/>
      <c r="D14" s="491"/>
      <c r="E14" s="475"/>
      <c r="F14" s="475"/>
    </row>
    <row r="15" spans="2:7" ht="15" thickBot="1" x14ac:dyDescent="0.35">
      <c r="B15" s="568"/>
      <c r="C15" s="487"/>
      <c r="D15" s="492"/>
      <c r="E15" s="476" t="s">
        <v>85</v>
      </c>
      <c r="F15" s="476" t="s">
        <v>101</v>
      </c>
    </row>
    <row r="16" spans="2:7" x14ac:dyDescent="0.3">
      <c r="B16" s="566">
        <v>7.5</v>
      </c>
      <c r="C16" s="488"/>
      <c r="D16" s="493" t="s">
        <v>98</v>
      </c>
      <c r="E16" s="474"/>
      <c r="F16" s="474"/>
    </row>
    <row r="17" spans="2:19" x14ac:dyDescent="0.3">
      <c r="B17" s="567"/>
      <c r="C17" s="489"/>
      <c r="D17" s="494"/>
      <c r="E17" s="475"/>
      <c r="F17" s="475"/>
    </row>
    <row r="18" spans="2:19" x14ac:dyDescent="0.3">
      <c r="B18" s="567"/>
      <c r="C18" s="489" t="s">
        <v>92</v>
      </c>
      <c r="D18" s="494"/>
      <c r="E18" s="496" t="s">
        <v>93</v>
      </c>
      <c r="F18" s="496" t="s">
        <v>94</v>
      </c>
      <c r="G18" s="485" t="s">
        <v>95</v>
      </c>
    </row>
    <row r="19" spans="2:19" x14ac:dyDescent="0.3">
      <c r="B19" s="567"/>
      <c r="C19" s="489"/>
      <c r="D19" s="494"/>
      <c r="E19" s="475"/>
      <c r="F19" s="475"/>
    </row>
    <row r="20" spans="2:19" x14ac:dyDescent="0.3">
      <c r="B20" s="567"/>
      <c r="C20" s="472"/>
      <c r="D20" s="494"/>
      <c r="E20" s="475"/>
      <c r="F20" s="475"/>
    </row>
    <row r="21" spans="2:19" ht="15" thickBot="1" x14ac:dyDescent="0.35">
      <c r="B21" s="568"/>
      <c r="C21" s="473"/>
      <c r="D21" s="495" t="s">
        <v>99</v>
      </c>
      <c r="E21" s="476" t="s">
        <v>91</v>
      </c>
      <c r="F21" s="476" t="s">
        <v>86</v>
      </c>
    </row>
    <row r="22" spans="2:19" x14ac:dyDescent="0.3">
      <c r="B22" s="457"/>
      <c r="C22" s="569">
        <v>7.5</v>
      </c>
      <c r="D22" s="569"/>
      <c r="E22" s="458">
        <v>7.5</v>
      </c>
      <c r="F22" s="458">
        <v>7.5</v>
      </c>
    </row>
    <row r="25" spans="2:19" ht="16.2" x14ac:dyDescent="0.3">
      <c r="C25" s="105" t="s">
        <v>102</v>
      </c>
      <c r="D25" s="106" t="s">
        <v>103</v>
      </c>
      <c r="M25" s="105"/>
      <c r="N25" s="106"/>
    </row>
    <row r="26" spans="2:19" x14ac:dyDescent="0.3">
      <c r="C26" s="107" t="s">
        <v>104</v>
      </c>
      <c r="D26" s="108">
        <f>+'LOSA NERVURADA'!N58</f>
        <v>647</v>
      </c>
      <c r="M26" s="107"/>
      <c r="N26" s="108"/>
    </row>
    <row r="27" spans="2:19" x14ac:dyDescent="0.3">
      <c r="C27" s="109"/>
      <c r="D27" s="110"/>
      <c r="J27" s="583" t="s">
        <v>105</v>
      </c>
      <c r="K27" s="583"/>
      <c r="L27" s="583"/>
    </row>
    <row r="28" spans="2:19" ht="15" thickBot="1" x14ac:dyDescent="0.35">
      <c r="C28" t="s">
        <v>106</v>
      </c>
      <c r="J28" s="584"/>
      <c r="K28" s="584"/>
      <c r="L28" s="584"/>
    </row>
    <row r="29" spans="2:19" ht="54.6" thickBot="1" x14ac:dyDescent="0.35">
      <c r="C29" s="497" t="s">
        <v>107</v>
      </c>
      <c r="D29" s="498" t="s">
        <v>108</v>
      </c>
      <c r="E29" s="498" t="s">
        <v>109</v>
      </c>
      <c r="F29" s="499" t="s">
        <v>110</v>
      </c>
      <c r="G29" s="498" t="s">
        <v>111</v>
      </c>
      <c r="H29" s="498" t="s">
        <v>112</v>
      </c>
      <c r="I29" s="498" t="s">
        <v>113</v>
      </c>
      <c r="J29" s="500" t="s">
        <v>112</v>
      </c>
      <c r="L29" s="111"/>
      <c r="M29" s="112"/>
      <c r="N29" s="112"/>
      <c r="O29" s="113"/>
      <c r="P29" s="112"/>
      <c r="Q29" s="112"/>
      <c r="R29" s="112"/>
      <c r="S29" s="112"/>
    </row>
    <row r="30" spans="2:19" x14ac:dyDescent="0.3">
      <c r="C30" s="114">
        <v>1</v>
      </c>
      <c r="D30" s="115">
        <v>15.06</v>
      </c>
      <c r="E30" s="116">
        <f>D26</f>
        <v>647</v>
      </c>
      <c r="F30" s="117">
        <f>+B5</f>
        <v>7.5</v>
      </c>
      <c r="G30" s="118">
        <f t="shared" ref="G30:G41" si="0">(D30*E30)/F30</f>
        <v>1299.1759999999999</v>
      </c>
      <c r="H30" s="118">
        <f>(G30*(F30^2))/12</f>
        <v>6089.8874999999998</v>
      </c>
      <c r="I30" s="118">
        <f t="shared" ref="I30:I41" si="1">(G30*F30^2)/24</f>
        <v>3044.9437499999999</v>
      </c>
      <c r="J30" s="119">
        <f>H30</f>
        <v>6089.8874999999998</v>
      </c>
      <c r="L30" s="120"/>
      <c r="M30" s="101"/>
      <c r="N30" s="121"/>
      <c r="O30" s="122"/>
      <c r="P30" s="123"/>
      <c r="Q30" s="123"/>
      <c r="R30" s="123"/>
      <c r="S30" s="123"/>
    </row>
    <row r="31" spans="2:19" x14ac:dyDescent="0.3">
      <c r="C31" s="124">
        <v>2</v>
      </c>
      <c r="D31" s="11">
        <v>28.3</v>
      </c>
      <c r="E31" s="125">
        <f t="shared" ref="E31:E46" si="2">E30</f>
        <v>647</v>
      </c>
      <c r="F31" s="126">
        <f>+B5</f>
        <v>7.5</v>
      </c>
      <c r="G31" s="34">
        <f t="shared" si="0"/>
        <v>2441.3466666666668</v>
      </c>
      <c r="H31" s="34">
        <f t="shared" ref="H31:H41" si="3">(G31*(F31^2))/12</f>
        <v>11443.8125</v>
      </c>
      <c r="I31" s="34">
        <f t="shared" si="1"/>
        <v>5721.90625</v>
      </c>
      <c r="J31" s="127">
        <f t="shared" ref="J31:J41" si="4">H31</f>
        <v>11443.8125</v>
      </c>
      <c r="L31" s="120"/>
      <c r="M31" s="101"/>
      <c r="N31" s="121"/>
      <c r="O31" s="122"/>
      <c r="P31" s="123"/>
      <c r="Q31" s="123"/>
      <c r="R31" s="123"/>
      <c r="S31" s="123"/>
    </row>
    <row r="32" spans="2:19" x14ac:dyDescent="0.3">
      <c r="C32" s="124">
        <v>3</v>
      </c>
      <c r="D32" s="11">
        <v>29.8</v>
      </c>
      <c r="E32" s="125">
        <f t="shared" si="2"/>
        <v>647</v>
      </c>
      <c r="F32" s="126">
        <f>+B5</f>
        <v>7.5</v>
      </c>
      <c r="G32" s="34">
        <f t="shared" si="0"/>
        <v>2570.7466666666669</v>
      </c>
      <c r="H32" s="34">
        <f t="shared" si="3"/>
        <v>12050.375</v>
      </c>
      <c r="I32" s="34">
        <f t="shared" si="1"/>
        <v>6025.1875</v>
      </c>
      <c r="J32" s="127">
        <f t="shared" si="4"/>
        <v>12050.375</v>
      </c>
      <c r="L32" s="120"/>
      <c r="M32" s="101"/>
      <c r="N32" s="121"/>
      <c r="O32" s="122"/>
      <c r="P32" s="123"/>
      <c r="Q32" s="123"/>
      <c r="R32" s="123"/>
      <c r="S32" s="123"/>
    </row>
    <row r="33" spans="3:19" x14ac:dyDescent="0.3">
      <c r="C33" s="124">
        <v>4</v>
      </c>
      <c r="D33" s="11">
        <v>13.7</v>
      </c>
      <c r="E33" s="125">
        <f t="shared" si="2"/>
        <v>647</v>
      </c>
      <c r="F33" s="126">
        <f>+B5</f>
        <v>7.5</v>
      </c>
      <c r="G33" s="34">
        <f t="shared" si="0"/>
        <v>1181.8533333333332</v>
      </c>
      <c r="H33" s="34">
        <f t="shared" si="3"/>
        <v>5539.9375</v>
      </c>
      <c r="I33" s="34">
        <f t="shared" si="1"/>
        <v>2769.96875</v>
      </c>
      <c r="J33" s="127">
        <f t="shared" si="4"/>
        <v>5539.9375</v>
      </c>
      <c r="L33" s="120"/>
      <c r="M33" s="101"/>
      <c r="N33" s="121"/>
      <c r="O33" s="122"/>
      <c r="P33" s="123"/>
      <c r="Q33" s="123"/>
      <c r="R33" s="123"/>
      <c r="S33" s="123"/>
    </row>
    <row r="34" spans="3:19" x14ac:dyDescent="0.3">
      <c r="C34" s="124">
        <v>5</v>
      </c>
      <c r="D34" s="11">
        <v>4.2</v>
      </c>
      <c r="E34" s="125">
        <f t="shared" si="2"/>
        <v>647</v>
      </c>
      <c r="F34" s="126">
        <f>+B16</f>
        <v>7.5</v>
      </c>
      <c r="G34" s="34">
        <f t="shared" si="0"/>
        <v>362.32</v>
      </c>
      <c r="H34" s="34">
        <f t="shared" si="3"/>
        <v>1698.375</v>
      </c>
      <c r="I34" s="34">
        <f t="shared" si="1"/>
        <v>849.1875</v>
      </c>
      <c r="J34" s="127">
        <f t="shared" si="4"/>
        <v>1698.375</v>
      </c>
      <c r="L34" s="120"/>
      <c r="M34" s="101"/>
      <c r="N34" s="121"/>
      <c r="O34" s="122"/>
      <c r="P34" s="123"/>
      <c r="Q34" s="123"/>
      <c r="R34" s="123"/>
      <c r="S34" s="123"/>
    </row>
    <row r="35" spans="3:19" x14ac:dyDescent="0.3">
      <c r="C35" s="124">
        <v>6</v>
      </c>
      <c r="D35" s="11">
        <v>8.4</v>
      </c>
      <c r="E35" s="125">
        <f t="shared" si="2"/>
        <v>647</v>
      </c>
      <c r="F35" s="126">
        <f>+B16</f>
        <v>7.5</v>
      </c>
      <c r="G35" s="34">
        <f t="shared" si="0"/>
        <v>724.64</v>
      </c>
      <c r="H35" s="34">
        <f t="shared" si="3"/>
        <v>3396.75</v>
      </c>
      <c r="I35" s="34">
        <f t="shared" si="1"/>
        <v>1698.375</v>
      </c>
      <c r="J35" s="127">
        <f t="shared" si="4"/>
        <v>3396.75</v>
      </c>
      <c r="L35" s="120"/>
      <c r="M35" s="101"/>
      <c r="N35" s="121"/>
      <c r="O35" s="122"/>
      <c r="P35" s="123"/>
      <c r="Q35" s="123"/>
      <c r="R35" s="123"/>
      <c r="S35" s="123"/>
    </row>
    <row r="36" spans="3:19" x14ac:dyDescent="0.3">
      <c r="C36" s="124">
        <v>7</v>
      </c>
      <c r="D36" s="11">
        <v>8.5</v>
      </c>
      <c r="E36" s="125">
        <f t="shared" si="2"/>
        <v>647</v>
      </c>
      <c r="F36" s="126">
        <f>+B16</f>
        <v>7.5</v>
      </c>
      <c r="G36" s="34">
        <f t="shared" si="0"/>
        <v>733.26666666666665</v>
      </c>
      <c r="H36" s="34">
        <f t="shared" si="3"/>
        <v>3437.1875</v>
      </c>
      <c r="I36" s="34">
        <f t="shared" si="1"/>
        <v>1718.59375</v>
      </c>
      <c r="J36" s="127">
        <f t="shared" si="4"/>
        <v>3437.1875</v>
      </c>
      <c r="L36" s="120"/>
      <c r="M36" s="101"/>
      <c r="N36" s="121"/>
      <c r="O36" s="122"/>
      <c r="P36" s="123"/>
      <c r="Q36" s="123"/>
      <c r="R36" s="123"/>
      <c r="S36" s="123"/>
    </row>
    <row r="37" spans="3:19" x14ac:dyDescent="0.3">
      <c r="C37" s="124">
        <v>8</v>
      </c>
      <c r="D37" s="11">
        <v>4.3</v>
      </c>
      <c r="E37" s="125">
        <f t="shared" si="2"/>
        <v>647</v>
      </c>
      <c r="F37" s="126">
        <f>+B16</f>
        <v>7.5</v>
      </c>
      <c r="G37" s="34">
        <f t="shared" si="0"/>
        <v>370.94666666666666</v>
      </c>
      <c r="H37" s="34">
        <f t="shared" si="3"/>
        <v>1738.8125</v>
      </c>
      <c r="I37" s="34">
        <f t="shared" si="1"/>
        <v>869.40625</v>
      </c>
      <c r="J37" s="127">
        <f t="shared" si="4"/>
        <v>1738.8125</v>
      </c>
      <c r="L37" s="120"/>
      <c r="M37" s="101"/>
      <c r="N37" s="121"/>
      <c r="O37" s="122"/>
      <c r="P37" s="123"/>
      <c r="Q37" s="123"/>
      <c r="R37" s="123"/>
      <c r="S37" s="123"/>
    </row>
    <row r="38" spans="3:19" x14ac:dyDescent="0.3">
      <c r="C38" s="124">
        <v>9</v>
      </c>
      <c r="D38" s="11">
        <v>12.7</v>
      </c>
      <c r="E38" s="125">
        <f t="shared" si="2"/>
        <v>647</v>
      </c>
      <c r="F38" s="128">
        <f>+C22</f>
        <v>7.5</v>
      </c>
      <c r="G38" s="34">
        <f t="shared" si="0"/>
        <v>1095.5866666666666</v>
      </c>
      <c r="H38" s="34">
        <f t="shared" si="3"/>
        <v>5135.5624999999991</v>
      </c>
      <c r="I38" s="34">
        <f t="shared" si="1"/>
        <v>2567.7812499999995</v>
      </c>
      <c r="J38" s="127">
        <f t="shared" si="4"/>
        <v>5135.5624999999991</v>
      </c>
      <c r="L38" s="120"/>
      <c r="M38" s="101"/>
      <c r="N38" s="121"/>
      <c r="O38" s="129"/>
      <c r="P38" s="123"/>
      <c r="Q38" s="123"/>
      <c r="R38" s="123"/>
      <c r="S38" s="123"/>
    </row>
    <row r="39" spans="3:19" x14ac:dyDescent="0.3">
      <c r="C39" s="124">
        <v>10</v>
      </c>
      <c r="D39" s="11">
        <v>22.7</v>
      </c>
      <c r="E39" s="125">
        <f t="shared" si="2"/>
        <v>647</v>
      </c>
      <c r="F39" s="128">
        <f>+C22</f>
        <v>7.5</v>
      </c>
      <c r="G39" s="34">
        <f t="shared" si="0"/>
        <v>1958.2533333333333</v>
      </c>
      <c r="H39" s="34">
        <f t="shared" si="3"/>
        <v>9179.3125</v>
      </c>
      <c r="I39" s="34">
        <f t="shared" si="1"/>
        <v>4589.65625</v>
      </c>
      <c r="J39" s="127">
        <f t="shared" si="4"/>
        <v>9179.3125</v>
      </c>
      <c r="L39" s="120"/>
      <c r="M39" s="101"/>
      <c r="N39" s="121"/>
      <c r="O39" s="129"/>
      <c r="P39" s="123"/>
      <c r="Q39" s="123"/>
      <c r="R39" s="123"/>
      <c r="S39" s="123"/>
    </row>
    <row r="40" spans="3:19" x14ac:dyDescent="0.3">
      <c r="C40" s="124">
        <v>11</v>
      </c>
      <c r="D40" s="11">
        <v>7.25</v>
      </c>
      <c r="E40" s="125">
        <f t="shared" si="2"/>
        <v>647</v>
      </c>
      <c r="F40" s="128">
        <f>+C22</f>
        <v>7.5</v>
      </c>
      <c r="G40" s="34">
        <f t="shared" si="0"/>
        <v>625.43333333333328</v>
      </c>
      <c r="H40" s="34">
        <f t="shared" si="3"/>
        <v>2931.71875</v>
      </c>
      <c r="I40" s="34">
        <f t="shared" si="1"/>
        <v>1465.859375</v>
      </c>
      <c r="J40" s="127">
        <f t="shared" si="4"/>
        <v>2931.71875</v>
      </c>
      <c r="L40" s="120"/>
      <c r="M40" s="101"/>
      <c r="N40" s="121"/>
      <c r="O40" s="129"/>
      <c r="P40" s="123"/>
      <c r="Q40" s="123"/>
      <c r="R40" s="123"/>
      <c r="S40" s="123"/>
    </row>
    <row r="41" spans="3:19" x14ac:dyDescent="0.3">
      <c r="C41" s="124">
        <v>12</v>
      </c>
      <c r="D41" s="11">
        <v>6.2</v>
      </c>
      <c r="E41" s="125">
        <f t="shared" si="2"/>
        <v>647</v>
      </c>
      <c r="F41" s="128">
        <f>+E22</f>
        <v>7.5</v>
      </c>
      <c r="G41" s="34">
        <f t="shared" si="0"/>
        <v>534.85333333333335</v>
      </c>
      <c r="H41" s="34">
        <f t="shared" si="3"/>
        <v>2507.125</v>
      </c>
      <c r="I41" s="34">
        <f t="shared" si="1"/>
        <v>1253.5625</v>
      </c>
      <c r="J41" s="127">
        <f t="shared" si="4"/>
        <v>2507.125</v>
      </c>
      <c r="L41" s="120"/>
      <c r="M41" s="101"/>
      <c r="N41" s="121"/>
      <c r="O41" s="129"/>
      <c r="P41" s="123"/>
      <c r="Q41" s="123"/>
      <c r="R41" s="123"/>
      <c r="S41" s="123"/>
    </row>
    <row r="42" spans="3:19" x14ac:dyDescent="0.3">
      <c r="C42" s="124">
        <v>13</v>
      </c>
      <c r="D42" s="11">
        <v>12.15</v>
      </c>
      <c r="E42" s="125">
        <f t="shared" si="2"/>
        <v>647</v>
      </c>
      <c r="F42" s="128">
        <f>+E22</f>
        <v>7.5</v>
      </c>
      <c r="G42" s="34">
        <f>(D42*E42)/F42</f>
        <v>1048.1400000000001</v>
      </c>
      <c r="H42" s="34">
        <f>(G42*(F42^2))/12</f>
        <v>4913.1562500000009</v>
      </c>
      <c r="I42" s="34">
        <f>(G42*F42^2)/24</f>
        <v>2456.5781250000005</v>
      </c>
      <c r="J42" s="127">
        <f>H42</f>
        <v>4913.1562500000009</v>
      </c>
      <c r="L42" s="120"/>
      <c r="M42" s="101"/>
      <c r="N42" s="121"/>
      <c r="O42" s="129"/>
      <c r="P42" s="123"/>
      <c r="Q42" s="123"/>
      <c r="R42" s="123"/>
      <c r="S42" s="123"/>
    </row>
    <row r="43" spans="3:19" x14ac:dyDescent="0.3">
      <c r="C43" s="124">
        <v>14</v>
      </c>
      <c r="D43" s="11">
        <v>6</v>
      </c>
      <c r="E43" s="125">
        <f t="shared" si="2"/>
        <v>647</v>
      </c>
      <c r="F43" s="128">
        <f>+E22</f>
        <v>7.5</v>
      </c>
      <c r="G43" s="34">
        <f>(D43*E43)/F43</f>
        <v>517.6</v>
      </c>
      <c r="H43" s="34">
        <f>(G43*(F43^2))/12</f>
        <v>2426.25</v>
      </c>
      <c r="I43" s="34">
        <f>(G43*F43^2)/24</f>
        <v>1213.125</v>
      </c>
      <c r="J43" s="127">
        <f>H43</f>
        <v>2426.25</v>
      </c>
      <c r="L43" s="120"/>
      <c r="M43" s="101"/>
      <c r="N43" s="121"/>
      <c r="O43" s="129"/>
      <c r="P43" s="123"/>
      <c r="Q43" s="123"/>
      <c r="R43" s="123"/>
      <c r="S43" s="123"/>
    </row>
    <row r="44" spans="3:19" x14ac:dyDescent="0.3">
      <c r="C44" s="124">
        <v>15</v>
      </c>
      <c r="D44" s="11">
        <v>7</v>
      </c>
      <c r="E44" s="125">
        <f t="shared" si="2"/>
        <v>647</v>
      </c>
      <c r="F44" s="128">
        <f>+F22</f>
        <v>7.5</v>
      </c>
      <c r="G44" s="34">
        <f>(D44*E44)/F44</f>
        <v>603.86666666666667</v>
      </c>
      <c r="H44" s="34">
        <f>(G44*(F44^2))/12</f>
        <v>2830.625</v>
      </c>
      <c r="I44" s="34">
        <f>(G44*F44^2)/24</f>
        <v>1415.3125</v>
      </c>
      <c r="J44" s="127">
        <f>H44</f>
        <v>2830.625</v>
      </c>
      <c r="L44" s="120"/>
      <c r="M44" s="101"/>
      <c r="N44" s="121"/>
      <c r="O44" s="129"/>
      <c r="P44" s="123"/>
      <c r="Q44" s="123"/>
      <c r="R44" s="123"/>
      <c r="S44" s="123"/>
    </row>
    <row r="45" spans="3:19" x14ac:dyDescent="0.3">
      <c r="C45" s="124">
        <v>16</v>
      </c>
      <c r="D45" s="11">
        <v>13.6</v>
      </c>
      <c r="E45" s="125">
        <f t="shared" si="2"/>
        <v>647</v>
      </c>
      <c r="F45" s="128">
        <f>+F22</f>
        <v>7.5</v>
      </c>
      <c r="G45" s="34">
        <f>(D45*E45)/F45</f>
        <v>1173.2266666666665</v>
      </c>
      <c r="H45" s="34">
        <f>(G45*(F45^2))/12</f>
        <v>5499.4999999999991</v>
      </c>
      <c r="I45" s="34">
        <f>(G45*F45^2)/24</f>
        <v>2749.7499999999995</v>
      </c>
      <c r="J45" s="127">
        <f>H45</f>
        <v>5499.4999999999991</v>
      </c>
      <c r="L45" s="120"/>
      <c r="M45" s="101"/>
      <c r="N45" s="121"/>
      <c r="O45" s="129"/>
      <c r="P45" s="123"/>
      <c r="Q45" s="123"/>
      <c r="R45" s="123"/>
      <c r="S45" s="123"/>
    </row>
    <row r="46" spans="3:19" ht="15" thickBot="1" x14ac:dyDescent="0.35">
      <c r="C46" s="130">
        <v>17</v>
      </c>
      <c r="D46" s="131">
        <v>6.7</v>
      </c>
      <c r="E46" s="132">
        <f t="shared" si="2"/>
        <v>647</v>
      </c>
      <c r="F46" s="133">
        <f>+F22</f>
        <v>7.5</v>
      </c>
      <c r="G46" s="134">
        <f>(D46*E46)/F46</f>
        <v>577.98666666666679</v>
      </c>
      <c r="H46" s="134">
        <f>(G46*(F46^2))/12</f>
        <v>2709.3125000000005</v>
      </c>
      <c r="I46" s="134">
        <f>(G46*F46^2)/24</f>
        <v>1354.6562500000002</v>
      </c>
      <c r="J46" s="135">
        <f>H46</f>
        <v>2709.3125000000005</v>
      </c>
      <c r="L46" s="120"/>
      <c r="M46" s="101"/>
      <c r="N46" s="121"/>
      <c r="O46" s="129"/>
      <c r="P46" s="123"/>
      <c r="Q46" s="123"/>
      <c r="R46" s="123"/>
      <c r="S46" s="123"/>
    </row>
    <row r="47" spans="3:19" x14ac:dyDescent="0.3">
      <c r="C47" s="120"/>
      <c r="D47" s="136"/>
      <c r="E47" s="137"/>
      <c r="F47" s="101"/>
      <c r="G47" s="121"/>
      <c r="H47" s="101"/>
      <c r="I47" s="123"/>
      <c r="J47" s="123"/>
      <c r="K47" s="123"/>
      <c r="L47" s="123"/>
    </row>
    <row r="48" spans="3:19" x14ac:dyDescent="0.3">
      <c r="C48" s="120"/>
      <c r="D48" s="136"/>
      <c r="E48" s="137"/>
      <c r="F48" s="101"/>
      <c r="G48" s="121"/>
      <c r="H48" s="101"/>
      <c r="I48" s="123"/>
      <c r="J48" s="123"/>
      <c r="K48" s="123"/>
      <c r="L48" s="123"/>
    </row>
    <row r="50" spans="3:34" x14ac:dyDescent="0.3">
      <c r="C50">
        <v>3000</v>
      </c>
      <c r="D50" t="s">
        <v>114</v>
      </c>
      <c r="E50" s="139" t="s">
        <v>115</v>
      </c>
      <c r="F50" s="140">
        <f>15100*SQRT(C51)</f>
        <v>218819.78886746051</v>
      </c>
      <c r="G50" s="141" t="s">
        <v>116</v>
      </c>
      <c r="H50" s="139" t="s">
        <v>117</v>
      </c>
      <c r="I50" s="142">
        <f>((H53*H53*H53)*I55)/12</f>
        <v>2636718.75</v>
      </c>
      <c r="J50" s="141" t="s">
        <v>118</v>
      </c>
      <c r="K50" s="139" t="s">
        <v>119</v>
      </c>
      <c r="L50" s="142">
        <f>((K53*K53*K53)*L55)/12</f>
        <v>720000</v>
      </c>
      <c r="M50" s="141" t="s">
        <v>118</v>
      </c>
      <c r="X50" s="139" t="s">
        <v>115</v>
      </c>
      <c r="Y50" s="140">
        <f>15100*SQRT(C51)</f>
        <v>218819.78886746051</v>
      </c>
      <c r="Z50" s="141" t="s">
        <v>116</v>
      </c>
      <c r="AA50" s="139" t="s">
        <v>117</v>
      </c>
      <c r="AB50" s="142">
        <f>((AB55*AB55*AB55)*AA53)/12</f>
        <v>213333.33333333334</v>
      </c>
      <c r="AC50" s="141" t="s">
        <v>118</v>
      </c>
      <c r="AD50" s="139" t="s">
        <v>119</v>
      </c>
      <c r="AE50" s="142">
        <f>((AD53*AD53*AD53)*AE55)/12</f>
        <v>45000</v>
      </c>
      <c r="AF50" s="141" t="s">
        <v>118</v>
      </c>
    </row>
    <row r="51" spans="3:34" x14ac:dyDescent="0.3">
      <c r="C51">
        <v>210</v>
      </c>
      <c r="D51" t="s">
        <v>116</v>
      </c>
    </row>
    <row r="53" spans="3:34" x14ac:dyDescent="0.3">
      <c r="H53" s="478">
        <v>75</v>
      </c>
      <c r="K53" s="478">
        <v>60</v>
      </c>
      <c r="AA53" s="478">
        <v>40</v>
      </c>
      <c r="AD53" s="478">
        <v>30</v>
      </c>
    </row>
    <row r="54" spans="3:34" x14ac:dyDescent="0.3">
      <c r="H54" s="478" t="s">
        <v>120</v>
      </c>
      <c r="K54" s="478" t="s">
        <v>120</v>
      </c>
      <c r="AA54" s="478" t="s">
        <v>120</v>
      </c>
      <c r="AD54" s="478" t="s">
        <v>120</v>
      </c>
    </row>
    <row r="55" spans="3:34" x14ac:dyDescent="0.3">
      <c r="I55" s="478">
        <v>75</v>
      </c>
      <c r="L55" s="478">
        <v>40</v>
      </c>
      <c r="AB55" s="478">
        <v>40</v>
      </c>
      <c r="AE55" s="478">
        <v>20</v>
      </c>
    </row>
    <row r="56" spans="3:34" x14ac:dyDescent="0.3">
      <c r="I56" s="478" t="s">
        <v>120</v>
      </c>
      <c r="L56" s="478" t="s">
        <v>120</v>
      </c>
      <c r="AB56" s="478" t="s">
        <v>120</v>
      </c>
      <c r="AE56" s="478" t="s">
        <v>120</v>
      </c>
    </row>
    <row r="57" spans="3:34" x14ac:dyDescent="0.3">
      <c r="I57" s="478"/>
      <c r="L57" s="478"/>
    </row>
    <row r="58" spans="3:34" ht="18" x14ac:dyDescent="0.35">
      <c r="C58" s="144" t="s">
        <v>511</v>
      </c>
      <c r="D58" s="145"/>
      <c r="E58" s="145"/>
      <c r="F58" s="145"/>
      <c r="G58" s="145"/>
      <c r="H58" s="146"/>
      <c r="I58" s="145"/>
      <c r="J58" s="145"/>
      <c r="K58" s="145"/>
      <c r="L58" s="145"/>
      <c r="M58" s="146"/>
      <c r="N58" s="145"/>
      <c r="O58" s="145"/>
      <c r="P58" s="145"/>
      <c r="Q58" s="145"/>
      <c r="R58" s="145"/>
      <c r="V58" s="144" t="s">
        <v>512</v>
      </c>
      <c r="W58" s="145"/>
      <c r="X58" s="145"/>
      <c r="Y58" s="145"/>
      <c r="Z58" s="145"/>
      <c r="AA58" s="146"/>
      <c r="AB58" s="145"/>
      <c r="AC58" s="145"/>
      <c r="AD58" s="145"/>
      <c r="AE58" s="145"/>
      <c r="AF58" s="146"/>
      <c r="AG58" s="145"/>
      <c r="AH58" s="145"/>
    </row>
    <row r="59" spans="3:34" x14ac:dyDescent="0.3">
      <c r="C59" s="478"/>
      <c r="D59" s="146"/>
      <c r="E59" s="147"/>
      <c r="F59" s="148"/>
      <c r="G59" s="147"/>
      <c r="H59" s="149"/>
      <c r="I59" s="150"/>
      <c r="J59" s="147"/>
      <c r="K59" s="148"/>
      <c r="L59" s="147"/>
      <c r="M59" s="149"/>
      <c r="N59" s="150"/>
      <c r="O59" s="147"/>
      <c r="P59" s="148"/>
      <c r="Q59" s="147"/>
      <c r="R59" s="150"/>
      <c r="S59" s="478"/>
      <c r="T59" s="478"/>
      <c r="U59" s="478"/>
      <c r="V59" s="478"/>
      <c r="W59" s="146"/>
      <c r="X59" s="147"/>
      <c r="Y59" s="148"/>
      <c r="Z59" s="147"/>
      <c r="AA59" s="149"/>
      <c r="AB59" s="150"/>
      <c r="AC59" s="147"/>
      <c r="AD59" s="148"/>
      <c r="AE59" s="147"/>
      <c r="AF59" s="149"/>
      <c r="AG59" s="150"/>
      <c r="AH59" s="147"/>
    </row>
    <row r="60" spans="3:34" x14ac:dyDescent="0.3">
      <c r="C60" s="478"/>
      <c r="D60" s="151">
        <f>+SUM(D61:D66)</f>
        <v>-4572.1721649248175</v>
      </c>
      <c r="E60" s="152">
        <f>+ABS(D60)</f>
        <v>4572.1721649248175</v>
      </c>
      <c r="F60" s="148"/>
      <c r="G60" s="152">
        <f>+ABS(H60)</f>
        <v>5132.8689161125521</v>
      </c>
      <c r="H60" s="151">
        <f>+SUM(H61:H66)</f>
        <v>5132.8689161125521</v>
      </c>
      <c r="I60" s="151">
        <f>+SUM(I61:I66)</f>
        <v>-2840.4536490922819</v>
      </c>
      <c r="J60" s="152">
        <f>+ABS(I60)</f>
        <v>2840.4536490922819</v>
      </c>
      <c r="K60" s="148"/>
      <c r="L60" s="152">
        <f>+ABS(M60)</f>
        <v>2409.0097205521834</v>
      </c>
      <c r="M60" s="151">
        <f>+SUM(M61:M66)</f>
        <v>2409.0097205521834</v>
      </c>
      <c r="N60" s="151">
        <f>+SUM(N61:N66)</f>
        <v>-2973.7402289736515</v>
      </c>
      <c r="O60" s="152">
        <f>+ABS(N60)</f>
        <v>2973.7402289736515</v>
      </c>
      <c r="P60" s="148"/>
      <c r="Q60" s="152">
        <f>+ABS(R60)</f>
        <v>2455.5364735486146</v>
      </c>
      <c r="R60" s="151">
        <f>+SUM(R61:R66)</f>
        <v>2455.5364735486146</v>
      </c>
      <c r="S60" s="478"/>
      <c r="T60" s="478"/>
      <c r="U60" s="478"/>
      <c r="V60" s="478"/>
      <c r="W60" s="151">
        <f>+SUM(W61:W66)</f>
        <v>-5613.6347839592863</v>
      </c>
      <c r="X60" s="152">
        <f>+ABS(W60)</f>
        <v>5613.6347839592863</v>
      </c>
      <c r="Y60" s="148"/>
      <c r="Z60" s="152">
        <f>+ABS(AA60)</f>
        <v>5973.4634593571036</v>
      </c>
      <c r="AA60" s="151">
        <f>+SUM(AA61:AA66)</f>
        <v>5973.4634593571036</v>
      </c>
      <c r="AB60" s="151">
        <f>+SUM(AB61:AB66)</f>
        <v>-2252.2811921685548</v>
      </c>
      <c r="AC60" s="152">
        <f>+ABS(AB60)</f>
        <v>2252.2811921685548</v>
      </c>
      <c r="AD60" s="148"/>
      <c r="AE60" s="152">
        <f>+ABS(AF60)</f>
        <v>1299.6634129893957</v>
      </c>
      <c r="AF60" s="151">
        <f>+SUM(AF61:AF66)</f>
        <v>1299.6634129893957</v>
      </c>
      <c r="AG60" s="478"/>
      <c r="AH60" s="148"/>
    </row>
    <row r="61" spans="3:34" x14ac:dyDescent="0.3">
      <c r="C61" s="478"/>
      <c r="D61" s="153">
        <f>+-(D62+C73)*D67</f>
        <v>3.3132205789745872</v>
      </c>
      <c r="E61" s="154"/>
      <c r="F61" s="155"/>
      <c r="G61" s="154"/>
      <c r="H61" s="153">
        <f>+-(H62+I62+H73)*H67</f>
        <v>-4.1606124964001081</v>
      </c>
      <c r="I61" s="153">
        <f>+-(H62+I62+H73)*I67</f>
        <v>-4.1606124964001081</v>
      </c>
      <c r="J61" s="154"/>
      <c r="K61" s="155"/>
      <c r="L61" s="154"/>
      <c r="M61" s="153">
        <f>+-(M62+N62+M73)*M67</f>
        <v>3.077736465646066</v>
      </c>
      <c r="N61" s="153">
        <f>+-(M62+N62+M73)*N67</f>
        <v>3.077736465646066</v>
      </c>
      <c r="O61" s="154"/>
      <c r="P61" s="155"/>
      <c r="Q61" s="154"/>
      <c r="R61" s="153">
        <f>+-(R62+S73)*R67</f>
        <v>-1.0228874483303625</v>
      </c>
      <c r="S61" s="478"/>
      <c r="T61" s="478"/>
      <c r="U61" s="478"/>
      <c r="V61" s="478"/>
      <c r="W61" s="153">
        <f>+-(W62+V73)*W67</f>
        <v>1.3994722485380633</v>
      </c>
      <c r="X61" s="154"/>
      <c r="Y61" s="155"/>
      <c r="Z61" s="154"/>
      <c r="AA61" s="153">
        <f>+-(AA62+AB62+AA73)*AA67</f>
        <v>-2.516258082782902</v>
      </c>
      <c r="AB61" s="153">
        <f>+-(AA62+AB62+AA73)*AB67</f>
        <v>-2.516258082782902</v>
      </c>
      <c r="AC61" s="154"/>
      <c r="AD61" s="155"/>
      <c r="AE61" s="154"/>
      <c r="AF61" s="153">
        <f>+-(AF62+AG73)*AF67</f>
        <v>1.3994722485380633</v>
      </c>
      <c r="AG61" s="478"/>
      <c r="AH61" s="154"/>
    </row>
    <row r="62" spans="3:34" x14ac:dyDescent="0.3">
      <c r="C62" s="478"/>
      <c r="D62" s="153">
        <f>+H63/2</f>
        <v>-23.53551415181753</v>
      </c>
      <c r="E62" s="156"/>
      <c r="F62" s="157"/>
      <c r="G62" s="156"/>
      <c r="H62" s="153">
        <f>+D63/2</f>
        <v>11.415392520818369</v>
      </c>
      <c r="I62" s="153">
        <f>+M63/2</f>
        <v>22.30019585333017</v>
      </c>
      <c r="J62" s="156"/>
      <c r="K62" s="157"/>
      <c r="L62" s="156"/>
      <c r="M62" s="153">
        <f>+I63/2</f>
        <v>-23.53551415181753</v>
      </c>
      <c r="N62" s="153">
        <f>R63/2</f>
        <v>-1.4049713871776459</v>
      </c>
      <c r="O62" s="156"/>
      <c r="P62" s="157"/>
      <c r="Q62" s="156"/>
      <c r="R62" s="153">
        <f>+N63/2</f>
        <v>7.2660969718311117</v>
      </c>
      <c r="S62" s="478"/>
      <c r="T62" s="478"/>
      <c r="U62" s="478"/>
      <c r="V62" s="478"/>
      <c r="W62" s="153">
        <f>+AA63/2</f>
        <v>-12.457030755505478</v>
      </c>
      <c r="X62" s="156"/>
      <c r="Y62" s="157"/>
      <c r="Z62" s="156"/>
      <c r="AA62" s="153">
        <f>+W63/2</f>
        <v>12.457030755505478</v>
      </c>
      <c r="AB62" s="153">
        <f>+AF63/2</f>
        <v>12.457030755505478</v>
      </c>
      <c r="AC62" s="156"/>
      <c r="AD62" s="157"/>
      <c r="AE62" s="156"/>
      <c r="AF62" s="153">
        <f>AB63/2</f>
        <v>-12.457030755505478</v>
      </c>
      <c r="AG62" s="478"/>
      <c r="AH62" s="172"/>
    </row>
    <row r="63" spans="3:34" x14ac:dyDescent="0.3">
      <c r="C63" s="478"/>
      <c r="D63" s="153">
        <f>+-(D64+C71)*D67</f>
        <v>22.830785041636737</v>
      </c>
      <c r="E63" s="156">
        <f>+ABS(E60-E66)</f>
        <v>563.39033507518161</v>
      </c>
      <c r="F63" s="158" t="s">
        <v>121</v>
      </c>
      <c r="G63" s="156">
        <f>+ABS(G60-G66)</f>
        <v>2.6935838874469482</v>
      </c>
      <c r="H63" s="153">
        <f>+-(H64+I64+H71)*H67</f>
        <v>-47.07102830363506</v>
      </c>
      <c r="I63" s="153">
        <f>+-(H64+I64+H71)*I67</f>
        <v>-47.07102830363506</v>
      </c>
      <c r="J63" s="156">
        <f>+ABS(J60-J66)</f>
        <v>333.32864909228192</v>
      </c>
      <c r="K63" s="158" t="s">
        <v>121</v>
      </c>
      <c r="L63" s="156">
        <f>+ABS(L60-L66)</f>
        <v>98.115279447816647</v>
      </c>
      <c r="M63" s="153">
        <f>+-(M64+N64+M71)*M67</f>
        <v>44.600391706660339</v>
      </c>
      <c r="N63" s="153">
        <f>+-(M64+N64+M70)*N67</f>
        <v>14.532193943662223</v>
      </c>
      <c r="O63" s="156">
        <f>+ABS(O60-O66)</f>
        <v>143.11522897365148</v>
      </c>
      <c r="P63" s="158" t="s">
        <v>121</v>
      </c>
      <c r="Q63" s="156">
        <f>+ABS(Q60-Q66)</f>
        <v>375.08852645138541</v>
      </c>
      <c r="R63" s="153">
        <f>+-(R64+S71)*R67</f>
        <v>-2.8099427743552918</v>
      </c>
      <c r="S63" s="478"/>
      <c r="T63" s="478"/>
      <c r="U63" s="478"/>
      <c r="V63" s="478"/>
      <c r="W63" s="153">
        <f>+-(W64+V71)*W67</f>
        <v>24.914061511010956</v>
      </c>
      <c r="X63" s="156">
        <f>+ABS(X60-X66)</f>
        <v>476.25271604071349</v>
      </c>
      <c r="Y63" s="158" t="s">
        <v>121</v>
      </c>
      <c r="Z63" s="156">
        <f>+ABS(Z60-Z66)</f>
        <v>116.42404064289622</v>
      </c>
      <c r="AA63" s="153">
        <f>+-(AA64+AB64+AA71)*AA67</f>
        <v>-24.914061511010956</v>
      </c>
      <c r="AB63" s="153">
        <f>+-(AA64+AB64+AA71)*AB67</f>
        <v>-24.914061511010956</v>
      </c>
      <c r="AC63" s="156">
        <f>+ABS(AC60-AC66)</f>
        <v>553.90619216855475</v>
      </c>
      <c r="AD63" s="158" t="s">
        <v>121</v>
      </c>
      <c r="AE63" s="156">
        <f>+ABS(AE60-AE66)</f>
        <v>398.71158701060426</v>
      </c>
      <c r="AF63" s="153">
        <f>+-(AF64+AG71)*AF67</f>
        <v>24.914061511010956</v>
      </c>
      <c r="AG63" s="478"/>
      <c r="AH63" s="155"/>
    </row>
    <row r="64" spans="3:34" x14ac:dyDescent="0.3">
      <c r="C64" s="478"/>
      <c r="D64" s="153">
        <f>+H65/2</f>
        <v>-162.17883827428287</v>
      </c>
      <c r="E64" s="155"/>
      <c r="F64" s="159">
        <f>IF(E63&gt;G63,(E63-G63)/2,(G63-E63)/2)</f>
        <v>280.34837559386733</v>
      </c>
      <c r="G64" s="155"/>
      <c r="H64" s="153">
        <f>+D65/2</f>
        <v>361.48034094033534</v>
      </c>
      <c r="I64" s="153">
        <f>+M65/2</f>
        <v>19.960472402988668</v>
      </c>
      <c r="J64" s="155"/>
      <c r="K64" s="159">
        <f>IF(J63&gt;L63,(J63-L63)/2,(L63-J63)/2)</f>
        <v>117.60668482223264</v>
      </c>
      <c r="L64" s="155"/>
      <c r="M64" s="153">
        <f>+I65/2</f>
        <v>-162.17883827428287</v>
      </c>
      <c r="N64" s="153">
        <f>R65/2</f>
        <v>-199.24113280175968</v>
      </c>
      <c r="O64" s="155"/>
      <c r="P64" s="159">
        <f>IF(O63&gt;Q63,(O63-Q63)/2,(Q63-O63)/2)</f>
        <v>115.98664873886696</v>
      </c>
      <c r="Q64" s="155"/>
      <c r="R64" s="153">
        <f>+N65/2</f>
        <v>19.960472402988668</v>
      </c>
      <c r="S64" s="478"/>
      <c r="T64" s="478"/>
      <c r="U64" s="478"/>
      <c r="V64" s="478"/>
      <c r="W64" s="153">
        <f>+AA65/2</f>
        <v>-221.76590554862841</v>
      </c>
      <c r="X64" s="155"/>
      <c r="Y64" s="159">
        <f>IF(X63&gt;Z63,(X63-Z63)/2,(Z63-X63)/2)</f>
        <v>179.91433769890864</v>
      </c>
      <c r="Z64" s="155"/>
      <c r="AA64" s="153">
        <f>+W65/2</f>
        <v>342.08105929264906</v>
      </c>
      <c r="AB64" s="153">
        <f>+AF65/2</f>
        <v>-95.401092233009706</v>
      </c>
      <c r="AC64" s="155"/>
      <c r="AD64" s="159">
        <f>IF(AC63&gt;AE63,(AC63-AE63)/2,(AE63-AC63)/2)</f>
        <v>77.597302578975246</v>
      </c>
      <c r="AE64" s="155"/>
      <c r="AF64" s="153">
        <f>+AB65/2</f>
        <v>-221.76590554862841</v>
      </c>
      <c r="AG64" s="478"/>
      <c r="AH64" s="155"/>
    </row>
    <row r="65" spans="1:34" x14ac:dyDescent="0.3">
      <c r="C65" s="478"/>
      <c r="D65" s="153">
        <f>+-(D66+C69)*D67</f>
        <v>722.96068188067068</v>
      </c>
      <c r="E65" s="155"/>
      <c r="F65" s="155"/>
      <c r="G65" s="155"/>
      <c r="H65" s="153">
        <f>+-(H66+I66+H69)*H67</f>
        <v>-324.35767654856573</v>
      </c>
      <c r="I65" s="153">
        <f>+-(H66+I66+H69)*I67</f>
        <v>-324.35767654856573</v>
      </c>
      <c r="J65" s="155"/>
      <c r="K65" s="155"/>
      <c r="L65" s="155"/>
      <c r="M65" s="153">
        <f>+-(M66+N66+M69)*M67</f>
        <v>39.920944805977335</v>
      </c>
      <c r="N65" s="153">
        <f>+-(M66+N66+M69)*N67</f>
        <v>39.920944805977335</v>
      </c>
      <c r="O65" s="155"/>
      <c r="P65" s="155"/>
      <c r="Q65" s="155"/>
      <c r="R65" s="153">
        <f>+-(R66+S69)*R67</f>
        <v>-398.48226560351935</v>
      </c>
      <c r="S65" s="478"/>
      <c r="T65" s="478"/>
      <c r="U65" s="478"/>
      <c r="V65" s="478"/>
      <c r="W65" s="153">
        <f>+-(W66+V69)*W67</f>
        <v>684.16211858529812</v>
      </c>
      <c r="X65" s="155"/>
      <c r="Y65" s="155"/>
      <c r="Z65" s="155"/>
      <c r="AA65" s="153">
        <f>+-(AA66+AB66+AA69)*AA67</f>
        <v>-443.53181109725682</v>
      </c>
      <c r="AB65" s="153">
        <f>+-(AA66+AB66+AA69)*AB67</f>
        <v>-443.53181109725682</v>
      </c>
      <c r="AC65" s="155"/>
      <c r="AD65" s="155"/>
      <c r="AE65" s="155"/>
      <c r="AF65" s="153">
        <f>+-(AF66+AG69)*AF67</f>
        <v>-190.80218446601941</v>
      </c>
      <c r="AG65" s="478"/>
      <c r="AH65" s="155"/>
    </row>
    <row r="66" spans="1:34" ht="16.2" thickBot="1" x14ac:dyDescent="0.35">
      <c r="C66" s="478"/>
      <c r="D66" s="160">
        <f>H66*-1</f>
        <v>-5135.5624999999991</v>
      </c>
      <c r="E66" s="152">
        <f>+ABS(D66)</f>
        <v>5135.5624999999991</v>
      </c>
      <c r="F66" s="478"/>
      <c r="G66" s="152">
        <f>+ABS(H66)</f>
        <v>5135.5624999999991</v>
      </c>
      <c r="H66" s="161">
        <f>+H38</f>
        <v>5135.5624999999991</v>
      </c>
      <c r="I66" s="160">
        <f>M66*-1</f>
        <v>-2507.125</v>
      </c>
      <c r="J66" s="152">
        <f>+ABS(I66)</f>
        <v>2507.125</v>
      </c>
      <c r="K66" s="478"/>
      <c r="L66" s="152">
        <f>+ABS(M66)</f>
        <v>2507.125</v>
      </c>
      <c r="M66" s="161">
        <f>+H41</f>
        <v>2507.125</v>
      </c>
      <c r="N66" s="160">
        <f>R66*-1</f>
        <v>-2830.625</v>
      </c>
      <c r="O66" s="152">
        <f>+ABS(N66)</f>
        <v>2830.625</v>
      </c>
      <c r="P66" s="478"/>
      <c r="Q66" s="152">
        <f>+ABS(R66)</f>
        <v>2830.625</v>
      </c>
      <c r="R66" s="161">
        <f>+H44</f>
        <v>2830.625</v>
      </c>
      <c r="S66" s="478"/>
      <c r="T66" s="478"/>
      <c r="U66" s="478"/>
      <c r="V66" s="478"/>
      <c r="W66" s="160">
        <f>AA66*-1</f>
        <v>-6089.8874999999998</v>
      </c>
      <c r="X66" s="152">
        <f>+ABS(W66)</f>
        <v>6089.8874999999998</v>
      </c>
      <c r="Y66" s="478"/>
      <c r="Z66" s="152">
        <f>+ABS(AA66)</f>
        <v>6089.8874999999998</v>
      </c>
      <c r="AA66" s="161">
        <f>+H30</f>
        <v>6089.8874999999998</v>
      </c>
      <c r="AB66" s="160">
        <f>+-AF66</f>
        <v>-1698.375</v>
      </c>
      <c r="AC66" s="152">
        <f>+ABS(AB66)</f>
        <v>1698.375</v>
      </c>
      <c r="AD66" s="478"/>
      <c r="AE66" s="152">
        <f>+ABS(AF66)</f>
        <v>1698.375</v>
      </c>
      <c r="AF66" s="161">
        <f>+H34</f>
        <v>1698.375</v>
      </c>
      <c r="AG66" s="478"/>
      <c r="AH66" s="152"/>
    </row>
    <row r="67" spans="1:34" ht="15" thickBot="1" x14ac:dyDescent="0.35">
      <c r="C67" s="478"/>
      <c r="D67" s="162">
        <f>((F50*L50/F92)/((F50*L50/F92)+(F50*I50/T78)))</f>
        <v>0.14077536431124552</v>
      </c>
      <c r="E67" s="478"/>
      <c r="F67" s="478"/>
      <c r="G67" s="478"/>
      <c r="H67" s="162">
        <f>((F50*L50/F92)/((F50*L50/F92)+(F50*L50/K92)+(F50*I50/T78)))</f>
        <v>0.12340322969390212</v>
      </c>
      <c r="I67" s="162">
        <f>((F50*L50/K92)/((F50*L50/K92)+(F50*L50/F92)+(F50*I50/T78)))</f>
        <v>0.12340322969390212</v>
      </c>
      <c r="J67" s="478"/>
      <c r="K67" s="478"/>
      <c r="L67" s="478"/>
      <c r="M67" s="162">
        <f>((F50*L50/K92)/((F50*L50/K92)+(F50*L50/P92)+(F50*I50/T78)))</f>
        <v>0.12340322969390212</v>
      </c>
      <c r="N67" s="162">
        <f>((F50*L50/P92)/((F50*L50/P92)+(F50*L50/K92)+(F50*I50/T78)))</f>
        <v>0.12340322969390212</v>
      </c>
      <c r="O67" s="478"/>
      <c r="P67" s="478"/>
      <c r="Q67" s="478"/>
      <c r="R67" s="162">
        <f>((F50*L50/P92)/((F50*L50/P92)+(F50*I50/T78)))</f>
        <v>0.14077536431124552</v>
      </c>
      <c r="S67" s="478"/>
      <c r="T67" s="478"/>
      <c r="U67" s="478"/>
      <c r="V67" s="478"/>
      <c r="W67" s="162">
        <f>((Y50*AE50/Y92)/((Y50*AE50/Y92)+(Y50*AB50/AH78)))</f>
        <v>0.11234396671289874</v>
      </c>
      <c r="X67" s="478"/>
      <c r="Y67" s="478"/>
      <c r="Z67" s="478"/>
      <c r="AA67" s="162">
        <f>((Y50*AE50/Y92)/((Y50*AE50/Y92)+(Y50*AE50/AD92)+(Y50*AB50/AH78)))</f>
        <v>0.10099750623441396</v>
      </c>
      <c r="AB67" s="162">
        <f>((Y50*AE50/AD92)/((Y50*AE50/AD92)+(Y50*AE50/Y92)+(Y50*AB50/AH78)))</f>
        <v>0.10099750623441396</v>
      </c>
      <c r="AC67" s="478"/>
      <c r="AD67" s="478"/>
      <c r="AE67" s="478"/>
      <c r="AF67" s="162">
        <f>((Y50*AE50/AD92)/((Y50*AE50/AD92)+(Y50*AB50/AH78)))</f>
        <v>0.11234396671289874</v>
      </c>
      <c r="AG67" s="478"/>
      <c r="AH67" s="478"/>
    </row>
    <row r="68" spans="1:34" ht="15" thickBot="1" x14ac:dyDescent="0.35">
      <c r="A68" s="143"/>
      <c r="C68" s="163">
        <f>((F50*I50/T78)/((F50*I50/T78)+(F50*L50/F92)))</f>
        <v>0.8592246356887544</v>
      </c>
      <c r="D68" s="478"/>
      <c r="E68" s="478"/>
      <c r="F68" s="478"/>
      <c r="G68" s="478"/>
      <c r="H68" s="164">
        <f>((F50*I50/T78)/((F50*I50/T78)+(F50*L50/F92)+(F50*L50/K92)))</f>
        <v>0.75319354061219568</v>
      </c>
      <c r="I68" s="478"/>
      <c r="J68" s="165"/>
      <c r="K68" s="165"/>
      <c r="L68" s="165"/>
      <c r="M68" s="163">
        <f>((F50*I50/T78)/((F50*I50/T78)+(F50*L50/K92)+(F50*L50/P92)))</f>
        <v>0.75319354061219568</v>
      </c>
      <c r="N68" s="166"/>
      <c r="O68" s="478"/>
      <c r="P68" s="478"/>
      <c r="Q68" s="478"/>
      <c r="R68" s="478"/>
      <c r="S68" s="163">
        <f>((F50*I50/T78)/((F50*I50/T78)+(F50*L50/P92)))</f>
        <v>0.8592246356887544</v>
      </c>
      <c r="T68" s="478"/>
      <c r="U68" s="478"/>
      <c r="V68" s="163">
        <f>((Y50*AB50/AH78)/((Y50*AB50/AH78)+(Y50*AE50/Y92)))</f>
        <v>0.88765603328710119</v>
      </c>
      <c r="W68" s="478"/>
      <c r="X68" s="478"/>
      <c r="Y68" s="478"/>
      <c r="Z68" s="478"/>
      <c r="AA68" s="164">
        <f>((Y50*AB50/AH78)/((Y50*AB50/AH78)+(Y50*AE50/Y92)+(Y50*AE50/AD92)))</f>
        <v>0.79800498753117199</v>
      </c>
      <c r="AB68" s="478"/>
      <c r="AC68" s="165"/>
      <c r="AD68" s="165"/>
      <c r="AE68" s="165"/>
      <c r="AF68" s="478"/>
      <c r="AG68" s="163">
        <f>((Y50*AB50/AH78)/((Y50*AB50/AH78)+(Y50*AE50/AD92)))</f>
        <v>0.88765603328710119</v>
      </c>
      <c r="AH68" s="478"/>
    </row>
    <row r="69" spans="1:34" x14ac:dyDescent="0.3">
      <c r="A69" s="152"/>
      <c r="B69" s="148"/>
      <c r="C69" s="153">
        <v>0</v>
      </c>
      <c r="D69" s="167"/>
      <c r="E69" s="155"/>
      <c r="F69" s="156">
        <f>+I38</f>
        <v>2567.7812499999995</v>
      </c>
      <c r="G69" s="155"/>
      <c r="H69" s="168">
        <v>0</v>
      </c>
      <c r="I69" s="168"/>
      <c r="J69" s="169"/>
      <c r="K69" s="170">
        <f>+I41</f>
        <v>1253.5625</v>
      </c>
      <c r="L69" s="169"/>
      <c r="M69" s="168">
        <v>0</v>
      </c>
      <c r="N69" s="168"/>
      <c r="O69" s="169"/>
      <c r="P69" s="170">
        <f>+I44</f>
        <v>1415.3125</v>
      </c>
      <c r="Q69" s="169"/>
      <c r="R69" s="168"/>
      <c r="S69" s="167">
        <v>0</v>
      </c>
      <c r="T69" s="478"/>
      <c r="U69" s="478"/>
      <c r="V69" s="153">
        <v>0</v>
      </c>
      <c r="W69" s="167"/>
      <c r="X69" s="155"/>
      <c r="Y69" s="156">
        <f>+I30</f>
        <v>3044.9437499999999</v>
      </c>
      <c r="Z69" s="155"/>
      <c r="AA69" s="168">
        <v>0</v>
      </c>
      <c r="AB69" s="168"/>
      <c r="AC69" s="169"/>
      <c r="AD69" s="170">
        <f>+I34</f>
        <v>849.1875</v>
      </c>
      <c r="AE69" s="169"/>
      <c r="AF69" s="168"/>
      <c r="AG69" s="167">
        <v>0</v>
      </c>
      <c r="AH69" s="169"/>
    </row>
    <row r="70" spans="1:34" x14ac:dyDescent="0.3">
      <c r="A70" s="154"/>
      <c r="B70" s="155"/>
      <c r="C70" s="153">
        <f>+-(C69+D66)*C68</f>
        <v>4412.6018181193276</v>
      </c>
      <c r="D70" s="167"/>
      <c r="E70" s="155"/>
      <c r="F70" s="171">
        <f>IF(E60&gt;E66,(ABS(F69-F64)),(ABS(F69+F64)))</f>
        <v>2848.1296255938669</v>
      </c>
      <c r="G70" s="172"/>
      <c r="H70" s="173">
        <f>+-(H69+H66+I66)*H68</f>
        <v>-1979.7221469028673</v>
      </c>
      <c r="I70" s="168"/>
      <c r="J70" s="174"/>
      <c r="K70" s="171">
        <f>IF(J60&gt;J66,(ABS(K69-K64)),(ABS(K69+K64)))</f>
        <v>1135.9558151777674</v>
      </c>
      <c r="L70" s="174"/>
      <c r="M70" s="173">
        <f>+-(M69+M66+N66)*M68</f>
        <v>243.65811038804532</v>
      </c>
      <c r="N70" s="168"/>
      <c r="O70" s="174"/>
      <c r="P70" s="171">
        <f>IF(O60&gt;O66,(ABS(P69-P64)),(ABS(P69+P64)))</f>
        <v>1299.325851261133</v>
      </c>
      <c r="Q70" s="174"/>
      <c r="R70" s="168"/>
      <c r="S70" s="167">
        <f>+-(S69+R66)*S68</f>
        <v>-2432.1427343964806</v>
      </c>
      <c r="T70" s="478"/>
      <c r="U70" s="478"/>
      <c r="V70" s="153">
        <f>+-(V69+W66)*V68</f>
        <v>5405.7253814147016</v>
      </c>
      <c r="W70" s="167"/>
      <c r="X70" s="155"/>
      <c r="Y70" s="171">
        <f>IF(X60&gt;X66,(ABS(Y69-Y64)),(ABS(Y69+Y64)))</f>
        <v>3224.8580876989085</v>
      </c>
      <c r="Z70" s="172"/>
      <c r="AA70" s="173">
        <f>+-(AA69+AA66+AB66)*AA68</f>
        <v>-3504.4488778054856</v>
      </c>
      <c r="AB70" s="168"/>
      <c r="AC70" s="174"/>
      <c r="AD70" s="171">
        <f>IF(AC60&gt;AC66,(ABS(AD69-AD64)),(ABS(AD69+AD64)))</f>
        <v>771.59019742102475</v>
      </c>
      <c r="AE70" s="174"/>
      <c r="AF70" s="168"/>
      <c r="AG70" s="167">
        <f>+-(AG69+AF66)*AG68</f>
        <v>-1507.5728155339805</v>
      </c>
      <c r="AH70" s="174"/>
    </row>
    <row r="71" spans="1:34" x14ac:dyDescent="0.3">
      <c r="A71" s="156"/>
      <c r="B71" s="157"/>
      <c r="C71" s="153">
        <v>0</v>
      </c>
      <c r="D71" s="167"/>
      <c r="E71" s="155"/>
      <c r="F71" s="155"/>
      <c r="G71" s="155"/>
      <c r="H71" s="173">
        <v>0</v>
      </c>
      <c r="I71" s="168"/>
      <c r="J71" s="169"/>
      <c r="K71" s="169"/>
      <c r="L71" s="169"/>
      <c r="M71" s="173">
        <v>0</v>
      </c>
      <c r="N71" s="168"/>
      <c r="O71" s="169"/>
      <c r="P71" s="169"/>
      <c r="Q71" s="169"/>
      <c r="R71" s="168"/>
      <c r="S71" s="175">
        <v>0</v>
      </c>
      <c r="T71" s="478"/>
      <c r="U71" s="478"/>
      <c r="V71" s="153">
        <f>+V85/2</f>
        <v>0</v>
      </c>
      <c r="W71" s="167"/>
      <c r="X71" s="155"/>
      <c r="Y71" s="155"/>
      <c r="Z71" s="155"/>
      <c r="AA71" s="173">
        <f>+AB85/2</f>
        <v>0</v>
      </c>
      <c r="AB71" s="168"/>
      <c r="AC71" s="169"/>
      <c r="AD71" s="169"/>
      <c r="AE71" s="169"/>
      <c r="AF71" s="168"/>
      <c r="AG71" s="175">
        <f>+AG85/2</f>
        <v>0</v>
      </c>
      <c r="AH71" s="169"/>
    </row>
    <row r="72" spans="1:34" x14ac:dyDescent="0.3">
      <c r="A72" s="156"/>
      <c r="B72" s="158"/>
      <c r="C72" s="176">
        <f>+-(C71+D64)*C68</f>
        <v>139.34805323264612</v>
      </c>
      <c r="D72" s="167"/>
      <c r="E72" s="172"/>
      <c r="F72" s="155"/>
      <c r="G72" s="155"/>
      <c r="H72" s="173">
        <f>+-(H64+I64+H71)*H68</f>
        <v>-287.29875673605386</v>
      </c>
      <c r="I72" s="168"/>
      <c r="J72" s="174"/>
      <c r="K72" s="169"/>
      <c r="L72" s="169"/>
      <c r="M72" s="173">
        <f>+-(M64+N64+M71)*M68</f>
        <v>272.21918766272182</v>
      </c>
      <c r="N72" s="168"/>
      <c r="O72" s="174"/>
      <c r="P72" s="169"/>
      <c r="Q72" s="169"/>
      <c r="R72" s="168"/>
      <c r="S72" s="172">
        <f>+-(R64+S71)*S68</f>
        <v>-17.150529628633375</v>
      </c>
      <c r="T72" s="478"/>
      <c r="U72" s="478"/>
      <c r="V72" s="176">
        <f>+-(V71+W64)*V68</f>
        <v>196.85184403761744</v>
      </c>
      <c r="W72" s="167"/>
      <c r="X72" s="172"/>
      <c r="Y72" s="155"/>
      <c r="Z72" s="155"/>
      <c r="AA72" s="173">
        <f>+-(AA64+AB64+AA71)*AA68</f>
        <v>-196.85184403761741</v>
      </c>
      <c r="AB72" s="168"/>
      <c r="AC72" s="174"/>
      <c r="AD72" s="169"/>
      <c r="AE72" s="169"/>
      <c r="AF72" s="168"/>
      <c r="AG72" s="172">
        <f>+-(AF64+AG71)*AG68</f>
        <v>196.85184403761744</v>
      </c>
      <c r="AH72" s="174"/>
    </row>
    <row r="73" spans="1:34" x14ac:dyDescent="0.3">
      <c r="A73" s="155"/>
      <c r="B73" s="159"/>
      <c r="C73" s="167">
        <v>0</v>
      </c>
      <c r="D73" s="168"/>
      <c r="E73" s="155"/>
      <c r="F73" s="155"/>
      <c r="G73" s="155"/>
      <c r="H73" s="177">
        <v>0</v>
      </c>
      <c r="I73" s="168"/>
      <c r="J73" s="169"/>
      <c r="K73" s="169"/>
      <c r="L73" s="169"/>
      <c r="M73" s="177">
        <v>0</v>
      </c>
      <c r="N73" s="168"/>
      <c r="O73" s="169"/>
      <c r="P73" s="169"/>
      <c r="Q73" s="169"/>
      <c r="R73" s="168"/>
      <c r="S73" s="167">
        <v>0</v>
      </c>
      <c r="T73" s="478"/>
      <c r="U73" s="478"/>
      <c r="V73" s="167">
        <f>+V83/2</f>
        <v>0</v>
      </c>
      <c r="W73" s="168"/>
      <c r="X73" s="155"/>
      <c r="Y73" s="155"/>
      <c r="Z73" s="155"/>
      <c r="AA73" s="177">
        <f>+AB83/2</f>
        <v>0</v>
      </c>
      <c r="AB73" s="168"/>
      <c r="AC73" s="169"/>
      <c r="AD73" s="169"/>
      <c r="AE73" s="169"/>
      <c r="AF73" s="168"/>
      <c r="AG73" s="167">
        <f>+AG83/2</f>
        <v>0</v>
      </c>
      <c r="AH73" s="169"/>
    </row>
    <row r="74" spans="1:34" x14ac:dyDescent="0.3">
      <c r="A74" s="155"/>
      <c r="B74" s="155"/>
      <c r="C74" s="167">
        <f>+-(C73+D62)*C68</f>
        <v>20.22229357284294</v>
      </c>
      <c r="D74" s="168"/>
      <c r="E74" s="155"/>
      <c r="F74" s="155"/>
      <c r="G74" s="155"/>
      <c r="H74" s="167">
        <f>+-(H73+H62+I62)*H68</f>
        <v>-25.39436338134832</v>
      </c>
      <c r="I74" s="168"/>
      <c r="J74" s="169"/>
      <c r="K74" s="169"/>
      <c r="L74" s="169"/>
      <c r="M74" s="167">
        <f>+-(M73+M62+N62)*M68</f>
        <v>18.785012607703042</v>
      </c>
      <c r="N74" s="168"/>
      <c r="O74" s="169"/>
      <c r="P74" s="169"/>
      <c r="Q74" s="169"/>
      <c r="R74" s="168"/>
      <c r="S74" s="167">
        <f>+-(S73+R62)*S68</f>
        <v>-6.2432095235007488</v>
      </c>
      <c r="T74" s="478"/>
      <c r="U74" s="478"/>
      <c r="V74" s="167">
        <f>+-(V73+W62)*V68</f>
        <v>11.057558506967414</v>
      </c>
      <c r="W74" s="168"/>
      <c r="X74" s="155"/>
      <c r="Y74" s="155"/>
      <c r="Z74" s="155"/>
      <c r="AA74" s="167">
        <f>+-(AA73+AA62+AB62)*AA68</f>
        <v>-19.881545345445151</v>
      </c>
      <c r="AB74" s="168"/>
      <c r="AC74" s="169"/>
      <c r="AD74" s="169"/>
      <c r="AE74" s="169"/>
      <c r="AF74" s="168"/>
      <c r="AG74" s="167">
        <f>+-(AG73+AF62)*AG68</f>
        <v>11.057558506967414</v>
      </c>
      <c r="AH74" s="169"/>
    </row>
    <row r="75" spans="1:34" ht="18" x14ac:dyDescent="0.35">
      <c r="A75" s="152"/>
      <c r="B75" s="143"/>
      <c r="C75" s="178">
        <f>+SUM(C69:C74)</f>
        <v>4572.1721649248166</v>
      </c>
      <c r="D75" s="179"/>
      <c r="E75" s="180"/>
      <c r="F75" s="180"/>
      <c r="G75" s="180"/>
      <c r="H75" s="178">
        <f>+SUM(H69:H74)</f>
        <v>-2292.4152670202693</v>
      </c>
      <c r="I75" s="179"/>
      <c r="J75" s="181"/>
      <c r="K75" s="181"/>
      <c r="L75" s="181"/>
      <c r="M75" s="178">
        <f>+SUM(M69:M74)</f>
        <v>534.66231065847023</v>
      </c>
      <c r="N75" s="179"/>
      <c r="O75" s="181"/>
      <c r="P75" s="181"/>
      <c r="Q75" s="181"/>
      <c r="R75" s="179"/>
      <c r="S75" s="178">
        <f>+SUM(S69:S74)</f>
        <v>-2455.5364735486146</v>
      </c>
      <c r="T75" s="478"/>
      <c r="U75" s="478"/>
      <c r="V75" s="178">
        <f>+SUM(V69:V74)</f>
        <v>5613.6347839592863</v>
      </c>
      <c r="W75" s="179"/>
      <c r="X75" s="180"/>
      <c r="Y75" s="180"/>
      <c r="Z75" s="180"/>
      <c r="AA75" s="178">
        <f>+SUM(AA69:AA74)</f>
        <v>-3721.1822671885484</v>
      </c>
      <c r="AB75" s="179"/>
      <c r="AC75" s="181"/>
      <c r="AD75" s="181"/>
      <c r="AE75" s="181"/>
      <c r="AF75" s="179"/>
      <c r="AG75" s="178">
        <f>+SUM(AG69:AG74)</f>
        <v>-1299.6634129893957</v>
      </c>
      <c r="AH75" s="181"/>
    </row>
    <row r="76" spans="1:34" x14ac:dyDescent="0.3">
      <c r="A76" s="143"/>
      <c r="C76" s="478"/>
      <c r="D76" s="478"/>
      <c r="E76" s="478"/>
      <c r="F76" s="478"/>
      <c r="G76" s="478"/>
      <c r="H76" s="478"/>
      <c r="I76" s="478"/>
      <c r="J76" s="165"/>
      <c r="K76" s="165"/>
      <c r="L76" s="165"/>
      <c r="M76" s="478"/>
      <c r="N76" s="478"/>
      <c r="O76" s="165"/>
      <c r="P76" s="165"/>
      <c r="Q76" s="165"/>
      <c r="R76" s="478"/>
      <c r="S76" s="478"/>
      <c r="T76" s="478"/>
      <c r="U76" s="478"/>
      <c r="V76" s="478"/>
      <c r="W76" s="478"/>
      <c r="X76" s="478"/>
      <c r="Y76" s="478"/>
      <c r="Z76" s="478"/>
      <c r="AA76" s="478"/>
      <c r="AB76" s="478"/>
      <c r="AC76" s="165"/>
      <c r="AD76" s="165"/>
      <c r="AE76" s="165"/>
      <c r="AF76" s="478"/>
      <c r="AG76" s="478"/>
      <c r="AH76" s="165"/>
    </row>
    <row r="77" spans="1:34" x14ac:dyDescent="0.3">
      <c r="A77" s="143"/>
      <c r="C77" s="478"/>
      <c r="D77" s="478"/>
      <c r="E77" s="478"/>
      <c r="F77" s="478"/>
      <c r="G77" s="478"/>
      <c r="H77" s="478"/>
      <c r="I77" s="478"/>
      <c r="J77" s="478"/>
      <c r="K77" s="478"/>
      <c r="L77" s="478"/>
      <c r="M77" s="478"/>
      <c r="N77" s="478"/>
      <c r="O77" s="478"/>
      <c r="P77" s="478"/>
      <c r="Q77" s="478"/>
      <c r="R77" s="478"/>
      <c r="S77" s="478"/>
      <c r="T77" s="478"/>
      <c r="U77" s="478"/>
      <c r="V77" s="478"/>
      <c r="W77" s="478"/>
      <c r="X77" s="478"/>
      <c r="Y77" s="478"/>
      <c r="Z77" s="478"/>
      <c r="AA77" s="478"/>
      <c r="AB77" s="478"/>
      <c r="AC77" s="478"/>
      <c r="AD77" s="478"/>
      <c r="AE77" s="478"/>
      <c r="AF77" s="478"/>
      <c r="AG77" s="478"/>
      <c r="AH77" s="478"/>
    </row>
    <row r="78" spans="1:34" x14ac:dyDescent="0.3">
      <c r="A78" s="169"/>
      <c r="B78" s="170"/>
      <c r="C78" s="478"/>
      <c r="D78" s="478"/>
      <c r="E78" s="478"/>
      <c r="F78" s="478"/>
      <c r="G78" s="478"/>
      <c r="H78" s="478"/>
      <c r="I78" s="478"/>
      <c r="J78" s="478"/>
      <c r="K78" s="478"/>
      <c r="L78" s="478"/>
      <c r="M78" s="478"/>
      <c r="N78" s="478"/>
      <c r="O78" s="478"/>
      <c r="P78" s="478"/>
      <c r="Q78" s="478"/>
      <c r="R78" s="478"/>
      <c r="S78" s="478"/>
      <c r="T78" s="182">
        <v>4.5</v>
      </c>
      <c r="U78" s="478"/>
      <c r="V78" s="478"/>
      <c r="W78" s="478"/>
      <c r="X78" s="478"/>
      <c r="Y78" s="478"/>
      <c r="Z78" s="478"/>
      <c r="AA78" s="478"/>
      <c r="AB78" s="478"/>
      <c r="AC78" s="478"/>
      <c r="AD78" s="478"/>
      <c r="AE78" s="478"/>
      <c r="AF78" s="478"/>
      <c r="AG78" s="478"/>
      <c r="AH78" s="182">
        <f>+T78</f>
        <v>4.5</v>
      </c>
    </row>
    <row r="79" spans="1:34" x14ac:dyDescent="0.3">
      <c r="A79" s="174"/>
      <c r="B79" s="504"/>
      <c r="C79" s="478"/>
      <c r="D79" s="478"/>
      <c r="E79" s="478"/>
      <c r="F79" s="478"/>
      <c r="G79" s="478"/>
      <c r="H79" s="478"/>
      <c r="I79" s="478"/>
      <c r="J79" s="478"/>
      <c r="K79" s="478"/>
      <c r="L79" s="478"/>
      <c r="M79" s="478"/>
      <c r="N79" s="478"/>
      <c r="O79" s="478"/>
      <c r="P79" s="478"/>
      <c r="Q79" s="478"/>
      <c r="R79" s="478"/>
      <c r="S79" s="478"/>
      <c r="T79" s="478"/>
      <c r="U79" s="478"/>
      <c r="V79" s="478"/>
      <c r="W79" s="478"/>
      <c r="X79" s="478"/>
      <c r="Y79" s="478"/>
      <c r="Z79" s="478"/>
      <c r="AA79" s="478"/>
      <c r="AB79" s="478"/>
      <c r="AC79" s="478"/>
      <c r="AD79" s="478"/>
      <c r="AE79" s="478"/>
      <c r="AF79" s="478"/>
      <c r="AG79" s="478"/>
      <c r="AH79" s="478"/>
    </row>
    <row r="80" spans="1:34" x14ac:dyDescent="0.3">
      <c r="A80" s="169"/>
      <c r="C80" s="183"/>
      <c r="D80" s="183"/>
      <c r="E80" s="147"/>
      <c r="F80" s="148"/>
      <c r="G80" s="147"/>
      <c r="H80" s="183"/>
      <c r="I80" s="183"/>
      <c r="J80" s="148"/>
      <c r="K80" s="148"/>
      <c r="L80" s="148"/>
      <c r="M80" s="183"/>
      <c r="N80" s="183"/>
      <c r="O80" s="147"/>
      <c r="P80" s="148"/>
      <c r="Q80" s="147"/>
      <c r="R80" s="183"/>
      <c r="S80" s="183"/>
      <c r="T80" s="478"/>
      <c r="U80" s="478"/>
      <c r="V80" s="183"/>
      <c r="W80" s="183"/>
      <c r="X80" s="147"/>
      <c r="Y80" s="148"/>
      <c r="Z80" s="147"/>
      <c r="AA80" s="183"/>
      <c r="AB80" s="183"/>
      <c r="AC80" s="148"/>
      <c r="AD80" s="148"/>
      <c r="AE80" s="148"/>
      <c r="AF80" s="183"/>
      <c r="AG80" s="183"/>
      <c r="AH80" s="148"/>
    </row>
    <row r="81" spans="1:34" x14ac:dyDescent="0.3">
      <c r="A81" s="174"/>
      <c r="C81" s="121"/>
      <c r="D81" s="153"/>
      <c r="E81" s="154"/>
      <c r="F81" s="155"/>
      <c r="G81" s="154"/>
      <c r="H81" s="153"/>
      <c r="I81" s="153"/>
      <c r="J81" s="184"/>
      <c r="K81" s="155"/>
      <c r="L81" s="184"/>
      <c r="M81" s="153"/>
      <c r="N81" s="153"/>
      <c r="O81" s="154"/>
      <c r="P81" s="155"/>
      <c r="Q81" s="154"/>
      <c r="R81" s="153"/>
      <c r="S81" s="153"/>
      <c r="T81" s="478"/>
      <c r="U81" s="478"/>
      <c r="V81" s="205"/>
      <c r="W81" s="153"/>
      <c r="X81" s="154"/>
      <c r="Y81" s="155"/>
      <c r="Z81" s="154"/>
      <c r="AA81" s="153"/>
      <c r="AB81" s="153"/>
      <c r="AC81" s="184"/>
      <c r="AD81" s="155"/>
      <c r="AE81" s="184"/>
      <c r="AF81" s="153"/>
      <c r="AG81" s="153"/>
      <c r="AH81" s="184"/>
    </row>
    <row r="82" spans="1:34" x14ac:dyDescent="0.3">
      <c r="A82" s="169"/>
      <c r="C82" s="121"/>
      <c r="D82" s="153"/>
      <c r="E82" s="156"/>
      <c r="F82" s="157"/>
      <c r="G82" s="156"/>
      <c r="H82" s="153"/>
      <c r="I82" s="153"/>
      <c r="J82" s="172"/>
      <c r="K82" s="185"/>
      <c r="L82" s="156"/>
      <c r="M82" s="153"/>
      <c r="N82" s="153"/>
      <c r="O82" s="156"/>
      <c r="P82" s="157"/>
      <c r="Q82" s="156"/>
      <c r="R82" s="153"/>
      <c r="S82" s="121"/>
      <c r="T82" s="478"/>
      <c r="U82" s="478"/>
      <c r="V82" s="205"/>
      <c r="W82" s="153"/>
      <c r="X82" s="156"/>
      <c r="Y82" s="157"/>
      <c r="Z82" s="156"/>
      <c r="AA82" s="153"/>
      <c r="AB82" s="153"/>
      <c r="AC82" s="172"/>
      <c r="AD82" s="185"/>
      <c r="AE82" s="156"/>
      <c r="AF82" s="153"/>
      <c r="AG82" s="205"/>
      <c r="AH82" s="172"/>
    </row>
    <row r="83" spans="1:34" x14ac:dyDescent="0.3">
      <c r="A83" s="169"/>
      <c r="C83" s="121"/>
      <c r="D83" s="153"/>
      <c r="E83" s="156"/>
      <c r="F83" s="186"/>
      <c r="G83" s="156"/>
      <c r="H83" s="156"/>
      <c r="I83" s="156"/>
      <c r="J83" s="155"/>
      <c r="K83" s="155"/>
      <c r="L83" s="155"/>
      <c r="M83" s="156"/>
      <c r="N83" s="156"/>
      <c r="O83" s="156"/>
      <c r="P83" s="186"/>
      <c r="Q83" s="156"/>
      <c r="R83" s="153"/>
      <c r="S83" s="121"/>
      <c r="T83" s="478"/>
      <c r="U83" s="478"/>
      <c r="V83" s="205"/>
      <c r="W83" s="153"/>
      <c r="X83" s="156"/>
      <c r="Y83" s="186"/>
      <c r="Z83" s="156"/>
      <c r="AA83" s="156"/>
      <c r="AB83" s="156"/>
      <c r="AC83" s="155"/>
      <c r="AD83" s="155"/>
      <c r="AE83" s="155"/>
      <c r="AF83" s="153"/>
      <c r="AG83" s="205"/>
      <c r="AH83" s="168"/>
    </row>
    <row r="84" spans="1:34" ht="18" x14ac:dyDescent="0.35">
      <c r="A84" s="181"/>
      <c r="C84" s="121"/>
      <c r="D84" s="173"/>
      <c r="E84" s="155"/>
      <c r="F84" s="187"/>
      <c r="G84" s="155"/>
      <c r="H84" s="156"/>
      <c r="I84" s="173"/>
      <c r="J84" s="155"/>
      <c r="K84" s="155"/>
      <c r="L84" s="155"/>
      <c r="M84" s="155"/>
      <c r="N84" s="153"/>
      <c r="O84" s="155"/>
      <c r="P84" s="187"/>
      <c r="Q84" s="155"/>
      <c r="R84" s="173"/>
      <c r="S84" s="121"/>
      <c r="T84" s="478"/>
      <c r="U84" s="478"/>
      <c r="V84" s="205"/>
      <c r="W84" s="173"/>
      <c r="X84" s="155"/>
      <c r="Y84" s="187"/>
      <c r="Z84" s="155"/>
      <c r="AA84" s="156"/>
      <c r="AB84" s="173"/>
      <c r="AC84" s="155"/>
      <c r="AD84" s="155"/>
      <c r="AE84" s="155"/>
      <c r="AF84" s="173"/>
      <c r="AG84" s="205"/>
      <c r="AH84" s="200"/>
    </row>
    <row r="85" spans="1:34" x14ac:dyDescent="0.3">
      <c r="A85" s="143"/>
      <c r="C85" s="121"/>
      <c r="D85" s="188"/>
      <c r="E85" s="155"/>
      <c r="F85" s="155"/>
      <c r="G85" s="155"/>
      <c r="H85" s="155"/>
      <c r="I85" s="189"/>
      <c r="J85" s="155"/>
      <c r="K85" s="155"/>
      <c r="L85" s="155"/>
      <c r="M85" s="155"/>
      <c r="N85" s="189"/>
      <c r="O85" s="155"/>
      <c r="P85" s="155"/>
      <c r="Q85" s="155"/>
      <c r="R85" s="153"/>
      <c r="S85" s="121"/>
      <c r="T85" s="478"/>
      <c r="U85" s="478"/>
      <c r="V85" s="205"/>
      <c r="W85" s="188"/>
      <c r="X85" s="155"/>
      <c r="Y85" s="155"/>
      <c r="Z85" s="155"/>
      <c r="AA85" s="156"/>
      <c r="AB85" s="189"/>
      <c r="AC85" s="155"/>
      <c r="AD85" s="155"/>
      <c r="AE85" s="155"/>
      <c r="AF85" s="153"/>
      <c r="AG85" s="205"/>
      <c r="AH85" s="200"/>
    </row>
    <row r="86" spans="1:34" ht="18" x14ac:dyDescent="0.35">
      <c r="A86" s="143"/>
      <c r="C86" s="190"/>
      <c r="D86" s="191"/>
      <c r="E86" s="147"/>
      <c r="F86" s="148"/>
      <c r="G86" s="147"/>
      <c r="H86" s="191"/>
      <c r="I86" s="188"/>
      <c r="J86" s="148"/>
      <c r="K86" s="148"/>
      <c r="L86" s="148"/>
      <c r="M86" s="148"/>
      <c r="N86" s="191"/>
      <c r="O86" s="147"/>
      <c r="P86" s="148"/>
      <c r="Q86" s="147"/>
      <c r="R86" s="191"/>
      <c r="S86" s="190"/>
      <c r="T86" s="478"/>
      <c r="U86" s="478"/>
      <c r="V86" s="148"/>
      <c r="W86" s="191"/>
      <c r="X86" s="147"/>
      <c r="Y86" s="148"/>
      <c r="Z86" s="147"/>
      <c r="AA86" s="191"/>
      <c r="AB86" s="188"/>
      <c r="AC86" s="148"/>
      <c r="AD86" s="148"/>
      <c r="AE86" s="148"/>
      <c r="AF86" s="191"/>
      <c r="AG86" s="148"/>
      <c r="AH86" s="478"/>
    </row>
    <row r="87" spans="1:34" ht="15.6" x14ac:dyDescent="0.3">
      <c r="A87" s="182"/>
      <c r="C87" s="192"/>
      <c r="D87" s="193">
        <f>+C75/2</f>
        <v>2286.0860824624083</v>
      </c>
      <c r="E87" s="194"/>
      <c r="F87" s="194"/>
      <c r="G87" s="194"/>
      <c r="H87" s="195"/>
      <c r="I87" s="193">
        <f>+H75/2</f>
        <v>-1146.2076335101347</v>
      </c>
      <c r="J87" s="194"/>
      <c r="K87" s="194"/>
      <c r="L87" s="194"/>
      <c r="M87" s="193">
        <f>+M75/2</f>
        <v>267.33115532923512</v>
      </c>
      <c r="N87" s="193"/>
      <c r="O87" s="194"/>
      <c r="P87" s="194"/>
      <c r="Q87" s="194"/>
      <c r="R87" s="193">
        <f>+S75/2</f>
        <v>-1227.7682367743073</v>
      </c>
      <c r="S87" s="196"/>
      <c r="T87" s="478"/>
      <c r="U87" s="478"/>
      <c r="V87" s="198"/>
      <c r="W87" s="193">
        <f>+V75/2</f>
        <v>2806.8173919796432</v>
      </c>
      <c r="X87" s="194"/>
      <c r="Y87" s="194"/>
      <c r="Z87" s="194"/>
      <c r="AA87" s="193">
        <f>+AA75/2</f>
        <v>-1860.5911335942742</v>
      </c>
      <c r="AB87" s="193"/>
      <c r="AC87" s="194"/>
      <c r="AD87" s="194"/>
      <c r="AE87" s="194"/>
      <c r="AF87" s="501">
        <f>+AG75/2</f>
        <v>-649.83170649469787</v>
      </c>
      <c r="AG87" s="198"/>
      <c r="AH87" s="478"/>
    </row>
    <row r="88" spans="1:34" x14ac:dyDescent="0.3">
      <c r="A88" s="143"/>
      <c r="C88" s="190"/>
      <c r="D88" s="148"/>
      <c r="E88" s="148"/>
      <c r="F88" s="148"/>
      <c r="G88" s="148"/>
      <c r="H88" s="148"/>
      <c r="I88" s="197"/>
      <c r="J88" s="148"/>
      <c r="K88" s="148"/>
      <c r="L88" s="148"/>
      <c r="M88" s="148"/>
      <c r="N88" s="148"/>
      <c r="O88" s="148"/>
      <c r="P88" s="148"/>
      <c r="Q88" s="148"/>
      <c r="R88" s="148"/>
      <c r="S88" s="190"/>
      <c r="T88" s="478"/>
      <c r="U88" s="478"/>
      <c r="V88" s="148"/>
      <c r="W88" s="148"/>
      <c r="X88" s="148"/>
      <c r="Y88" s="148"/>
      <c r="Z88" s="148"/>
      <c r="AA88" s="148"/>
      <c r="AB88" s="197"/>
      <c r="AC88" s="148"/>
      <c r="AD88" s="148"/>
      <c r="AE88" s="148"/>
      <c r="AF88" s="148"/>
      <c r="AG88" s="148"/>
      <c r="AH88" s="478"/>
    </row>
    <row r="89" spans="1:34" x14ac:dyDescent="0.3">
      <c r="A89" s="143"/>
      <c r="C89" s="196"/>
      <c r="D89" s="148"/>
      <c r="E89" s="148"/>
      <c r="F89" s="148"/>
      <c r="G89" s="148"/>
      <c r="H89" s="198"/>
      <c r="I89" s="199"/>
      <c r="J89" s="148"/>
      <c r="K89" s="148"/>
      <c r="L89" s="148"/>
      <c r="M89" s="199"/>
      <c r="N89" s="198"/>
      <c r="O89" s="148"/>
      <c r="P89" s="148"/>
      <c r="Q89" s="148"/>
      <c r="R89" s="148"/>
      <c r="S89" s="196"/>
      <c r="T89" s="478"/>
      <c r="U89" s="478"/>
      <c r="V89" s="198"/>
      <c r="W89" s="148"/>
      <c r="X89" s="148"/>
      <c r="Y89" s="205"/>
      <c r="Z89" s="148"/>
      <c r="AA89" s="198"/>
      <c r="AB89" s="199"/>
      <c r="AC89" s="148"/>
      <c r="AD89" s="205"/>
      <c r="AE89" s="148"/>
      <c r="AF89" s="153"/>
      <c r="AG89" s="198"/>
      <c r="AH89" s="478"/>
    </row>
    <row r="90" spans="1:34" ht="18" x14ac:dyDescent="0.35">
      <c r="A90" s="143"/>
      <c r="C90" s="200"/>
      <c r="D90" s="155"/>
      <c r="E90" s="155"/>
      <c r="F90" s="156"/>
      <c r="G90" s="155"/>
      <c r="H90" s="155"/>
      <c r="I90" s="191"/>
      <c r="J90" s="155"/>
      <c r="K90" s="156"/>
      <c r="L90" s="155"/>
      <c r="M90" s="201"/>
      <c r="N90" s="155"/>
      <c r="O90" s="155"/>
      <c r="P90" s="156"/>
      <c r="Q90" s="155"/>
      <c r="R90" s="155"/>
      <c r="S90" s="200"/>
      <c r="T90" s="478"/>
      <c r="U90" s="478"/>
      <c r="V90" s="155"/>
      <c r="W90" s="156"/>
      <c r="X90" s="155"/>
      <c r="Y90" s="202"/>
      <c r="Z90" s="155"/>
      <c r="AA90" s="155"/>
      <c r="AB90" s="191"/>
      <c r="AC90" s="147"/>
      <c r="AD90" s="202"/>
      <c r="AE90" s="147"/>
      <c r="AF90" s="191"/>
      <c r="AG90" s="155"/>
      <c r="AH90" s="168"/>
    </row>
    <row r="91" spans="1:34" x14ac:dyDescent="0.3">
      <c r="A91" s="143"/>
      <c r="C91" s="175"/>
      <c r="D91" s="155"/>
      <c r="E91" s="155"/>
      <c r="F91" s="202"/>
      <c r="G91" s="155"/>
      <c r="H91" s="155"/>
      <c r="I91" s="155"/>
      <c r="J91" s="155"/>
      <c r="K91" s="202"/>
      <c r="L91" s="155"/>
      <c r="M91" s="155"/>
      <c r="N91" s="155"/>
      <c r="O91" s="155"/>
      <c r="P91" s="202"/>
      <c r="Q91" s="155"/>
      <c r="R91" s="155"/>
      <c r="S91" s="175"/>
      <c r="T91" s="478"/>
      <c r="U91" s="478"/>
      <c r="V91" s="156"/>
      <c r="W91" s="155"/>
      <c r="X91" s="155"/>
      <c r="Y91" s="155"/>
      <c r="Z91" s="155"/>
      <c r="AA91" s="155"/>
      <c r="AB91" s="156"/>
      <c r="AC91" s="154"/>
      <c r="AD91" s="155"/>
      <c r="AE91" s="154"/>
      <c r="AF91" s="156"/>
      <c r="AG91" s="156"/>
      <c r="AH91" s="168"/>
    </row>
    <row r="92" spans="1:34" x14ac:dyDescent="0.3">
      <c r="A92" s="143"/>
      <c r="C92" s="200"/>
      <c r="D92" s="155"/>
      <c r="E92" s="155"/>
      <c r="F92" s="477">
        <f>+C22</f>
        <v>7.5</v>
      </c>
      <c r="G92" s="155"/>
      <c r="H92" s="155"/>
      <c r="I92" s="155"/>
      <c r="J92" s="155"/>
      <c r="K92" s="477">
        <f>+E22</f>
        <v>7.5</v>
      </c>
      <c r="L92" s="155"/>
      <c r="M92" s="155"/>
      <c r="N92" s="155"/>
      <c r="O92" s="155"/>
      <c r="P92" s="477">
        <f>+F22</f>
        <v>7.5</v>
      </c>
      <c r="Q92" s="155"/>
      <c r="R92" s="155"/>
      <c r="S92" s="200"/>
      <c r="T92" s="478"/>
      <c r="U92" s="478"/>
      <c r="V92" s="155"/>
      <c r="W92" s="155"/>
      <c r="X92" s="155"/>
      <c r="Y92" s="502">
        <f>+B5</f>
        <v>7.5</v>
      </c>
      <c r="Z92" s="155"/>
      <c r="AA92" s="155"/>
      <c r="AB92" s="156"/>
      <c r="AC92" s="156"/>
      <c r="AD92" s="502">
        <f>+B16</f>
        <v>7.5</v>
      </c>
      <c r="AE92" s="156"/>
      <c r="AF92" s="156"/>
      <c r="AG92" s="155"/>
      <c r="AH92" s="168"/>
    </row>
    <row r="93" spans="1:34" x14ac:dyDescent="0.3">
      <c r="A93" s="143"/>
      <c r="C93" s="176"/>
      <c r="D93" s="155"/>
      <c r="E93" s="155"/>
      <c r="F93" s="155"/>
      <c r="G93" s="155"/>
      <c r="H93" s="203"/>
      <c r="I93" s="156"/>
      <c r="J93" s="155"/>
      <c r="K93" s="204"/>
      <c r="L93" s="155"/>
      <c r="M93" s="203"/>
      <c r="N93" s="156"/>
      <c r="O93" s="155"/>
      <c r="P93" s="204"/>
      <c r="Q93" s="155"/>
      <c r="R93" s="155"/>
      <c r="S93" s="172"/>
      <c r="T93" s="478"/>
      <c r="U93" s="478"/>
      <c r="V93" s="176"/>
      <c r="W93" s="155"/>
      <c r="X93" s="155"/>
      <c r="Y93" s="155"/>
      <c r="Z93" s="155"/>
      <c r="AA93" s="203"/>
      <c r="AB93" s="156"/>
      <c r="AC93" s="156"/>
      <c r="AD93" s="186"/>
      <c r="AE93" s="156"/>
      <c r="AF93" s="156"/>
      <c r="AG93" s="172"/>
      <c r="AH93" s="168"/>
    </row>
    <row r="94" spans="1:34" x14ac:dyDescent="0.3">
      <c r="A94" s="143"/>
      <c r="C94" s="200"/>
      <c r="D94" s="155"/>
      <c r="E94" s="155"/>
      <c r="F94" s="155"/>
      <c r="G94" s="155"/>
      <c r="H94" s="155"/>
      <c r="I94" s="156"/>
      <c r="J94" s="155"/>
      <c r="K94" s="155"/>
      <c r="L94" s="155"/>
      <c r="M94" s="156"/>
      <c r="N94" s="155"/>
      <c r="O94" s="155"/>
      <c r="P94" s="155"/>
      <c r="Q94" s="155"/>
      <c r="R94" s="155"/>
      <c r="S94" s="200"/>
      <c r="T94" s="478"/>
      <c r="U94" s="478"/>
      <c r="V94" s="155"/>
      <c r="W94" s="155"/>
      <c r="X94" s="155"/>
      <c r="Y94" s="155"/>
      <c r="Z94" s="155"/>
      <c r="AA94" s="155"/>
      <c r="AB94" s="156"/>
      <c r="AC94" s="155"/>
      <c r="AD94" s="187"/>
      <c r="AE94" s="155"/>
      <c r="AF94" s="156"/>
      <c r="AG94" s="155"/>
      <c r="AH94" s="168"/>
    </row>
    <row r="95" spans="1:34" ht="18" x14ac:dyDescent="0.35">
      <c r="A95" s="143"/>
      <c r="C95" s="144" t="s">
        <v>513</v>
      </c>
      <c r="D95" s="145"/>
      <c r="E95" s="145"/>
      <c r="F95" s="145"/>
      <c r="G95" s="145"/>
      <c r="H95" s="146"/>
      <c r="I95" s="145"/>
      <c r="J95" s="145"/>
      <c r="K95" s="145"/>
      <c r="L95" s="145"/>
      <c r="M95" s="146"/>
      <c r="N95" s="145"/>
      <c r="O95" s="145"/>
      <c r="P95" s="145"/>
      <c r="Q95" s="145"/>
      <c r="R95" s="145"/>
      <c r="V95" s="144" t="s">
        <v>514</v>
      </c>
      <c r="W95" s="145"/>
      <c r="X95" s="145"/>
      <c r="Y95" s="145"/>
      <c r="Z95" s="145"/>
      <c r="AA95" s="146"/>
      <c r="AB95" s="145"/>
      <c r="AC95" s="145"/>
      <c r="AD95" s="145"/>
      <c r="AE95" s="145"/>
      <c r="AF95" s="146"/>
      <c r="AG95" s="145"/>
      <c r="AH95" s="145"/>
    </row>
    <row r="96" spans="1:34" x14ac:dyDescent="0.3">
      <c r="A96" s="143"/>
      <c r="C96" s="478"/>
      <c r="D96" s="146"/>
      <c r="E96" s="147"/>
      <c r="F96" s="148"/>
      <c r="G96" s="147"/>
      <c r="H96" s="149"/>
      <c r="I96" s="150"/>
      <c r="J96" s="147"/>
      <c r="K96" s="148"/>
      <c r="L96" s="147"/>
      <c r="M96" s="149"/>
      <c r="N96" s="150"/>
      <c r="O96" s="147"/>
      <c r="P96" s="148"/>
      <c r="Q96" s="147"/>
      <c r="R96" s="150"/>
      <c r="S96" s="478"/>
      <c r="V96" s="478"/>
      <c r="W96" s="146"/>
      <c r="X96" s="147"/>
      <c r="Y96" s="148"/>
      <c r="Z96" s="147"/>
      <c r="AA96" s="149"/>
      <c r="AB96" s="150"/>
      <c r="AC96" s="147"/>
      <c r="AD96" s="148"/>
      <c r="AE96" s="147"/>
      <c r="AF96" s="149"/>
      <c r="AG96" s="150"/>
      <c r="AH96" s="147"/>
    </row>
    <row r="97" spans="1:34" x14ac:dyDescent="0.3">
      <c r="A97" s="143"/>
      <c r="C97" s="478"/>
      <c r="D97" s="151">
        <f>+SUM(D98:D103)</f>
        <v>-8149.435967080959</v>
      </c>
      <c r="E97" s="152">
        <f>+ABS(D97)</f>
        <v>8149.435967080959</v>
      </c>
      <c r="F97" s="148"/>
      <c r="G97" s="152">
        <f>+ABS(H97)</f>
        <v>9226.058859841949</v>
      </c>
      <c r="H97" s="151">
        <f>+SUM(H98:H103)</f>
        <v>9226.058859841949</v>
      </c>
      <c r="I97" s="151">
        <f>+SUM(I98:I103)</f>
        <v>-5454.7439734674936</v>
      </c>
      <c r="J97" s="152">
        <f>+ABS(I97)</f>
        <v>5454.7439734674936</v>
      </c>
      <c r="K97" s="148"/>
      <c r="L97" s="152">
        <f>+ABS(M97)</f>
        <v>4765.9475261490898</v>
      </c>
      <c r="M97" s="151">
        <f>+SUM(M98:M103)</f>
        <v>4765.9475261490898</v>
      </c>
      <c r="N97" s="151">
        <f>+SUM(N98:N103)</f>
        <v>-5785.5238450229472</v>
      </c>
      <c r="O97" s="152">
        <f>+ABS(N97)</f>
        <v>5785.5238450229472</v>
      </c>
      <c r="P97" s="148"/>
      <c r="Q97" s="152">
        <f>+ABS(R97)</f>
        <v>4767.4553231486971</v>
      </c>
      <c r="R97" s="151">
        <f>+SUM(R98:R103)</f>
        <v>4767.4553231486971</v>
      </c>
      <c r="S97" s="478"/>
      <c r="V97" s="478"/>
      <c r="W97" s="151">
        <f>+SUM(W98:W103)</f>
        <v>-10539.145002307703</v>
      </c>
      <c r="X97" s="152">
        <f>+ABS(W97)</f>
        <v>10539.145002307703</v>
      </c>
      <c r="Y97" s="148"/>
      <c r="Z97" s="152">
        <f>+ABS(AA97)</f>
        <v>11246.46365829378</v>
      </c>
      <c r="AA97" s="151">
        <f>+SUM(AA98:AA103)</f>
        <v>11246.46365829378</v>
      </c>
      <c r="AB97" s="151">
        <f>+SUM(AB98:AB103)</f>
        <v>-4427.7226714565677</v>
      </c>
      <c r="AC97" s="152">
        <f>+ABS(AB97)</f>
        <v>4427.7226714565677</v>
      </c>
      <c r="AD97" s="148"/>
      <c r="AE97" s="152">
        <f>+ABS(AF97)</f>
        <v>2634.169838191604</v>
      </c>
      <c r="AF97" s="151">
        <f>+SUM(AF98:AF103)</f>
        <v>2634.169838191604</v>
      </c>
      <c r="AG97" s="478"/>
      <c r="AH97" s="148"/>
    </row>
    <row r="98" spans="1:34" x14ac:dyDescent="0.3">
      <c r="A98" s="143"/>
      <c r="C98" s="478"/>
      <c r="D98" s="153">
        <f>+-(D99+C110)*D104</f>
        <v>5.9264071954639608</v>
      </c>
      <c r="E98" s="154"/>
      <c r="F98" s="155"/>
      <c r="G98" s="154"/>
      <c r="H98" s="153">
        <f>+-(H99+I99+H110)*H104</f>
        <v>-7.2381191285833069</v>
      </c>
      <c r="I98" s="153">
        <f>+-(H99+I99+H110)*I104</f>
        <v>-7.2381191285833069</v>
      </c>
      <c r="J98" s="154"/>
      <c r="K98" s="155"/>
      <c r="L98" s="154"/>
      <c r="M98" s="153">
        <f>+-(M99+N99+M110)*M104</f>
        <v>5.5093170443970285</v>
      </c>
      <c r="N98" s="153">
        <f>+-(M99+N99+M110)*N104</f>
        <v>5.5093170443970285</v>
      </c>
      <c r="O98" s="154"/>
      <c r="P98" s="155"/>
      <c r="Q98" s="154"/>
      <c r="R98" s="153">
        <f>+-(R99+S110)*R104</f>
        <v>-1.8127428364689591</v>
      </c>
      <c r="S98" s="478"/>
      <c r="V98" s="478"/>
      <c r="W98" s="153">
        <f>+-(W99+V110)*W104</f>
        <v>2.5644104738404661</v>
      </c>
      <c r="X98" s="154"/>
      <c r="Y98" s="155"/>
      <c r="Z98" s="154"/>
      <c r="AA98" s="153">
        <f>+-(AA99+AB99+AA110)*AA104</f>
        <v>-4.6108228220423353</v>
      </c>
      <c r="AB98" s="153">
        <f>+-(AA99+AB99+AA110)*AB104</f>
        <v>-4.6108228220423353</v>
      </c>
      <c r="AC98" s="154"/>
      <c r="AD98" s="155"/>
      <c r="AE98" s="154"/>
      <c r="AF98" s="153">
        <f>+-(AF99+AG110)*AF104</f>
        <v>2.5644104738404661</v>
      </c>
      <c r="AG98" s="478"/>
      <c r="AH98" s="154"/>
    </row>
    <row r="99" spans="1:34" x14ac:dyDescent="0.3">
      <c r="A99" s="143"/>
      <c r="C99" s="478"/>
      <c r="D99" s="153">
        <f>+H100/2</f>
        <v>-42.098326113090678</v>
      </c>
      <c r="E99" s="156"/>
      <c r="F99" s="157"/>
      <c r="G99" s="156"/>
      <c r="H99" s="153">
        <f>+D100/2</f>
        <v>18.528060168405201</v>
      </c>
      <c r="I99" s="153">
        <f>+M100/2</f>
        <v>40.126151285681026</v>
      </c>
      <c r="J99" s="156"/>
      <c r="K99" s="157"/>
      <c r="L99" s="156"/>
      <c r="M99" s="153">
        <f>+I100/2</f>
        <v>-42.098326113090678</v>
      </c>
      <c r="N99" s="153">
        <f>R100/2</f>
        <v>-2.5465106392594752</v>
      </c>
      <c r="O99" s="156"/>
      <c r="P99" s="157"/>
      <c r="Q99" s="156"/>
      <c r="R99" s="153">
        <f>+N100/2</f>
        <v>12.876847062964073</v>
      </c>
      <c r="S99" s="478"/>
      <c r="V99" s="478"/>
      <c r="W99" s="153">
        <f>+AA100/2</f>
        <v>-22.826419156036742</v>
      </c>
      <c r="X99" s="156"/>
      <c r="Y99" s="157"/>
      <c r="Z99" s="156"/>
      <c r="AA99" s="153">
        <f>+W100/2</f>
        <v>22.826419156036746</v>
      </c>
      <c r="AB99" s="153">
        <f>+AF100/2</f>
        <v>22.826419156036746</v>
      </c>
      <c r="AC99" s="156"/>
      <c r="AD99" s="157"/>
      <c r="AE99" s="156"/>
      <c r="AF99" s="153">
        <f>AB100/2</f>
        <v>-22.826419156036742</v>
      </c>
      <c r="AG99" s="478"/>
      <c r="AH99" s="172"/>
    </row>
    <row r="100" spans="1:34" x14ac:dyDescent="0.3">
      <c r="A100" s="143"/>
      <c r="C100" s="478"/>
      <c r="D100" s="153">
        <f>+-(D101+C108)*D104</f>
        <v>37.056120336810402</v>
      </c>
      <c r="E100" s="156">
        <f>+ABS(E97-E103)</f>
        <v>1029.876532919041</v>
      </c>
      <c r="F100" s="158" t="s">
        <v>121</v>
      </c>
      <c r="G100" s="156">
        <f>+ABS(G97-G103)</f>
        <v>46.746359841949015</v>
      </c>
      <c r="H100" s="153">
        <f>+-(H101+I101+H108)*H104</f>
        <v>-84.196652226181357</v>
      </c>
      <c r="I100" s="153">
        <f>+-(H101+I101+H108)*I104</f>
        <v>-84.196652226181357</v>
      </c>
      <c r="J100" s="156">
        <f>+ABS(J97-J103)</f>
        <v>541.58772346749265</v>
      </c>
      <c r="K100" s="158" t="s">
        <v>121</v>
      </c>
      <c r="L100" s="156">
        <f>+ABS(L97-L103)</f>
        <v>147.20872385091116</v>
      </c>
      <c r="M100" s="153">
        <f>+-(M101+N101+M108)*M104</f>
        <v>80.252302571362051</v>
      </c>
      <c r="N100" s="153">
        <f>+-(M101+N101+M107)*N104</f>
        <v>25.753694125928146</v>
      </c>
      <c r="O100" s="156">
        <f>+ABS(O97-O103)</f>
        <v>286.02384502294808</v>
      </c>
      <c r="P100" s="158" t="s">
        <v>121</v>
      </c>
      <c r="Q100" s="156">
        <f>+ABS(Q97-Q103)</f>
        <v>732.04467685130203</v>
      </c>
      <c r="R100" s="153">
        <f>+-(R101+S108)*R104</f>
        <v>-5.0930212785189504</v>
      </c>
      <c r="S100" s="478"/>
      <c r="V100" s="478"/>
      <c r="W100" s="153">
        <f>+-(W101+V108)*W104</f>
        <v>45.652838312073492</v>
      </c>
      <c r="X100" s="156">
        <f>+ABS(X97-X103)</f>
        <v>904.66749769229682</v>
      </c>
      <c r="Y100" s="158" t="s">
        <v>121</v>
      </c>
      <c r="Z100" s="156">
        <f>+ABS(Z97-Z103)</f>
        <v>197.3488417062199</v>
      </c>
      <c r="AA100" s="153">
        <f>+-(AA101+AB101+AA108)*AA104</f>
        <v>-45.652838312073484</v>
      </c>
      <c r="AB100" s="153">
        <f>+-(AA101+AB101+AA108)*AB104</f>
        <v>-45.652838312073484</v>
      </c>
      <c r="AC100" s="156">
        <f>+ABS(AC97-AC103)</f>
        <v>1030.9726714565677</v>
      </c>
      <c r="AD100" s="158" t="s">
        <v>121</v>
      </c>
      <c r="AE100" s="156">
        <f>+ABS(AE97-AE103)</f>
        <v>762.58016180839604</v>
      </c>
      <c r="AF100" s="153">
        <f>+-(AF101+AG108)*AF104</f>
        <v>45.652838312073492</v>
      </c>
      <c r="AG100" s="478"/>
      <c r="AH100" s="155"/>
    </row>
    <row r="101" spans="1:34" x14ac:dyDescent="0.3">
      <c r="A101" s="143"/>
      <c r="C101" s="478"/>
      <c r="D101" s="153">
        <f>+H102/2</f>
        <v>-263.22872981441299</v>
      </c>
      <c r="E101" s="155"/>
      <c r="F101" s="159">
        <f>IF(E100&gt;G100,(E100-G100)/2,(G100-E100)/2)</f>
        <v>491.56508653854598</v>
      </c>
      <c r="G101" s="155"/>
      <c r="H101" s="153">
        <f>+D102/2</f>
        <v>646.11053065713497</v>
      </c>
      <c r="I101" s="153">
        <f>+M102/2</f>
        <v>36.178356230416846</v>
      </c>
      <c r="J101" s="155"/>
      <c r="K101" s="159">
        <f>IF(J100&gt;L100,(J100-L100)/2,(L100-J100)/2)</f>
        <v>197.18949980829075</v>
      </c>
      <c r="L101" s="155"/>
      <c r="M101" s="153">
        <f>+I102/2</f>
        <v>-263.22872981441299</v>
      </c>
      <c r="N101" s="153">
        <f>R102/2</f>
        <v>-387.09705801484728</v>
      </c>
      <c r="O101" s="155"/>
      <c r="P101" s="159">
        <f>IF(O100&gt;Q100,(O100-Q100)/2,(Q100-O100)/2)</f>
        <v>223.01041591417697</v>
      </c>
      <c r="Q101" s="155"/>
      <c r="R101" s="153">
        <f>+N102/2</f>
        <v>36.178356230416846</v>
      </c>
      <c r="S101" s="478"/>
      <c r="V101" s="478"/>
      <c r="W101" s="153">
        <f>+AA102/2</f>
        <v>-406.36662250623442</v>
      </c>
      <c r="X101" s="155"/>
      <c r="Y101" s="159">
        <f>IF(X100&gt;Z100,(X100-Z100)/2,(Z100-X100)/2)</f>
        <v>353.65932799303846</v>
      </c>
      <c r="Z101" s="155"/>
      <c r="AA101" s="153">
        <f>+W102/2</f>
        <v>642.82164528432725</v>
      </c>
      <c r="AB101" s="153">
        <f>+AF102/2</f>
        <v>-190.80218446601941</v>
      </c>
      <c r="AC101" s="155"/>
      <c r="AD101" s="159">
        <f>IF(AC100&gt;AE100,(AC100-AE100)/2,(AE100-AC100)/2)</f>
        <v>134.19625482408583</v>
      </c>
      <c r="AE101" s="155"/>
      <c r="AF101" s="153">
        <f>+AB102/2</f>
        <v>-406.36662250623442</v>
      </c>
      <c r="AG101" s="478"/>
      <c r="AH101" s="155"/>
    </row>
    <row r="102" spans="1:34" x14ac:dyDescent="0.3">
      <c r="A102" s="143"/>
      <c r="C102" s="478"/>
      <c r="D102" s="153">
        <f>+-(D103+C106)*D104</f>
        <v>1292.2210613142699</v>
      </c>
      <c r="E102" s="155"/>
      <c r="F102" s="155"/>
      <c r="G102" s="155"/>
      <c r="H102" s="153">
        <f>+-(H103+I103+H106)*H104</f>
        <v>-526.45745962882597</v>
      </c>
      <c r="I102" s="153">
        <f>+-(H103+I103+H106)*I104</f>
        <v>-526.45745962882597</v>
      </c>
      <c r="J102" s="155"/>
      <c r="K102" s="155"/>
      <c r="L102" s="155"/>
      <c r="M102" s="153">
        <f>+-(M103+N103+M106)*M104</f>
        <v>72.356712460833691</v>
      </c>
      <c r="N102" s="153">
        <f>+-(M103+N103+M106)*N104</f>
        <v>72.356712460833691</v>
      </c>
      <c r="O102" s="155"/>
      <c r="P102" s="155"/>
      <c r="Q102" s="155"/>
      <c r="R102" s="153">
        <f>+-(R103+S106)*R104</f>
        <v>-774.19411602969456</v>
      </c>
      <c r="S102" s="478"/>
      <c r="V102" s="478"/>
      <c r="W102" s="153">
        <f>+-(W103+V106)*W104</f>
        <v>1285.6432905686545</v>
      </c>
      <c r="X102" s="155"/>
      <c r="Y102" s="155"/>
      <c r="Z102" s="155"/>
      <c r="AA102" s="153">
        <f>+-(AA103+AB103+AA106)*AA104</f>
        <v>-812.73324501246884</v>
      </c>
      <c r="AB102" s="153">
        <f>+-(AA103+AB103+AA106)*AB104</f>
        <v>-812.73324501246884</v>
      </c>
      <c r="AC102" s="155"/>
      <c r="AD102" s="155"/>
      <c r="AE102" s="155"/>
      <c r="AF102" s="153">
        <f>+-(AF103+AG106)*AF104</f>
        <v>-381.60436893203882</v>
      </c>
      <c r="AG102" s="478"/>
      <c r="AH102" s="155"/>
    </row>
    <row r="103" spans="1:34" ht="16.2" thickBot="1" x14ac:dyDescent="0.35">
      <c r="A103" s="143"/>
      <c r="C103" s="478"/>
      <c r="D103" s="160">
        <f>H103*-1</f>
        <v>-9179.3125</v>
      </c>
      <c r="E103" s="152">
        <f>+ABS(D103)</f>
        <v>9179.3125</v>
      </c>
      <c r="F103" s="478"/>
      <c r="G103" s="152">
        <f>+ABS(H103)</f>
        <v>9179.3125</v>
      </c>
      <c r="H103" s="161">
        <f>+H39</f>
        <v>9179.3125</v>
      </c>
      <c r="I103" s="160">
        <f>M103*-1</f>
        <v>-4913.1562500000009</v>
      </c>
      <c r="J103" s="152">
        <f>+ABS(I103)</f>
        <v>4913.1562500000009</v>
      </c>
      <c r="K103" s="478"/>
      <c r="L103" s="152">
        <f>+ABS(M103)</f>
        <v>4913.1562500000009</v>
      </c>
      <c r="M103" s="161">
        <f>+H42</f>
        <v>4913.1562500000009</v>
      </c>
      <c r="N103" s="160">
        <f>R103*-1</f>
        <v>-5499.4999999999991</v>
      </c>
      <c r="O103" s="152">
        <f>+ABS(N103)</f>
        <v>5499.4999999999991</v>
      </c>
      <c r="P103" s="478"/>
      <c r="Q103" s="152">
        <f>+ABS(R103)</f>
        <v>5499.4999999999991</v>
      </c>
      <c r="R103" s="161">
        <f>+H45</f>
        <v>5499.4999999999991</v>
      </c>
      <c r="S103" s="478"/>
      <c r="V103" s="478"/>
      <c r="W103" s="160">
        <f>AA103*-1</f>
        <v>-11443.8125</v>
      </c>
      <c r="X103" s="152">
        <f>+ABS(W103)</f>
        <v>11443.8125</v>
      </c>
      <c r="Y103" s="478"/>
      <c r="Z103" s="152">
        <f>+ABS(AA103)</f>
        <v>11443.8125</v>
      </c>
      <c r="AA103" s="161">
        <f>+H31</f>
        <v>11443.8125</v>
      </c>
      <c r="AB103" s="160">
        <f>+-AF103</f>
        <v>-3396.75</v>
      </c>
      <c r="AC103" s="152">
        <f>+ABS(AB103)</f>
        <v>3396.75</v>
      </c>
      <c r="AD103" s="478"/>
      <c r="AE103" s="152">
        <f>+ABS(AF103)</f>
        <v>3396.75</v>
      </c>
      <c r="AF103" s="161">
        <f>+H35</f>
        <v>3396.75</v>
      </c>
      <c r="AG103" s="478"/>
      <c r="AH103" s="152"/>
    </row>
    <row r="104" spans="1:34" ht="15" thickBot="1" x14ac:dyDescent="0.35">
      <c r="A104" s="145"/>
      <c r="C104" s="478"/>
      <c r="D104" s="162">
        <f>+D67</f>
        <v>0.14077536431124552</v>
      </c>
      <c r="E104" s="478"/>
      <c r="F104" s="478"/>
      <c r="G104" s="478"/>
      <c r="H104" s="162">
        <f>+H67</f>
        <v>0.12340322969390212</v>
      </c>
      <c r="I104" s="162">
        <f>+I67</f>
        <v>0.12340322969390212</v>
      </c>
      <c r="J104" s="478"/>
      <c r="K104" s="478"/>
      <c r="L104" s="478"/>
      <c r="M104" s="162">
        <f>+M67</f>
        <v>0.12340322969390212</v>
      </c>
      <c r="N104" s="162">
        <f>+N67</f>
        <v>0.12340322969390212</v>
      </c>
      <c r="O104" s="478"/>
      <c r="P104" s="478"/>
      <c r="Q104" s="478"/>
      <c r="R104" s="162">
        <f>R67</f>
        <v>0.14077536431124552</v>
      </c>
      <c r="S104" s="478"/>
      <c r="V104" s="478"/>
      <c r="W104" s="162">
        <f>+W67</f>
        <v>0.11234396671289874</v>
      </c>
      <c r="X104" s="478"/>
      <c r="Y104" s="478"/>
      <c r="Z104" s="478"/>
      <c r="AA104" s="162">
        <f>+AA67</f>
        <v>0.10099750623441396</v>
      </c>
      <c r="AB104" s="162">
        <f>+AB67</f>
        <v>0.10099750623441396</v>
      </c>
      <c r="AC104" s="478"/>
      <c r="AD104" s="478"/>
      <c r="AE104" s="478"/>
      <c r="AF104" s="162">
        <f>+AF67</f>
        <v>0.11234396671289874</v>
      </c>
      <c r="AG104" s="478"/>
      <c r="AH104" s="478"/>
    </row>
    <row r="105" spans="1:34" ht="15" thickBot="1" x14ac:dyDescent="0.35">
      <c r="C105" s="163">
        <f>+C68</f>
        <v>0.8592246356887544</v>
      </c>
      <c r="D105" s="478"/>
      <c r="E105" s="478"/>
      <c r="F105" s="478"/>
      <c r="G105" s="478"/>
      <c r="H105" s="164">
        <f>+H68</f>
        <v>0.75319354061219568</v>
      </c>
      <c r="I105" s="478"/>
      <c r="J105" s="165"/>
      <c r="K105" s="165"/>
      <c r="L105" s="165"/>
      <c r="M105" s="163">
        <f>+M68</f>
        <v>0.75319354061219568</v>
      </c>
      <c r="N105" s="166"/>
      <c r="O105" s="478"/>
      <c r="P105" s="478"/>
      <c r="Q105" s="478"/>
      <c r="R105" s="478"/>
      <c r="S105" s="163">
        <f>+S68</f>
        <v>0.8592246356887544</v>
      </c>
      <c r="V105" s="163">
        <f>+V68</f>
        <v>0.88765603328710119</v>
      </c>
      <c r="W105" s="478"/>
      <c r="X105" s="478"/>
      <c r="Y105" s="478"/>
      <c r="Z105" s="478"/>
      <c r="AA105" s="164">
        <f>+AA68</f>
        <v>0.79800498753117199</v>
      </c>
      <c r="AB105" s="478"/>
      <c r="AC105" s="165"/>
      <c r="AD105" s="165"/>
      <c r="AE105" s="165"/>
      <c r="AF105" s="478"/>
      <c r="AG105" s="163">
        <f>+AG68</f>
        <v>0.88765603328710119</v>
      </c>
      <c r="AH105" s="478"/>
    </row>
    <row r="106" spans="1:34" x14ac:dyDescent="0.3">
      <c r="A106" s="143"/>
      <c r="C106" s="153">
        <v>0</v>
      </c>
      <c r="D106" s="167"/>
      <c r="E106" s="155"/>
      <c r="F106" s="156">
        <f>+I39</f>
        <v>4589.65625</v>
      </c>
      <c r="G106" s="155"/>
      <c r="H106" s="168">
        <v>0</v>
      </c>
      <c r="I106" s="168"/>
      <c r="J106" s="169"/>
      <c r="K106" s="170">
        <f>+I42</f>
        <v>2456.5781250000005</v>
      </c>
      <c r="L106" s="169"/>
      <c r="M106" s="168">
        <v>0</v>
      </c>
      <c r="N106" s="168"/>
      <c r="O106" s="169"/>
      <c r="P106" s="170">
        <f>+I45</f>
        <v>2749.7499999999995</v>
      </c>
      <c r="Q106" s="169"/>
      <c r="R106" s="168"/>
      <c r="S106" s="167">
        <v>0</v>
      </c>
      <c r="V106" s="153">
        <v>0</v>
      </c>
      <c r="W106" s="167"/>
      <c r="X106" s="155"/>
      <c r="Y106" s="156">
        <f>+I31</f>
        <v>5721.90625</v>
      </c>
      <c r="Z106" s="155"/>
      <c r="AA106" s="168">
        <v>0</v>
      </c>
      <c r="AB106" s="168"/>
      <c r="AC106" s="169"/>
      <c r="AD106" s="170">
        <f>+I35</f>
        <v>1698.375</v>
      </c>
      <c r="AE106" s="169"/>
      <c r="AF106" s="168"/>
      <c r="AG106" s="167">
        <v>0</v>
      </c>
      <c r="AH106" s="169"/>
    </row>
    <row r="107" spans="1:34" x14ac:dyDescent="0.3">
      <c r="A107" s="152"/>
      <c r="B107" s="148"/>
      <c r="C107" s="153">
        <f>+-(C106+D103)*C105</f>
        <v>7887.0914386857294</v>
      </c>
      <c r="D107" s="167"/>
      <c r="E107" s="155"/>
      <c r="F107" s="171">
        <f>IF(E97&gt;E103,(ABS(F106-F101)),(ABS(F106+F101)))</f>
        <v>5081.221336538546</v>
      </c>
      <c r="G107" s="172"/>
      <c r="H107" s="173">
        <f>+-(H106+H103+I103)*H105</f>
        <v>-3213.2413307423467</v>
      </c>
      <c r="I107" s="168"/>
      <c r="J107" s="174"/>
      <c r="K107" s="171">
        <f>IF(J97&gt;J103,(ABS(K106-K101)),(ABS(K106+K101)))</f>
        <v>2259.3886251917097</v>
      </c>
      <c r="L107" s="174"/>
      <c r="M107" s="173">
        <f>+-(M106+M103+N103)*M105</f>
        <v>441.63032507833071</v>
      </c>
      <c r="N107" s="168"/>
      <c r="O107" s="174"/>
      <c r="P107" s="171">
        <f>IF(O97&gt;O103,(ABS(P106-P101)),(ABS(P106+P101)))</f>
        <v>2526.7395840858226</v>
      </c>
      <c r="Q107" s="174"/>
      <c r="R107" s="168"/>
      <c r="S107" s="167">
        <f>+-(S106+R103)*S105</f>
        <v>-4725.3058839703044</v>
      </c>
      <c r="V107" s="153">
        <f>+-(V106+W103)*V105</f>
        <v>10158.169209431344</v>
      </c>
      <c r="W107" s="167"/>
      <c r="X107" s="155"/>
      <c r="Y107" s="171">
        <f>IF(X97&gt;X103,(ABS(Y106-Y101)),(ABS(Y106+Y101)))</f>
        <v>6075.5655779930385</v>
      </c>
      <c r="Z107" s="172"/>
      <c r="AA107" s="173">
        <f>+-(AA106+AA103+AB103)*AA105</f>
        <v>-6421.5960099750619</v>
      </c>
      <c r="AB107" s="168"/>
      <c r="AC107" s="174"/>
      <c r="AD107" s="171">
        <f>IF(AC97&gt;AC103,(ABS(AD106-AD101)),(ABS(AD106+AD101)))</f>
        <v>1564.1787451759142</v>
      </c>
      <c r="AE107" s="174"/>
      <c r="AF107" s="168"/>
      <c r="AG107" s="167">
        <f>+-(AG106+AF103)*AG105</f>
        <v>-3015.1456310679609</v>
      </c>
      <c r="AH107" s="174"/>
    </row>
    <row r="108" spans="1:34" x14ac:dyDescent="0.3">
      <c r="A108" s="154"/>
      <c r="B108" s="155"/>
      <c r="C108" s="153">
        <v>0</v>
      </c>
      <c r="D108" s="167"/>
      <c r="E108" s="155"/>
      <c r="F108" s="155"/>
      <c r="G108" s="155"/>
      <c r="H108" s="173">
        <v>0</v>
      </c>
      <c r="I108" s="168"/>
      <c r="J108" s="169"/>
      <c r="K108" s="169"/>
      <c r="L108" s="169"/>
      <c r="M108" s="173">
        <f>+M122/2</f>
        <v>0</v>
      </c>
      <c r="N108" s="168"/>
      <c r="O108" s="169"/>
      <c r="P108" s="169"/>
      <c r="Q108" s="169"/>
      <c r="R108" s="168"/>
      <c r="S108" s="175">
        <f>+S122/2</f>
        <v>0</v>
      </c>
      <c r="V108" s="153">
        <f>+V122/2</f>
        <v>0</v>
      </c>
      <c r="W108" s="167"/>
      <c r="X108" s="155"/>
      <c r="Y108" s="155"/>
      <c r="Z108" s="155"/>
      <c r="AA108" s="173">
        <f>+AB122/2</f>
        <v>0</v>
      </c>
      <c r="AB108" s="168"/>
      <c r="AC108" s="169"/>
      <c r="AD108" s="169"/>
      <c r="AE108" s="169"/>
      <c r="AF108" s="168"/>
      <c r="AG108" s="175">
        <f>+AG122/2</f>
        <v>0</v>
      </c>
      <c r="AH108" s="169"/>
    </row>
    <row r="109" spans="1:34" x14ac:dyDescent="0.3">
      <c r="A109" s="156"/>
      <c r="B109" s="157"/>
      <c r="C109" s="176">
        <f>+-(C108+D101)*C105</f>
        <v>226.17260947760255</v>
      </c>
      <c r="D109" s="167"/>
      <c r="E109" s="172"/>
      <c r="F109" s="155"/>
      <c r="G109" s="155"/>
      <c r="H109" s="173">
        <f>+-(H101+I101+H108)*H105</f>
        <v>-513.895582435189</v>
      </c>
      <c r="I109" s="168"/>
      <c r="J109" s="174"/>
      <c r="K109" s="169"/>
      <c r="L109" s="169"/>
      <c r="M109" s="173">
        <f>+-(M101+N101+M108)*M105</f>
        <v>489.82118268653602</v>
      </c>
      <c r="N109" s="168"/>
      <c r="O109" s="174"/>
      <c r="P109" s="169"/>
      <c r="Q109" s="169"/>
      <c r="R109" s="168"/>
      <c r="S109" s="172">
        <f>+-(R101+S108)*S105</f>
        <v>-31.085334951897892</v>
      </c>
      <c r="V109" s="176">
        <f>+-(V108+W101)*V105</f>
        <v>360.71378419416089</v>
      </c>
      <c r="W109" s="167"/>
      <c r="X109" s="172"/>
      <c r="Y109" s="155"/>
      <c r="Z109" s="155"/>
      <c r="AA109" s="173">
        <f>+-(AA101+AB101+AA108)*AA105</f>
        <v>-360.71378419416084</v>
      </c>
      <c r="AB109" s="168"/>
      <c r="AC109" s="174"/>
      <c r="AD109" s="169"/>
      <c r="AE109" s="169"/>
      <c r="AF109" s="168"/>
      <c r="AG109" s="172">
        <f>+-(AF101+AG108)*AG105</f>
        <v>360.71378419416089</v>
      </c>
      <c r="AH109" s="174"/>
    </row>
    <row r="110" spans="1:34" x14ac:dyDescent="0.3">
      <c r="A110" s="156"/>
      <c r="B110" s="158"/>
      <c r="C110" s="167">
        <v>0</v>
      </c>
      <c r="D110" s="168"/>
      <c r="E110" s="155"/>
      <c r="F110" s="155"/>
      <c r="G110" s="155"/>
      <c r="H110" s="177">
        <v>0</v>
      </c>
      <c r="I110" s="168"/>
      <c r="J110" s="169"/>
      <c r="K110" s="169"/>
      <c r="L110" s="169"/>
      <c r="M110" s="177">
        <f>+M120/2</f>
        <v>0</v>
      </c>
      <c r="N110" s="168"/>
      <c r="O110" s="169"/>
      <c r="P110" s="169"/>
      <c r="Q110" s="169"/>
      <c r="R110" s="168"/>
      <c r="S110" s="167">
        <f>+S120/2</f>
        <v>0</v>
      </c>
      <c r="V110" s="167">
        <f>+V120/2</f>
        <v>0</v>
      </c>
      <c r="W110" s="168"/>
      <c r="X110" s="155"/>
      <c r="Y110" s="155"/>
      <c r="Z110" s="155"/>
      <c r="AA110" s="177">
        <f>+AB120/2</f>
        <v>0</v>
      </c>
      <c r="AB110" s="168"/>
      <c r="AC110" s="169"/>
      <c r="AD110" s="169"/>
      <c r="AE110" s="169"/>
      <c r="AF110" s="168"/>
      <c r="AG110" s="167">
        <f>+AG120/2</f>
        <v>0</v>
      </c>
      <c r="AH110" s="169"/>
    </row>
    <row r="111" spans="1:34" x14ac:dyDescent="0.3">
      <c r="A111" s="155"/>
      <c r="B111" s="159"/>
      <c r="C111" s="167">
        <f>+-(C110+D99)*C105</f>
        <v>36.171918917626712</v>
      </c>
      <c r="D111" s="168"/>
      <c r="E111" s="155"/>
      <c r="F111" s="155"/>
      <c r="G111" s="155"/>
      <c r="H111" s="167">
        <f>+-(H110+H99+I99)*H105</f>
        <v>-44.177973196919602</v>
      </c>
      <c r="I111" s="168"/>
      <c r="J111" s="169"/>
      <c r="K111" s="169"/>
      <c r="L111" s="169"/>
      <c r="M111" s="167">
        <f>+-(M110+M99+N99)*M105</f>
        <v>33.626202663556093</v>
      </c>
      <c r="N111" s="168"/>
      <c r="O111" s="169"/>
      <c r="P111" s="169"/>
      <c r="Q111" s="169"/>
      <c r="R111" s="168"/>
      <c r="S111" s="167">
        <f>+-(S110+R99)*S105</f>
        <v>-11.064104226495113</v>
      </c>
      <c r="V111" s="167">
        <f>+-(V110+W99)*V105</f>
        <v>20.262008682196274</v>
      </c>
      <c r="W111" s="168"/>
      <c r="X111" s="155"/>
      <c r="Y111" s="155"/>
      <c r="Z111" s="155"/>
      <c r="AA111" s="167">
        <f>+-(AA110+AA99+AB99)*AA105</f>
        <v>-36.431192667988817</v>
      </c>
      <c r="AB111" s="168"/>
      <c r="AC111" s="169"/>
      <c r="AD111" s="169"/>
      <c r="AE111" s="169"/>
      <c r="AF111" s="168"/>
      <c r="AG111" s="167">
        <f>+-(AG110+AF99)*AG105</f>
        <v>20.262008682196274</v>
      </c>
      <c r="AH111" s="169"/>
    </row>
    <row r="112" spans="1:34" ht="18" x14ac:dyDescent="0.35">
      <c r="A112" s="155"/>
      <c r="B112" s="155"/>
      <c r="C112" s="178">
        <f>+SUM(C106:C111)</f>
        <v>8149.4359670809581</v>
      </c>
      <c r="D112" s="179"/>
      <c r="E112" s="180"/>
      <c r="F112" s="180"/>
      <c r="G112" s="180"/>
      <c r="H112" s="178">
        <f>+SUM(H106:H111)</f>
        <v>-3771.314886374455</v>
      </c>
      <c r="I112" s="179"/>
      <c r="J112" s="181"/>
      <c r="K112" s="181"/>
      <c r="L112" s="181"/>
      <c r="M112" s="178">
        <f>+SUM(M106:M111)</f>
        <v>965.07771042842285</v>
      </c>
      <c r="N112" s="179"/>
      <c r="O112" s="181"/>
      <c r="P112" s="181"/>
      <c r="Q112" s="181"/>
      <c r="R112" s="179"/>
      <c r="S112" s="178">
        <f>+SUM(S106:S111)</f>
        <v>-4767.4553231486971</v>
      </c>
      <c r="V112" s="178">
        <f>+SUM(V106:V111)</f>
        <v>10539.145002307701</v>
      </c>
      <c r="W112" s="179"/>
      <c r="X112" s="180"/>
      <c r="Y112" s="180"/>
      <c r="Z112" s="180"/>
      <c r="AA112" s="178">
        <f>+SUM(AA106:AA111)</f>
        <v>-6818.7409868372115</v>
      </c>
      <c r="AB112" s="179"/>
      <c r="AC112" s="181"/>
      <c r="AD112" s="181"/>
      <c r="AE112" s="181"/>
      <c r="AF112" s="179"/>
      <c r="AG112" s="178">
        <f>+SUM(AG106:AG111)</f>
        <v>-2634.169838191604</v>
      </c>
      <c r="AH112" s="181"/>
    </row>
    <row r="113" spans="1:34" x14ac:dyDescent="0.3">
      <c r="A113" s="152"/>
      <c r="B113" s="143"/>
      <c r="C113" s="478"/>
      <c r="D113" s="478"/>
      <c r="E113" s="478"/>
      <c r="F113" s="478"/>
      <c r="G113" s="478"/>
      <c r="H113" s="478"/>
      <c r="I113" s="478"/>
      <c r="J113" s="165"/>
      <c r="K113" s="165"/>
      <c r="L113" s="165"/>
      <c r="M113" s="478"/>
      <c r="N113" s="478"/>
      <c r="O113" s="165"/>
      <c r="P113" s="165"/>
      <c r="Q113" s="165"/>
      <c r="R113" s="478"/>
      <c r="S113" s="478"/>
      <c r="V113" s="478"/>
      <c r="W113" s="478"/>
      <c r="X113" s="478"/>
      <c r="Y113" s="478"/>
      <c r="Z113" s="478"/>
      <c r="AA113" s="478"/>
      <c r="AB113" s="478"/>
      <c r="AC113" s="165"/>
      <c r="AD113" s="165"/>
      <c r="AE113" s="165"/>
      <c r="AF113" s="478"/>
      <c r="AG113" s="478"/>
      <c r="AH113" s="165"/>
    </row>
    <row r="114" spans="1:34" x14ac:dyDescent="0.3">
      <c r="A114" s="143"/>
      <c r="C114" s="478"/>
      <c r="D114" s="478"/>
      <c r="E114" s="478"/>
      <c r="F114" s="478"/>
      <c r="G114" s="478"/>
      <c r="H114" s="478"/>
      <c r="I114" s="478"/>
      <c r="J114" s="478"/>
      <c r="K114" s="478"/>
      <c r="L114" s="478"/>
      <c r="M114" s="478"/>
      <c r="N114" s="478"/>
      <c r="O114" s="478"/>
      <c r="P114" s="478"/>
      <c r="Q114" s="478"/>
      <c r="R114" s="478"/>
      <c r="S114" s="478"/>
      <c r="T114" s="477">
        <f>+T78</f>
        <v>4.5</v>
      </c>
      <c r="V114" s="478"/>
      <c r="W114" s="478"/>
      <c r="X114" s="478"/>
      <c r="Y114" s="478"/>
      <c r="Z114" s="478"/>
      <c r="AA114" s="478"/>
      <c r="AB114" s="478"/>
      <c r="AC114" s="478"/>
      <c r="AD114" s="478"/>
      <c r="AE114" s="478"/>
      <c r="AF114" s="478"/>
      <c r="AG114" s="478"/>
      <c r="AH114" s="478"/>
    </row>
    <row r="115" spans="1:34" x14ac:dyDescent="0.3">
      <c r="A115" s="143"/>
      <c r="C115" s="478"/>
      <c r="D115" s="478"/>
      <c r="E115" s="478"/>
      <c r="F115" s="478"/>
      <c r="G115" s="478"/>
      <c r="H115" s="478"/>
      <c r="I115" s="478"/>
      <c r="J115" s="478"/>
      <c r="K115" s="478"/>
      <c r="L115" s="478"/>
      <c r="M115" s="478"/>
      <c r="N115" s="478"/>
      <c r="O115" s="478"/>
      <c r="P115" s="478"/>
      <c r="Q115" s="478"/>
      <c r="R115" s="478"/>
      <c r="S115" s="478"/>
      <c r="V115" s="478"/>
      <c r="W115" s="478"/>
      <c r="X115" s="478"/>
      <c r="Y115" s="478"/>
      <c r="Z115" s="478"/>
      <c r="AA115" s="478"/>
      <c r="AB115" s="478"/>
      <c r="AC115" s="478"/>
      <c r="AD115" s="478"/>
      <c r="AE115" s="478"/>
      <c r="AF115" s="478"/>
      <c r="AG115" s="478"/>
      <c r="AH115" s="182">
        <f>+T78</f>
        <v>4.5</v>
      </c>
    </row>
    <row r="116" spans="1:34" x14ac:dyDescent="0.3">
      <c r="A116" s="169"/>
      <c r="B116" s="170"/>
      <c r="C116" s="478"/>
      <c r="D116" s="478"/>
      <c r="E116" s="478"/>
      <c r="F116" s="478"/>
      <c r="G116" s="478"/>
      <c r="H116" s="478"/>
      <c r="I116" s="478"/>
      <c r="J116" s="478"/>
      <c r="K116" s="478"/>
      <c r="L116" s="478"/>
      <c r="M116" s="478"/>
      <c r="N116" s="478"/>
      <c r="O116" s="478"/>
      <c r="P116" s="478"/>
      <c r="Q116" s="478"/>
      <c r="R116" s="478"/>
      <c r="S116" s="478"/>
      <c r="V116" s="478"/>
      <c r="W116" s="478"/>
      <c r="X116" s="478"/>
      <c r="Y116" s="478"/>
      <c r="Z116" s="478"/>
      <c r="AA116" s="478"/>
      <c r="AB116" s="478"/>
      <c r="AC116" s="478"/>
      <c r="AD116" s="478"/>
      <c r="AE116" s="478"/>
      <c r="AF116" s="478"/>
      <c r="AG116" s="478"/>
      <c r="AH116" s="478"/>
    </row>
    <row r="117" spans="1:34" x14ac:dyDescent="0.3">
      <c r="A117" s="174"/>
      <c r="B117" s="504"/>
      <c r="C117" s="183"/>
      <c r="D117" s="183"/>
      <c r="E117" s="147"/>
      <c r="F117" s="148"/>
      <c r="G117" s="147"/>
      <c r="H117" s="183"/>
      <c r="I117" s="183"/>
      <c r="J117" s="147"/>
      <c r="K117" s="148"/>
      <c r="L117" s="147"/>
      <c r="M117" s="183"/>
      <c r="N117" s="183"/>
      <c r="O117" s="147"/>
      <c r="P117" s="148"/>
      <c r="Q117" s="147"/>
      <c r="R117" s="183"/>
      <c r="S117" s="183"/>
      <c r="V117" s="183"/>
      <c r="W117" s="183"/>
      <c r="X117" s="147"/>
      <c r="Y117" s="148"/>
      <c r="Z117" s="147"/>
      <c r="AA117" s="183"/>
      <c r="AB117" s="183"/>
      <c r="AC117" s="148"/>
      <c r="AD117" s="148"/>
      <c r="AE117" s="148"/>
      <c r="AF117" s="183"/>
      <c r="AG117" s="183"/>
      <c r="AH117" s="148"/>
    </row>
    <row r="118" spans="1:34" x14ac:dyDescent="0.3">
      <c r="A118" s="169"/>
      <c r="C118" s="205"/>
      <c r="D118" s="153"/>
      <c r="E118" s="154"/>
      <c r="F118" s="155"/>
      <c r="G118" s="154"/>
      <c r="H118" s="153"/>
      <c r="I118" s="153"/>
      <c r="J118" s="154"/>
      <c r="K118" s="155"/>
      <c r="L118" s="154"/>
      <c r="M118" s="153"/>
      <c r="N118" s="153"/>
      <c r="O118" s="154"/>
      <c r="P118" s="155"/>
      <c r="Q118" s="154"/>
      <c r="R118" s="153"/>
      <c r="S118" s="153"/>
      <c r="V118" s="205"/>
      <c r="W118" s="153"/>
      <c r="X118" s="154"/>
      <c r="Y118" s="155"/>
      <c r="Z118" s="154"/>
      <c r="AA118" s="153"/>
      <c r="AB118" s="153"/>
      <c r="AC118" s="184"/>
      <c r="AD118" s="155"/>
      <c r="AE118" s="184"/>
      <c r="AF118" s="153"/>
      <c r="AG118" s="153"/>
      <c r="AH118" s="184"/>
    </row>
    <row r="119" spans="1:34" x14ac:dyDescent="0.3">
      <c r="A119" s="174"/>
      <c r="C119" s="205"/>
      <c r="D119" s="153"/>
      <c r="E119" s="156"/>
      <c r="F119" s="157"/>
      <c r="G119" s="156"/>
      <c r="H119" s="153"/>
      <c r="I119" s="153"/>
      <c r="J119" s="156"/>
      <c r="K119" s="157"/>
      <c r="L119" s="156"/>
      <c r="M119" s="153"/>
      <c r="N119" s="153"/>
      <c r="O119" s="156"/>
      <c r="P119" s="157"/>
      <c r="Q119" s="156"/>
      <c r="R119" s="153"/>
      <c r="S119" s="205"/>
      <c r="V119" s="205"/>
      <c r="W119" s="153"/>
      <c r="X119" s="156"/>
      <c r="Y119" s="157"/>
      <c r="Z119" s="156"/>
      <c r="AA119" s="153"/>
      <c r="AB119" s="153"/>
      <c r="AC119" s="172"/>
      <c r="AD119" s="185"/>
      <c r="AE119" s="156"/>
      <c r="AF119" s="153"/>
      <c r="AG119" s="205"/>
      <c r="AH119" s="172"/>
    </row>
    <row r="120" spans="1:34" x14ac:dyDescent="0.3">
      <c r="A120" s="169"/>
      <c r="C120" s="205"/>
      <c r="D120" s="153"/>
      <c r="E120" s="156"/>
      <c r="F120" s="186"/>
      <c r="G120" s="156"/>
      <c r="H120" s="156"/>
      <c r="I120" s="156"/>
      <c r="J120" s="156"/>
      <c r="K120" s="186"/>
      <c r="L120" s="156"/>
      <c r="M120" s="156"/>
      <c r="N120" s="156"/>
      <c r="O120" s="156"/>
      <c r="P120" s="186"/>
      <c r="Q120" s="156"/>
      <c r="R120" s="153"/>
      <c r="S120" s="205"/>
      <c r="V120" s="205"/>
      <c r="W120" s="153"/>
      <c r="X120" s="156"/>
      <c r="Y120" s="186"/>
      <c r="Z120" s="156"/>
      <c r="AA120" s="156"/>
      <c r="AB120" s="156"/>
      <c r="AC120" s="155"/>
      <c r="AD120" s="155"/>
      <c r="AE120" s="155"/>
      <c r="AF120" s="153"/>
      <c r="AG120" s="205"/>
      <c r="AH120" s="155"/>
    </row>
    <row r="121" spans="1:34" x14ac:dyDescent="0.3">
      <c r="A121" s="169"/>
      <c r="C121" s="205"/>
      <c r="D121" s="173"/>
      <c r="E121" s="155"/>
      <c r="F121" s="187"/>
      <c r="G121" s="155"/>
      <c r="H121" s="156"/>
      <c r="I121" s="173"/>
      <c r="J121" s="155"/>
      <c r="K121" s="187"/>
      <c r="L121" s="155"/>
      <c r="M121" s="155"/>
      <c r="N121" s="153"/>
      <c r="O121" s="155"/>
      <c r="P121" s="187"/>
      <c r="Q121" s="155"/>
      <c r="R121" s="173"/>
      <c r="S121" s="205"/>
      <c r="V121" s="205"/>
      <c r="W121" s="173"/>
      <c r="X121" s="155"/>
      <c r="Y121" s="187"/>
      <c r="Z121" s="155"/>
      <c r="AA121" s="156"/>
      <c r="AB121" s="173"/>
      <c r="AC121" s="155"/>
      <c r="AD121" s="155"/>
      <c r="AE121" s="155"/>
      <c r="AF121" s="173"/>
      <c r="AG121" s="205"/>
      <c r="AH121" s="155"/>
    </row>
    <row r="122" spans="1:34" ht="18" x14ac:dyDescent="0.35">
      <c r="A122" s="181"/>
      <c r="C122" s="205"/>
      <c r="D122" s="188"/>
      <c r="E122" s="155"/>
      <c r="F122" s="155"/>
      <c r="G122" s="155"/>
      <c r="H122" s="155"/>
      <c r="I122" s="189"/>
      <c r="J122" s="155"/>
      <c r="K122" s="155"/>
      <c r="L122" s="155"/>
      <c r="M122" s="155"/>
      <c r="N122" s="189"/>
      <c r="O122" s="155"/>
      <c r="P122" s="155"/>
      <c r="Q122" s="155"/>
      <c r="R122" s="153"/>
      <c r="S122" s="205"/>
      <c r="V122" s="205"/>
      <c r="W122" s="188"/>
      <c r="X122" s="155"/>
      <c r="Y122" s="155"/>
      <c r="Z122" s="155"/>
      <c r="AA122" s="156"/>
      <c r="AB122" s="189"/>
      <c r="AC122" s="155"/>
      <c r="AD122" s="155"/>
      <c r="AE122" s="155"/>
      <c r="AF122" s="153"/>
      <c r="AG122" s="205"/>
      <c r="AH122" s="155"/>
    </row>
    <row r="123" spans="1:34" ht="18" x14ac:dyDescent="0.35">
      <c r="A123" s="143"/>
      <c r="C123" s="148"/>
      <c r="D123" s="191"/>
      <c r="E123" s="147"/>
      <c r="F123" s="148"/>
      <c r="G123" s="147"/>
      <c r="H123" s="191"/>
      <c r="I123" s="188"/>
      <c r="J123" s="147"/>
      <c r="K123" s="148"/>
      <c r="L123" s="147"/>
      <c r="M123" s="148"/>
      <c r="N123" s="191"/>
      <c r="O123" s="147"/>
      <c r="P123" s="148"/>
      <c r="Q123" s="147"/>
      <c r="R123" s="191"/>
      <c r="S123" s="148"/>
      <c r="V123" s="148"/>
      <c r="W123" s="191"/>
      <c r="X123" s="147"/>
      <c r="Y123" s="148"/>
      <c r="Z123" s="147"/>
      <c r="AA123" s="191"/>
      <c r="AB123" s="188"/>
      <c r="AC123" s="148"/>
      <c r="AD123" s="148"/>
      <c r="AE123" s="148"/>
      <c r="AF123" s="191"/>
      <c r="AG123" s="148"/>
      <c r="AH123" s="148"/>
    </row>
    <row r="124" spans="1:34" ht="15.6" x14ac:dyDescent="0.3">
      <c r="A124" s="143"/>
      <c r="C124" s="198"/>
      <c r="D124" s="199"/>
      <c r="E124" s="148"/>
      <c r="F124" s="148"/>
      <c r="G124" s="148"/>
      <c r="H124" s="199"/>
      <c r="I124" s="198"/>
      <c r="J124" s="148"/>
      <c r="K124" s="148"/>
      <c r="L124" s="148"/>
      <c r="M124" s="198"/>
      <c r="N124" s="199"/>
      <c r="O124" s="148"/>
      <c r="P124" s="148"/>
      <c r="Q124" s="148"/>
      <c r="R124" s="153"/>
      <c r="S124" s="198"/>
      <c r="V124" s="198"/>
      <c r="W124" s="193">
        <f>+V112/2</f>
        <v>5269.5725011538507</v>
      </c>
      <c r="X124" s="194"/>
      <c r="Y124" s="194"/>
      <c r="Z124" s="194"/>
      <c r="AA124" s="193">
        <f>+AA112/2</f>
        <v>-3409.3704934186057</v>
      </c>
      <c r="AB124" s="193"/>
      <c r="AC124" s="194"/>
      <c r="AD124" s="194"/>
      <c r="AE124" s="194"/>
      <c r="AF124" s="501">
        <f>+AG112/2</f>
        <v>-1317.084919095802</v>
      </c>
      <c r="AG124" s="198"/>
      <c r="AH124" s="148"/>
    </row>
    <row r="125" spans="1:34" x14ac:dyDescent="0.3">
      <c r="A125" s="182"/>
      <c r="C125" s="148"/>
      <c r="D125" s="148"/>
      <c r="E125" s="148"/>
      <c r="F125" s="148"/>
      <c r="G125" s="148"/>
      <c r="H125" s="148"/>
      <c r="I125" s="197"/>
      <c r="J125" s="148"/>
      <c r="K125" s="148"/>
      <c r="L125" s="148"/>
      <c r="M125" s="148"/>
      <c r="N125" s="148"/>
      <c r="O125" s="148"/>
      <c r="P125" s="148"/>
      <c r="Q125" s="148"/>
      <c r="R125" s="148"/>
      <c r="S125" s="148"/>
      <c r="V125" s="148"/>
      <c r="W125" s="148"/>
      <c r="X125" s="148"/>
      <c r="Y125" s="148"/>
      <c r="Z125" s="148"/>
      <c r="AA125" s="148"/>
      <c r="AB125" s="197"/>
      <c r="AC125" s="148"/>
      <c r="AD125" s="148"/>
      <c r="AE125" s="148"/>
      <c r="AF125" s="148"/>
      <c r="AG125" s="148"/>
      <c r="AH125" s="148"/>
    </row>
    <row r="126" spans="1:34" x14ac:dyDescent="0.3">
      <c r="A126" s="143"/>
      <c r="C126" s="198"/>
      <c r="D126" s="148"/>
      <c r="E126" s="148"/>
      <c r="F126" s="148"/>
      <c r="G126" s="148"/>
      <c r="H126" s="198"/>
      <c r="I126" s="199"/>
      <c r="J126" s="148"/>
      <c r="K126" s="148"/>
      <c r="L126" s="148"/>
      <c r="M126" s="199"/>
      <c r="N126" s="198"/>
      <c r="O126" s="148"/>
      <c r="P126" s="148"/>
      <c r="Q126" s="148"/>
      <c r="R126" s="148"/>
      <c r="S126" s="198"/>
      <c r="V126" s="198"/>
      <c r="W126" s="148"/>
      <c r="X126" s="148"/>
      <c r="Y126" s="205"/>
      <c r="Z126" s="148"/>
      <c r="AA126" s="198"/>
      <c r="AB126" s="199"/>
      <c r="AC126" s="148"/>
      <c r="AD126" s="145"/>
      <c r="AE126" s="148"/>
      <c r="AF126" s="153"/>
      <c r="AG126" s="198"/>
      <c r="AH126" s="148"/>
    </row>
    <row r="127" spans="1:34" ht="18" x14ac:dyDescent="0.35">
      <c r="A127" s="143"/>
      <c r="C127" s="155"/>
      <c r="D127" s="155"/>
      <c r="E127" s="155"/>
      <c r="F127" s="503"/>
      <c r="G127" s="155"/>
      <c r="H127" s="155"/>
      <c r="I127" s="191"/>
      <c r="J127" s="155"/>
      <c r="K127" s="156"/>
      <c r="L127" s="155"/>
      <c r="M127" s="201"/>
      <c r="N127" s="155"/>
      <c r="O127" s="155"/>
      <c r="P127" s="156"/>
      <c r="Q127" s="155"/>
      <c r="R127" s="155"/>
      <c r="S127" s="155"/>
      <c r="V127" s="155"/>
      <c r="W127" s="156"/>
      <c r="X127" s="155"/>
      <c r="Y127" s="202"/>
      <c r="Z127" s="155"/>
      <c r="AA127" s="155"/>
      <c r="AB127" s="191"/>
      <c r="AC127" s="147"/>
      <c r="AD127" s="148"/>
      <c r="AE127" s="147"/>
      <c r="AF127" s="191"/>
      <c r="AG127" s="155"/>
      <c r="AH127" s="155"/>
    </row>
    <row r="128" spans="1:34" x14ac:dyDescent="0.3">
      <c r="A128" s="143"/>
      <c r="C128" s="156"/>
      <c r="D128" s="155"/>
      <c r="E128" s="155"/>
      <c r="F128" s="202"/>
      <c r="G128" s="155"/>
      <c r="H128" s="155"/>
      <c r="I128" s="155"/>
      <c r="J128" s="155"/>
      <c r="K128" s="155"/>
      <c r="L128" s="155"/>
      <c r="M128" s="155"/>
      <c r="N128" s="155"/>
      <c r="O128" s="155"/>
      <c r="P128" s="202"/>
      <c r="Q128" s="155"/>
      <c r="R128" s="155"/>
      <c r="S128" s="156"/>
      <c r="V128" s="156"/>
      <c r="W128" s="155"/>
      <c r="X128" s="155"/>
      <c r="Y128" s="155"/>
      <c r="Z128" s="155"/>
      <c r="AA128" s="155"/>
      <c r="AB128" s="156"/>
      <c r="AC128" s="154"/>
      <c r="AD128" s="155"/>
      <c r="AE128" s="154"/>
      <c r="AF128" s="156"/>
      <c r="AG128" s="156"/>
      <c r="AH128" s="155"/>
    </row>
    <row r="129" spans="1:34" x14ac:dyDescent="0.3">
      <c r="A129" s="143"/>
      <c r="C129" s="155"/>
      <c r="D129" s="155"/>
      <c r="E129" s="155"/>
      <c r="F129" s="477">
        <f>+F92</f>
        <v>7.5</v>
      </c>
      <c r="G129" s="155"/>
      <c r="H129" s="155"/>
      <c r="I129" s="155"/>
      <c r="J129" s="155"/>
      <c r="K129" s="477">
        <f>+K92</f>
        <v>7.5</v>
      </c>
      <c r="L129" s="155"/>
      <c r="M129" s="155"/>
      <c r="N129" s="155"/>
      <c r="O129" s="155"/>
      <c r="P129" s="477">
        <f>+P92</f>
        <v>7.5</v>
      </c>
      <c r="Q129" s="155"/>
      <c r="R129" s="155"/>
      <c r="S129" s="155"/>
      <c r="V129" s="155"/>
      <c r="W129" s="155"/>
      <c r="X129" s="155"/>
      <c r="Y129" s="502">
        <f>+Y92</f>
        <v>7.5</v>
      </c>
      <c r="Z129" s="155"/>
      <c r="AA129" s="155"/>
      <c r="AB129" s="156"/>
      <c r="AC129" s="156"/>
      <c r="AD129" s="502">
        <f>+AD92</f>
        <v>7.5</v>
      </c>
      <c r="AE129" s="156"/>
      <c r="AF129" s="156"/>
      <c r="AG129" s="155"/>
      <c r="AH129" s="155"/>
    </row>
    <row r="130" spans="1:34" x14ac:dyDescent="0.3">
      <c r="A130" s="143"/>
      <c r="C130" s="176"/>
      <c r="D130" s="155"/>
      <c r="E130" s="155"/>
      <c r="F130" s="155"/>
      <c r="G130" s="155"/>
      <c r="H130" s="203"/>
      <c r="I130" s="156"/>
      <c r="J130" s="155"/>
      <c r="K130" s="204"/>
      <c r="L130" s="155"/>
      <c r="M130" s="203"/>
      <c r="N130" s="156"/>
      <c r="O130" s="155"/>
      <c r="P130" s="204"/>
      <c r="Q130" s="155"/>
      <c r="R130" s="155"/>
      <c r="S130" s="172"/>
      <c r="V130" s="176"/>
      <c r="W130" s="155"/>
      <c r="X130" s="155"/>
      <c r="Y130" s="155"/>
      <c r="Z130" s="155"/>
      <c r="AA130" s="203"/>
      <c r="AB130" s="156"/>
      <c r="AC130" s="156"/>
      <c r="AD130" s="186"/>
      <c r="AE130" s="156"/>
      <c r="AF130" s="156"/>
      <c r="AG130" s="172"/>
      <c r="AH130" s="155"/>
    </row>
    <row r="131" spans="1:34" x14ac:dyDescent="0.3">
      <c r="A131" s="143"/>
      <c r="C131" s="155"/>
      <c r="D131" s="155"/>
      <c r="E131" s="155"/>
      <c r="F131" s="155"/>
      <c r="G131" s="155"/>
      <c r="H131" s="155"/>
      <c r="I131" s="156"/>
      <c r="J131" s="155"/>
      <c r="K131" s="155"/>
      <c r="L131" s="155"/>
      <c r="M131" s="156"/>
      <c r="N131" s="155"/>
      <c r="O131" s="155"/>
      <c r="P131" s="155"/>
      <c r="Q131" s="155"/>
      <c r="R131" s="155"/>
      <c r="S131" s="155"/>
      <c r="V131" s="155"/>
      <c r="W131" s="155"/>
      <c r="X131" s="155"/>
      <c r="Y131" s="155"/>
      <c r="Z131" s="155"/>
      <c r="AA131" s="155"/>
      <c r="AB131" s="156"/>
      <c r="AC131" s="155"/>
      <c r="AD131" s="187"/>
      <c r="AE131" s="155"/>
      <c r="AF131" s="156"/>
      <c r="AG131" s="155"/>
      <c r="AH131" s="155"/>
    </row>
    <row r="132" spans="1:34" x14ac:dyDescent="0.3">
      <c r="A132" s="143"/>
      <c r="D132" s="153"/>
      <c r="E132" s="121"/>
    </row>
    <row r="133" spans="1:34" ht="18" x14ac:dyDescent="0.35">
      <c r="A133" s="143"/>
      <c r="D133" s="191"/>
      <c r="E133" s="190"/>
    </row>
    <row r="134" spans="1:34" ht="15.6" x14ac:dyDescent="0.3">
      <c r="A134" s="143"/>
      <c r="D134" s="193"/>
      <c r="E134" s="196"/>
    </row>
    <row r="135" spans="1:34" x14ac:dyDescent="0.3">
      <c r="A135" s="143"/>
    </row>
    <row r="136" spans="1:34" x14ac:dyDescent="0.3">
      <c r="A136" s="143"/>
    </row>
    <row r="137" spans="1:34" x14ac:dyDescent="0.3">
      <c r="A137" s="143"/>
    </row>
    <row r="138" spans="1:34" x14ac:dyDescent="0.3">
      <c r="A138" s="143"/>
    </row>
    <row r="139" spans="1:34" x14ac:dyDescent="0.3">
      <c r="A139" s="143"/>
    </row>
    <row r="140" spans="1:34" x14ac:dyDescent="0.3">
      <c r="A140" s="203"/>
      <c r="B140" s="156"/>
      <c r="C140" s="155"/>
      <c r="D140" s="204"/>
      <c r="E140" s="155"/>
      <c r="F140" s="155"/>
      <c r="G140" s="172"/>
      <c r="H140" s="143"/>
    </row>
    <row r="141" spans="1:34" x14ac:dyDescent="0.3">
      <c r="A141" s="155"/>
      <c r="B141" s="155"/>
      <c r="C141" s="145"/>
      <c r="D141" s="145"/>
      <c r="E141" s="145"/>
      <c r="F141" s="145"/>
      <c r="G141" s="145"/>
      <c r="H141" s="145"/>
    </row>
    <row r="142" spans="1:34" x14ac:dyDescent="0.3">
      <c r="A142" s="156"/>
      <c r="B142" s="155"/>
      <c r="C142" s="145"/>
      <c r="D142" s="145"/>
      <c r="E142" s="145"/>
      <c r="F142" s="145"/>
      <c r="G142" s="145"/>
      <c r="H142" s="145"/>
    </row>
    <row r="143" spans="1:34" ht="18" x14ac:dyDescent="0.35">
      <c r="A143" s="191"/>
      <c r="B143" s="180"/>
      <c r="C143" s="145"/>
      <c r="D143" s="145"/>
      <c r="E143" s="145"/>
      <c r="F143" s="145"/>
      <c r="G143" s="145"/>
      <c r="H143" s="145"/>
    </row>
    <row r="144" spans="1:34" x14ac:dyDescent="0.3">
      <c r="A144" s="148"/>
      <c r="B144" s="148"/>
      <c r="C144" s="145"/>
      <c r="D144" s="145"/>
      <c r="E144" s="145"/>
      <c r="F144" s="145"/>
      <c r="G144" s="145"/>
      <c r="H144" s="145"/>
    </row>
    <row r="145" spans="1:8" x14ac:dyDescent="0.3">
      <c r="A145" s="148"/>
      <c r="B145" s="148"/>
      <c r="C145" s="145"/>
      <c r="D145" s="145"/>
      <c r="E145" s="145"/>
      <c r="F145" s="145"/>
      <c r="G145" s="145"/>
      <c r="H145" s="145"/>
    </row>
    <row r="146" spans="1:8" x14ac:dyDescent="0.3">
      <c r="A146" s="148"/>
      <c r="B146" s="205"/>
      <c r="C146" s="145"/>
      <c r="D146" s="145"/>
      <c r="E146" s="145"/>
      <c r="F146" s="145"/>
      <c r="G146" s="145"/>
      <c r="H146" s="145"/>
    </row>
    <row r="147" spans="1:8" x14ac:dyDescent="0.3">
      <c r="A147" s="148"/>
      <c r="B147" s="148"/>
      <c r="C147" s="145"/>
      <c r="D147" s="145"/>
      <c r="E147" s="145"/>
      <c r="F147" s="145"/>
      <c r="G147" s="145"/>
      <c r="H147" s="145"/>
    </row>
    <row r="148" spans="1:8" x14ac:dyDescent="0.3">
      <c r="A148" s="148"/>
      <c r="B148" s="148"/>
      <c r="C148" s="145"/>
      <c r="D148" s="145"/>
      <c r="E148" s="145"/>
      <c r="F148" s="145"/>
      <c r="G148" s="145"/>
      <c r="H148" s="145"/>
    </row>
    <row r="149" spans="1:8" x14ac:dyDescent="0.3">
      <c r="A149" s="148"/>
      <c r="B149" s="148"/>
      <c r="C149" s="145"/>
      <c r="D149" s="145"/>
      <c r="E149" s="145"/>
      <c r="F149" s="145"/>
      <c r="G149" s="145"/>
      <c r="H149" s="145"/>
    </row>
    <row r="150" spans="1:8" x14ac:dyDescent="0.3">
      <c r="A150" s="148"/>
      <c r="B150" s="148"/>
      <c r="C150" s="145"/>
      <c r="D150" s="145"/>
      <c r="E150" s="145"/>
      <c r="F150" s="145"/>
      <c r="G150" s="145"/>
      <c r="H150" s="145"/>
    </row>
    <row r="151" spans="1:8" x14ac:dyDescent="0.3">
      <c r="A151" s="143"/>
      <c r="B151" s="143"/>
    </row>
    <row r="152" spans="1:8" x14ac:dyDescent="0.3">
      <c r="A152" s="143"/>
      <c r="B152" s="206"/>
    </row>
    <row r="153" spans="1:8" x14ac:dyDescent="0.3">
      <c r="A153" s="143"/>
      <c r="B153" s="206"/>
    </row>
    <row r="154" spans="1:8" x14ac:dyDescent="0.3">
      <c r="A154" s="143"/>
      <c r="B154" s="143"/>
    </row>
    <row r="155" spans="1:8" x14ac:dyDescent="0.3">
      <c r="A155" s="143"/>
      <c r="B155" s="143"/>
    </row>
    <row r="156" spans="1:8" x14ac:dyDescent="0.3">
      <c r="A156" s="143"/>
      <c r="B156" s="143"/>
    </row>
    <row r="157" spans="1:8" x14ac:dyDescent="0.3">
      <c r="A157" s="143"/>
      <c r="B157" s="143"/>
    </row>
    <row r="158" spans="1:8" x14ac:dyDescent="0.3">
      <c r="A158" s="143"/>
      <c r="B158" s="143"/>
    </row>
    <row r="159" spans="1:8" x14ac:dyDescent="0.3">
      <c r="A159" s="143"/>
      <c r="B159" s="143"/>
    </row>
    <row r="160" spans="1:8" x14ac:dyDescent="0.3">
      <c r="A160" s="143"/>
      <c r="B160" s="143"/>
    </row>
    <row r="161" spans="1:2" x14ac:dyDescent="0.3">
      <c r="A161" s="143"/>
      <c r="B161" s="143"/>
    </row>
  </sheetData>
  <mergeCells count="4">
    <mergeCell ref="C22:D22"/>
    <mergeCell ref="J27:L28"/>
    <mergeCell ref="B5:B15"/>
    <mergeCell ref="B16:B2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Y67"/>
  <sheetViews>
    <sheetView topLeftCell="A2" workbookViewId="0">
      <selection activeCell="L13" sqref="L13"/>
    </sheetView>
  </sheetViews>
  <sheetFormatPr baseColWidth="10" defaultRowHeight="14.4" x14ac:dyDescent="0.3"/>
  <cols>
    <col min="3" max="3" width="12.44140625" bestFit="1" customWidth="1"/>
    <col min="6" max="6" width="11.6640625" bestFit="1" customWidth="1"/>
    <col min="9" max="9" width="11.6640625" bestFit="1" customWidth="1"/>
    <col min="15" max="15" width="11.6640625" bestFit="1" customWidth="1"/>
  </cols>
  <sheetData>
    <row r="2" spans="2:25" ht="25.8" x14ac:dyDescent="0.5">
      <c r="B2" s="211" t="s">
        <v>515</v>
      </c>
      <c r="N2" s="211" t="s">
        <v>516</v>
      </c>
    </row>
    <row r="3" spans="2:25" ht="21" x14ac:dyDescent="0.4">
      <c r="B3" s="212" t="s">
        <v>122</v>
      </c>
      <c r="C3" s="213"/>
      <c r="D3" s="586" t="s">
        <v>123</v>
      </c>
      <c r="E3" s="586"/>
      <c r="F3" s="587"/>
      <c r="G3" s="214"/>
      <c r="H3" s="586" t="s">
        <v>124</v>
      </c>
      <c r="I3" s="586"/>
      <c r="J3" s="587"/>
      <c r="N3" s="212" t="s">
        <v>122</v>
      </c>
      <c r="O3" s="213"/>
      <c r="P3" s="586" t="s">
        <v>123</v>
      </c>
      <c r="Q3" s="586"/>
      <c r="R3" s="587"/>
      <c r="S3" s="214"/>
      <c r="T3" s="586" t="s">
        <v>124</v>
      </c>
      <c r="U3" s="586"/>
      <c r="V3" s="587"/>
    </row>
    <row r="4" spans="2:25" x14ac:dyDescent="0.3">
      <c r="B4" s="215"/>
      <c r="C4" s="101" t="s">
        <v>125</v>
      </c>
      <c r="D4" s="216" t="s">
        <v>126</v>
      </c>
      <c r="E4" s="216" t="s">
        <v>127</v>
      </c>
      <c r="F4" s="217" t="s">
        <v>128</v>
      </c>
      <c r="G4" s="218" t="s">
        <v>129</v>
      </c>
      <c r="H4" s="190" t="s">
        <v>130</v>
      </c>
      <c r="I4" s="190" t="s">
        <v>131</v>
      </c>
      <c r="J4" s="219" t="s">
        <v>132</v>
      </c>
      <c r="N4" s="215"/>
      <c r="O4" s="101" t="s">
        <v>125</v>
      </c>
      <c r="P4" s="216" t="s">
        <v>126</v>
      </c>
      <c r="Q4" s="216" t="s">
        <v>127</v>
      </c>
      <c r="R4" s="217" t="s">
        <v>128</v>
      </c>
      <c r="S4" s="218" t="s">
        <v>129</v>
      </c>
      <c r="T4" s="190" t="s">
        <v>130</v>
      </c>
      <c r="U4" s="190" t="s">
        <v>131</v>
      </c>
      <c r="V4" s="219" t="s">
        <v>132</v>
      </c>
    </row>
    <row r="5" spans="2:25" x14ac:dyDescent="0.3">
      <c r="B5" s="220"/>
      <c r="C5" s="221" t="s">
        <v>133</v>
      </c>
      <c r="D5" s="221">
        <v>345</v>
      </c>
      <c r="E5" s="221">
        <v>375</v>
      </c>
      <c r="F5" s="222">
        <v>450</v>
      </c>
      <c r="G5" s="223" t="s">
        <v>134</v>
      </c>
      <c r="H5" s="221">
        <v>980</v>
      </c>
      <c r="I5" s="221">
        <v>1170</v>
      </c>
      <c r="J5" s="222">
        <v>1290</v>
      </c>
      <c r="N5" s="220"/>
      <c r="O5" s="221" t="s">
        <v>133</v>
      </c>
      <c r="P5" s="221">
        <v>345</v>
      </c>
      <c r="Q5" s="221">
        <v>375</v>
      </c>
      <c r="R5" s="222">
        <v>450</v>
      </c>
      <c r="S5" s="223" t="s">
        <v>134</v>
      </c>
      <c r="T5" s="221">
        <v>980</v>
      </c>
      <c r="U5" s="221">
        <v>1170</v>
      </c>
      <c r="V5" s="222">
        <v>1290</v>
      </c>
    </row>
    <row r="6" spans="2:25" x14ac:dyDescent="0.3">
      <c r="B6" s="224" t="s">
        <v>135</v>
      </c>
      <c r="K6" s="585"/>
      <c r="L6" s="585"/>
      <c r="M6" s="585"/>
      <c r="N6" s="224" t="s">
        <v>135</v>
      </c>
      <c r="W6" s="585"/>
      <c r="X6" s="585"/>
      <c r="Y6" s="585"/>
    </row>
    <row r="7" spans="2:25" ht="15.6" x14ac:dyDescent="0.3">
      <c r="B7" s="225" t="s">
        <v>136</v>
      </c>
      <c r="H7" s="226"/>
      <c r="N7" s="225" t="s">
        <v>136</v>
      </c>
      <c r="T7" s="226"/>
    </row>
    <row r="8" spans="2:25" ht="15.6" x14ac:dyDescent="0.3">
      <c r="B8" s="225" t="s">
        <v>137</v>
      </c>
      <c r="N8" s="225" t="s">
        <v>137</v>
      </c>
    </row>
    <row r="10" spans="2:25" x14ac:dyDescent="0.3">
      <c r="B10" s="227" t="s">
        <v>138</v>
      </c>
      <c r="C10" s="213">
        <v>0.9</v>
      </c>
      <c r="D10" s="228"/>
      <c r="E10" s="227" t="s">
        <v>138</v>
      </c>
      <c r="F10" s="213">
        <v>0.9</v>
      </c>
      <c r="G10" s="228"/>
      <c r="H10" s="227" t="s">
        <v>138</v>
      </c>
      <c r="I10" s="213">
        <v>0.9</v>
      </c>
      <c r="J10" s="228"/>
      <c r="K10" t="s">
        <v>122</v>
      </c>
      <c r="N10" s="227" t="s">
        <v>138</v>
      </c>
      <c r="O10" s="213">
        <v>0.9</v>
      </c>
      <c r="P10" s="228"/>
      <c r="Q10" s="227" t="s">
        <v>138</v>
      </c>
      <c r="R10" s="213">
        <v>0.9</v>
      </c>
      <c r="S10" s="228"/>
      <c r="T10" s="227" t="s">
        <v>138</v>
      </c>
      <c r="U10" s="213">
        <v>0.9</v>
      </c>
      <c r="V10" s="228"/>
      <c r="W10" t="s">
        <v>122</v>
      </c>
    </row>
    <row r="11" spans="2:25" x14ac:dyDescent="0.3">
      <c r="B11" s="229" t="s">
        <v>139</v>
      </c>
      <c r="C11" s="230">
        <f>+CROSS!X97*100</f>
        <v>1053914.5002307703</v>
      </c>
      <c r="D11" s="231" t="s">
        <v>140</v>
      </c>
      <c r="E11" s="229" t="s">
        <v>141</v>
      </c>
      <c r="F11" s="230">
        <f>+CROSS!Y107*100</f>
        <v>607556.5577993039</v>
      </c>
      <c r="G11" s="231" t="s">
        <v>140</v>
      </c>
      <c r="H11" s="229" t="s">
        <v>139</v>
      </c>
      <c r="I11" s="230">
        <f>+CROSS!Z97*100</f>
        <v>1124646.3658293779</v>
      </c>
      <c r="J11" s="231" t="s">
        <v>140</v>
      </c>
      <c r="K11" s="145" t="s">
        <v>129</v>
      </c>
      <c r="L11" s="232">
        <f>H$5*(I13/100*I12/100*I31)</f>
        <v>1763.9999999999998</v>
      </c>
      <c r="N11" s="229" t="s">
        <v>139</v>
      </c>
      <c r="O11" s="230">
        <f>+-CROSS!AB97*100</f>
        <v>442772.26714565675</v>
      </c>
      <c r="P11" s="231" t="s">
        <v>140</v>
      </c>
      <c r="Q11" s="229" t="s">
        <v>141</v>
      </c>
      <c r="R11" s="230">
        <f>+CROSS!AD106*100</f>
        <v>169837.5</v>
      </c>
      <c r="S11" s="231" t="s">
        <v>140</v>
      </c>
      <c r="T11" s="229" t="s">
        <v>139</v>
      </c>
      <c r="U11" s="230">
        <f>+CROSS!AF97*100</f>
        <v>263416.98381916038</v>
      </c>
      <c r="V11" s="231" t="s">
        <v>140</v>
      </c>
      <c r="W11" s="145" t="s">
        <v>129</v>
      </c>
      <c r="X11" s="232">
        <f>T$5*(U13/100*U12/100*U31)</f>
        <v>1763.9999999999998</v>
      </c>
    </row>
    <row r="12" spans="2:25" x14ac:dyDescent="0.3">
      <c r="B12" s="233" t="s">
        <v>142</v>
      </c>
      <c r="C12" s="101">
        <v>40</v>
      </c>
      <c r="D12" s="231" t="s">
        <v>120</v>
      </c>
      <c r="E12" s="233" t="s">
        <v>142</v>
      </c>
      <c r="F12" s="101">
        <v>40</v>
      </c>
      <c r="G12" s="231" t="s">
        <v>120</v>
      </c>
      <c r="H12" s="233" t="s">
        <v>142</v>
      </c>
      <c r="I12" s="101">
        <f>+C12</f>
        <v>40</v>
      </c>
      <c r="J12" s="231" t="s">
        <v>120</v>
      </c>
      <c r="K12" s="145" t="s">
        <v>125</v>
      </c>
      <c r="L12" s="232">
        <f>(E5)*((I24/9.23)*(I31/6.09))+(H30/9.23)*(I31/6.09)+(I27/9.23)*(0.5*I31/6.09)+((F27/9.23)*((I31/3)/6.09)+(L27/9.23)*((I31/3)/6.09))</f>
        <v>620.2996769017609</v>
      </c>
      <c r="N12" s="233" t="s">
        <v>142</v>
      </c>
      <c r="O12" s="101">
        <v>40</v>
      </c>
      <c r="P12" s="231" t="s">
        <v>120</v>
      </c>
      <c r="Q12" s="233" t="s">
        <v>142</v>
      </c>
      <c r="R12" s="101">
        <f>+O12</f>
        <v>40</v>
      </c>
      <c r="S12" s="231" t="s">
        <v>120</v>
      </c>
      <c r="T12" s="233" t="s">
        <v>142</v>
      </c>
      <c r="U12" s="101">
        <f>+O12</f>
        <v>40</v>
      </c>
      <c r="V12" s="231" t="s">
        <v>120</v>
      </c>
      <c r="W12" s="145" t="s">
        <v>125</v>
      </c>
      <c r="X12" s="232">
        <f>Q5*((U24/9.23)*(U31/6.09))+(T30/9.23)*(U31/6.09)+((U31/3)/6.09)*(R27/9.23)+((U31/2)/6.09)*(U27/9.23)+((U31/3)/6.09)*(X27/9.23)</f>
        <v>619.65825420022622</v>
      </c>
    </row>
    <row r="13" spans="2:25" x14ac:dyDescent="0.3">
      <c r="B13" s="233" t="s">
        <v>143</v>
      </c>
      <c r="C13" s="101">
        <v>60</v>
      </c>
      <c r="D13" s="231" t="s">
        <v>120</v>
      </c>
      <c r="E13" s="233" t="s">
        <v>143</v>
      </c>
      <c r="F13" s="101">
        <f>+C13</f>
        <v>60</v>
      </c>
      <c r="G13" s="231" t="s">
        <v>120</v>
      </c>
      <c r="H13" s="233" t="s">
        <v>143</v>
      </c>
      <c r="I13" s="101">
        <f>+C13</f>
        <v>60</v>
      </c>
      <c r="J13" s="231" t="s">
        <v>120</v>
      </c>
      <c r="K13" s="145" t="s">
        <v>144</v>
      </c>
      <c r="L13" s="234">
        <f>SUM(L11:L12)</f>
        <v>2384.2996769017609</v>
      </c>
      <c r="N13" s="233" t="s">
        <v>143</v>
      </c>
      <c r="O13" s="101">
        <v>60</v>
      </c>
      <c r="P13" s="231" t="s">
        <v>120</v>
      </c>
      <c r="Q13" s="233" t="s">
        <v>143</v>
      </c>
      <c r="R13" s="101">
        <f>+O13</f>
        <v>60</v>
      </c>
      <c r="S13" s="231" t="s">
        <v>120</v>
      </c>
      <c r="T13" s="233" t="s">
        <v>143</v>
      </c>
      <c r="U13" s="101">
        <f>+O13</f>
        <v>60</v>
      </c>
      <c r="V13" s="231" t="s">
        <v>120</v>
      </c>
      <c r="W13" s="145" t="s">
        <v>144</v>
      </c>
      <c r="X13" s="235">
        <f>SUM(X11:X12)</f>
        <v>2383.6582542002261</v>
      </c>
    </row>
    <row r="14" spans="2:25" x14ac:dyDescent="0.3">
      <c r="B14" s="236" t="s">
        <v>145</v>
      </c>
      <c r="C14" s="237">
        <v>2810</v>
      </c>
      <c r="D14" s="238" t="s">
        <v>146</v>
      </c>
      <c r="E14" s="236" t="s">
        <v>145</v>
      </c>
      <c r="F14" s="237">
        <v>2810</v>
      </c>
      <c r="G14" s="238" t="s">
        <v>146</v>
      </c>
      <c r="H14" s="236" t="s">
        <v>145</v>
      </c>
      <c r="I14" s="237">
        <v>2810</v>
      </c>
      <c r="J14" s="238" t="s">
        <v>146</v>
      </c>
      <c r="N14" s="236" t="s">
        <v>145</v>
      </c>
      <c r="O14" s="237">
        <v>2810</v>
      </c>
      <c r="P14" s="238" t="s">
        <v>146</v>
      </c>
      <c r="Q14" s="236" t="s">
        <v>145</v>
      </c>
      <c r="R14" s="237">
        <v>2810</v>
      </c>
      <c r="S14" s="238" t="s">
        <v>146</v>
      </c>
      <c r="T14" s="236" t="s">
        <v>145</v>
      </c>
      <c r="U14" s="237">
        <v>2810</v>
      </c>
      <c r="V14" s="238" t="s">
        <v>146</v>
      </c>
    </row>
    <row r="15" spans="2:25" x14ac:dyDescent="0.3">
      <c r="B15" s="236" t="s">
        <v>147</v>
      </c>
      <c r="C15" s="237">
        <v>210</v>
      </c>
      <c r="D15" s="238" t="s">
        <v>146</v>
      </c>
      <c r="E15" s="236" t="s">
        <v>147</v>
      </c>
      <c r="F15" s="237">
        <v>210</v>
      </c>
      <c r="G15" s="238" t="s">
        <v>146</v>
      </c>
      <c r="H15" s="236" t="s">
        <v>147</v>
      </c>
      <c r="I15" s="237">
        <v>210</v>
      </c>
      <c r="J15" s="238" t="s">
        <v>146</v>
      </c>
      <c r="N15" s="236" t="s">
        <v>147</v>
      </c>
      <c r="O15" s="237">
        <v>210</v>
      </c>
      <c r="P15" s="238" t="s">
        <v>146</v>
      </c>
      <c r="Q15" s="236" t="s">
        <v>147</v>
      </c>
      <c r="R15" s="237">
        <v>210</v>
      </c>
      <c r="S15" s="238" t="s">
        <v>146</v>
      </c>
      <c r="T15" s="236" t="s">
        <v>147</v>
      </c>
      <c r="U15" s="237">
        <v>210</v>
      </c>
      <c r="V15" s="238" t="s">
        <v>146</v>
      </c>
    </row>
    <row r="16" spans="2:25" x14ac:dyDescent="0.3">
      <c r="B16" s="239" t="s">
        <v>148</v>
      </c>
      <c r="C16" s="101">
        <v>0.85</v>
      </c>
      <c r="D16" s="231"/>
      <c r="E16" s="239" t="s">
        <v>148</v>
      </c>
      <c r="F16" s="101">
        <v>0.85</v>
      </c>
      <c r="G16" s="231"/>
      <c r="H16" s="239" t="s">
        <v>148</v>
      </c>
      <c r="I16" s="101">
        <v>0.85</v>
      </c>
      <c r="J16" s="231"/>
      <c r="N16" s="239" t="s">
        <v>148</v>
      </c>
      <c r="O16" s="101">
        <v>0.85</v>
      </c>
      <c r="P16" s="231"/>
      <c r="Q16" s="239" t="s">
        <v>148</v>
      </c>
      <c r="R16" s="101">
        <v>0.85</v>
      </c>
      <c r="S16" s="231"/>
      <c r="T16" s="239" t="s">
        <v>148</v>
      </c>
      <c r="U16" s="101">
        <v>0.85</v>
      </c>
      <c r="V16" s="231"/>
    </row>
    <row r="17" spans="2:25" x14ac:dyDescent="0.3">
      <c r="B17" s="215"/>
      <c r="C17" s="101"/>
      <c r="D17" s="231"/>
      <c r="E17" s="215"/>
      <c r="F17" s="101"/>
      <c r="G17" s="231"/>
      <c r="H17" s="215"/>
      <c r="I17" s="101"/>
      <c r="J17" s="231"/>
      <c r="N17" s="215"/>
      <c r="O17" s="101"/>
      <c r="P17" s="231"/>
      <c r="Q17" s="215"/>
      <c r="R17" s="101"/>
      <c r="S17" s="231"/>
      <c r="T17" s="215"/>
      <c r="U17" s="101"/>
      <c r="V17" s="231"/>
    </row>
    <row r="18" spans="2:25" x14ac:dyDescent="0.3">
      <c r="B18" s="233" t="s">
        <v>149</v>
      </c>
      <c r="C18" s="240">
        <f>14.5*C12*C13/C14</f>
        <v>12.384341637010676</v>
      </c>
      <c r="D18" s="231" t="s">
        <v>150</v>
      </c>
      <c r="E18" s="233" t="s">
        <v>149</v>
      </c>
      <c r="F18" s="240">
        <f>14.5*F12*F13/F14</f>
        <v>12.384341637010676</v>
      </c>
      <c r="G18" s="231" t="s">
        <v>150</v>
      </c>
      <c r="H18" s="233" t="s">
        <v>149</v>
      </c>
      <c r="I18" s="240">
        <f>14.5*I12*I13/I14</f>
        <v>12.384341637010676</v>
      </c>
      <c r="J18" s="231" t="s">
        <v>150</v>
      </c>
      <c r="N18" s="233" t="s">
        <v>149</v>
      </c>
      <c r="O18" s="240">
        <f>14.5*O12*O13/O14</f>
        <v>12.384341637010676</v>
      </c>
      <c r="P18" s="231" t="s">
        <v>150</v>
      </c>
      <c r="Q18" s="233" t="s">
        <v>149</v>
      </c>
      <c r="R18" s="240">
        <f>14.5*R12*R13/R14</f>
        <v>12.384341637010676</v>
      </c>
      <c r="S18" s="231" t="s">
        <v>150</v>
      </c>
      <c r="T18" s="233" t="s">
        <v>149</v>
      </c>
      <c r="U18" s="240">
        <f>14.5*U12*U13/U14</f>
        <v>12.384341637010676</v>
      </c>
      <c r="V18" s="231" t="s">
        <v>150</v>
      </c>
    </row>
    <row r="19" spans="2:25" x14ac:dyDescent="0.3">
      <c r="B19" s="233" t="s">
        <v>151</v>
      </c>
      <c r="C19" s="241">
        <f>(0.85*C15*C12/C14)*(C13+SQRT(C13*C13-C11/(0.425*C10*C15*C12)))</f>
        <v>297.79964588852232</v>
      </c>
      <c r="D19" s="231" t="s">
        <v>150</v>
      </c>
      <c r="E19" s="233" t="s">
        <v>151</v>
      </c>
      <c r="F19" s="241">
        <f>(0.85*F15*F12/F14)*(F13+SQRT(F13*F13-F11/(0.425*F10*F15*F12)))</f>
        <v>300.85309515024124</v>
      </c>
      <c r="G19" s="231" t="s">
        <v>150</v>
      </c>
      <c r="H19" s="233" t="s">
        <v>151</v>
      </c>
      <c r="I19" s="241">
        <f>(0.85*I15*I12/I14)*(I13+SQRT(I13*I13-I11/(0.425*I10*I15*I12)))</f>
        <v>297.30987493554142</v>
      </c>
      <c r="J19" s="231" t="s">
        <v>150</v>
      </c>
      <c r="N19" s="233" t="s">
        <v>151</v>
      </c>
      <c r="O19" s="241">
        <f>(0.85*O15*O12/O14)*(O13+SQRT(O13*O13-O11/(0.425*O10*O15*O12)))</f>
        <v>301.96459308003972</v>
      </c>
      <c r="P19" s="231" t="s">
        <v>150</v>
      </c>
      <c r="Q19" s="233" t="s">
        <v>151</v>
      </c>
      <c r="R19" s="241">
        <f>(0.85*R15*R12/R14)*(R13+SQRT(R13*R13-R11/(0.425*R10*R15*R12)))</f>
        <v>303.78762647643839</v>
      </c>
      <c r="S19" s="231" t="s">
        <v>150</v>
      </c>
      <c r="T19" s="233" t="s">
        <v>151</v>
      </c>
      <c r="U19" s="241">
        <f>(0.85*U15*U12/U14)*(U13+SQRT(U13*U13-U11/(0.425*U10*U15*U12)))</f>
        <v>303.16505837439087</v>
      </c>
      <c r="V19" s="231" t="s">
        <v>150</v>
      </c>
    </row>
    <row r="20" spans="2:25" x14ac:dyDescent="0.3">
      <c r="B20" s="233" t="s">
        <v>152</v>
      </c>
      <c r="C20" s="241">
        <f>(0.85*C15*C12/C14)*(C13-SQRT(C13*C13-C11/(0.425*C10*C15*C12)))</f>
        <v>7.1113861399474274</v>
      </c>
      <c r="D20" s="231" t="s">
        <v>150</v>
      </c>
      <c r="E20" s="233" t="s">
        <v>152</v>
      </c>
      <c r="F20" s="241">
        <f>(0.85*F15*F12/F14)*(F13-SQRT(F13*F13-F11/(0.425*F10*F15*F12)))</f>
        <v>4.0579368782285181</v>
      </c>
      <c r="G20" s="231" t="s">
        <v>150</v>
      </c>
      <c r="H20" s="233" t="s">
        <v>152</v>
      </c>
      <c r="I20" s="241">
        <f>(0.85*I15*I12/I14)*(I13-SQRT(I13*I13-I11/(0.425*I10*I15*I12)))</f>
        <v>7.6011570929283225</v>
      </c>
      <c r="J20" s="231" t="s">
        <v>150</v>
      </c>
      <c r="N20" s="233" t="s">
        <v>152</v>
      </c>
      <c r="O20" s="241">
        <f>(0.85*O15*O12/O14)*(O13-SQRT(O13*O13-O11/(0.425*O10*O15*O12)))</f>
        <v>2.9464389484300004</v>
      </c>
      <c r="P20" s="231" t="s">
        <v>150</v>
      </c>
      <c r="Q20" s="233" t="s">
        <v>152</v>
      </c>
      <c r="R20" s="241">
        <f>(0.85*R15*R12/R14)*(R13-SQRT(R13*R13-R11/(0.425*R10*R15*R12)))</f>
        <v>1.1234055520313482</v>
      </c>
      <c r="S20" s="231" t="s">
        <v>150</v>
      </c>
      <c r="T20" s="233" t="s">
        <v>152</v>
      </c>
      <c r="U20" s="241">
        <f>(0.85*U15*U12/U14)*(U13-SQRT(U13*U13-U11/(0.425*U10*U15*U12)))</f>
        <v>1.7459736540788975</v>
      </c>
      <c r="V20" s="231" t="s">
        <v>150</v>
      </c>
    </row>
    <row r="21" spans="2:25" x14ac:dyDescent="0.3">
      <c r="B21" s="242" t="s">
        <v>153</v>
      </c>
      <c r="C21" s="243">
        <f>0.55*C12*C13*C16*0.85*C15*6115/(C14*(C14+6115))</f>
        <v>48.832953736654801</v>
      </c>
      <c r="D21" s="13" t="s">
        <v>150</v>
      </c>
      <c r="E21" s="242" t="s">
        <v>153</v>
      </c>
      <c r="F21" s="243">
        <f>0.55*F12*F13*F16*0.85*F15*6115/(F14*(F14+6115))</f>
        <v>48.832953736654801</v>
      </c>
      <c r="G21" s="13" t="s">
        <v>150</v>
      </c>
      <c r="H21" s="242" t="s">
        <v>153</v>
      </c>
      <c r="I21" s="243">
        <f>0.55*I12*I13*I16*0.85*I15*6115/(I14*(I14+6115))</f>
        <v>48.832953736654801</v>
      </c>
      <c r="J21" s="13" t="s">
        <v>150</v>
      </c>
      <c r="N21" s="242" t="s">
        <v>153</v>
      </c>
      <c r="O21" s="243">
        <f>0.55*O12*O13*O16*0.85*O15*6115/(O14*(O14+6115))</f>
        <v>48.832953736654801</v>
      </c>
      <c r="P21" s="13" t="s">
        <v>150</v>
      </c>
      <c r="Q21" s="242" t="s">
        <v>153</v>
      </c>
      <c r="R21" s="243">
        <f>0.55*R12*R13*R16*0.85*R15*6115/(R14*(R14+6115))</f>
        <v>48.832953736654801</v>
      </c>
      <c r="S21" s="13" t="s">
        <v>150</v>
      </c>
      <c r="T21" s="242" t="s">
        <v>153</v>
      </c>
      <c r="U21" s="243">
        <f>0.55*U12*U13*U16*0.85*U15*6115/(U14*(U14+6115))</f>
        <v>48.832953736654801</v>
      </c>
      <c r="V21" s="13" t="s">
        <v>150</v>
      </c>
    </row>
    <row r="23" spans="2:25" x14ac:dyDescent="0.3">
      <c r="B23" s="244" t="s">
        <v>154</v>
      </c>
      <c r="N23" s="244" t="s">
        <v>154</v>
      </c>
    </row>
    <row r="24" spans="2:25" x14ac:dyDescent="0.3">
      <c r="B24" s="245" t="s">
        <v>149</v>
      </c>
      <c r="C24" s="246">
        <f>C18</f>
        <v>12.384341637010676</v>
      </c>
      <c r="D24" t="s">
        <v>150</v>
      </c>
      <c r="H24" s="245" t="s">
        <v>155</v>
      </c>
      <c r="I24" s="235">
        <f>MAX(C24:C25,D25)</f>
        <v>12.384341637010676</v>
      </c>
      <c r="J24" t="s">
        <v>150</v>
      </c>
      <c r="N24" s="245" t="s">
        <v>149</v>
      </c>
      <c r="O24" s="246">
        <f>O18</f>
        <v>12.384341637010676</v>
      </c>
      <c r="P24" t="s">
        <v>150</v>
      </c>
      <c r="T24" s="245" t="s">
        <v>155</v>
      </c>
      <c r="U24" s="235">
        <f>MAX(O24:O25,P25)</f>
        <v>12.384341637010676</v>
      </c>
      <c r="V24" t="s">
        <v>150</v>
      </c>
    </row>
    <row r="25" spans="2:25" x14ac:dyDescent="0.3">
      <c r="B25" s="245" t="s">
        <v>156</v>
      </c>
      <c r="C25" s="246">
        <f>C20/3</f>
        <v>2.3704620466491426</v>
      </c>
      <c r="D25" s="247">
        <f>I20/3</f>
        <v>2.5337190309761075</v>
      </c>
      <c r="E25" t="s">
        <v>150</v>
      </c>
      <c r="N25" s="245" t="s">
        <v>156</v>
      </c>
      <c r="O25" s="246">
        <f>O20/3</f>
        <v>0.98214631614333348</v>
      </c>
      <c r="P25" s="248">
        <f>U20/3</f>
        <v>0.58199121802629916</v>
      </c>
      <c r="Q25" t="s">
        <v>150</v>
      </c>
    </row>
    <row r="27" spans="2:25" x14ac:dyDescent="0.3">
      <c r="F27" s="249">
        <f>C20-I24</f>
        <v>-5.2729554970632488</v>
      </c>
      <c r="G27" s="250"/>
      <c r="H27" s="138" t="s">
        <v>157</v>
      </c>
      <c r="I27" s="251">
        <f>F20-H30</f>
        <v>-8.3264047587821572</v>
      </c>
      <c r="J27" s="252" t="s">
        <v>158</v>
      </c>
      <c r="K27" s="138" t="s">
        <v>159</v>
      </c>
      <c r="L27" s="249">
        <f>I20-I24</f>
        <v>-4.7831845440823537</v>
      </c>
      <c r="M27" s="250"/>
      <c r="R27" s="249">
        <f>O20-U24</f>
        <v>-9.4379026885806763</v>
      </c>
      <c r="S27" s="250"/>
      <c r="T27" s="138" t="s">
        <v>157</v>
      </c>
      <c r="U27" s="251">
        <f>R20-T30</f>
        <v>-11.260936084979328</v>
      </c>
      <c r="V27" s="252" t="s">
        <v>158</v>
      </c>
      <c r="W27" s="138" t="s">
        <v>159</v>
      </c>
      <c r="X27" s="249">
        <f>U20-U24</f>
        <v>-10.638367982931779</v>
      </c>
      <c r="Y27" s="250"/>
    </row>
    <row r="28" spans="2:25" x14ac:dyDescent="0.3">
      <c r="B28" s="253" t="s">
        <v>160</v>
      </c>
      <c r="F28" s="138" t="s">
        <v>159</v>
      </c>
      <c r="N28" s="253" t="s">
        <v>160</v>
      </c>
      <c r="R28" s="138" t="s">
        <v>159</v>
      </c>
    </row>
    <row r="29" spans="2:25" x14ac:dyDescent="0.3">
      <c r="B29" s="245" t="s">
        <v>149</v>
      </c>
      <c r="C29" s="246">
        <f>C18</f>
        <v>12.384341637010676</v>
      </c>
      <c r="D29" t="s">
        <v>150</v>
      </c>
      <c r="N29" s="245" t="s">
        <v>149</v>
      </c>
      <c r="O29" s="246">
        <f>O18</f>
        <v>12.384341637010676</v>
      </c>
      <c r="P29" t="s">
        <v>150</v>
      </c>
    </row>
    <row r="30" spans="2:25" x14ac:dyDescent="0.3">
      <c r="B30" s="245" t="s">
        <v>161</v>
      </c>
      <c r="C30" s="246">
        <f>C20/2</f>
        <v>3.5556930699737137</v>
      </c>
      <c r="D30" s="247">
        <f>I20/2</f>
        <v>3.8005785464641613</v>
      </c>
      <c r="E30" t="s">
        <v>150</v>
      </c>
      <c r="G30" s="139" t="s">
        <v>162</v>
      </c>
      <c r="H30" s="235">
        <f>MAX(C29:C31,D30)</f>
        <v>12.384341637010676</v>
      </c>
      <c r="I30" t="s">
        <v>150</v>
      </c>
      <c r="N30" s="245" t="s">
        <v>161</v>
      </c>
      <c r="O30" s="246">
        <f>O20/2</f>
        <v>1.4732194742150002</v>
      </c>
      <c r="P30" s="248">
        <f>U20/2</f>
        <v>0.87298682703944874</v>
      </c>
      <c r="Q30" t="s">
        <v>150</v>
      </c>
      <c r="S30" s="139" t="s">
        <v>162</v>
      </c>
      <c r="T30" s="235">
        <f>MAX(O29:O31,P30)</f>
        <v>12.384341637010676</v>
      </c>
      <c r="U30" t="s">
        <v>150</v>
      </c>
    </row>
    <row r="31" spans="2:25" x14ac:dyDescent="0.3">
      <c r="B31" s="254" t="s">
        <v>163</v>
      </c>
      <c r="C31" s="246">
        <f>F20/2</f>
        <v>2.0289684391142591</v>
      </c>
      <c r="D31" t="s">
        <v>150</v>
      </c>
      <c r="I31">
        <v>7.5</v>
      </c>
      <c r="N31" s="254" t="s">
        <v>163</v>
      </c>
      <c r="O31" s="246">
        <f>R20/2</f>
        <v>0.56170277601567409</v>
      </c>
      <c r="P31" t="s">
        <v>150</v>
      </c>
      <c r="U31">
        <v>7.5</v>
      </c>
    </row>
    <row r="38" spans="2:25" ht="25.8" x14ac:dyDescent="0.5">
      <c r="B38" s="211" t="s">
        <v>517</v>
      </c>
      <c r="N38" s="211" t="s">
        <v>518</v>
      </c>
    </row>
    <row r="39" spans="2:25" ht="21" x14ac:dyDescent="0.4">
      <c r="B39" s="212" t="s">
        <v>122</v>
      </c>
      <c r="C39" s="213"/>
      <c r="D39" s="586" t="s">
        <v>123</v>
      </c>
      <c r="E39" s="586"/>
      <c r="F39" s="587"/>
      <c r="G39" s="214"/>
      <c r="H39" s="586" t="s">
        <v>124</v>
      </c>
      <c r="I39" s="586"/>
      <c r="J39" s="587"/>
      <c r="N39" s="212" t="s">
        <v>122</v>
      </c>
      <c r="O39" s="213"/>
      <c r="P39" s="586" t="s">
        <v>123</v>
      </c>
      <c r="Q39" s="586"/>
      <c r="R39" s="587"/>
      <c r="S39" s="214"/>
      <c r="T39" s="586" t="s">
        <v>124</v>
      </c>
      <c r="U39" s="586"/>
      <c r="V39" s="587"/>
    </row>
    <row r="40" spans="2:25" x14ac:dyDescent="0.3">
      <c r="B40" s="215"/>
      <c r="C40" s="101" t="s">
        <v>125</v>
      </c>
      <c r="D40" s="216" t="s">
        <v>126</v>
      </c>
      <c r="E40" s="216" t="s">
        <v>127</v>
      </c>
      <c r="F40" s="217" t="s">
        <v>128</v>
      </c>
      <c r="G40" s="218" t="s">
        <v>129</v>
      </c>
      <c r="H40" s="190" t="s">
        <v>130</v>
      </c>
      <c r="I40" s="190" t="s">
        <v>131</v>
      </c>
      <c r="J40" s="219" t="s">
        <v>132</v>
      </c>
      <c r="N40" s="215"/>
      <c r="O40" s="101" t="s">
        <v>125</v>
      </c>
      <c r="P40" s="216" t="s">
        <v>126</v>
      </c>
      <c r="Q40" s="216" t="s">
        <v>127</v>
      </c>
      <c r="R40" s="217" t="s">
        <v>128</v>
      </c>
      <c r="S40" s="218" t="s">
        <v>129</v>
      </c>
      <c r="T40" s="190" t="s">
        <v>130</v>
      </c>
      <c r="U40" s="190" t="s">
        <v>131</v>
      </c>
      <c r="V40" s="219" t="s">
        <v>132</v>
      </c>
    </row>
    <row r="41" spans="2:25" x14ac:dyDescent="0.3">
      <c r="B41" s="220"/>
      <c r="C41" s="221" t="s">
        <v>133</v>
      </c>
      <c r="D41" s="221">
        <v>345</v>
      </c>
      <c r="E41" s="221">
        <v>375</v>
      </c>
      <c r="F41" s="222">
        <v>450</v>
      </c>
      <c r="G41" s="223" t="s">
        <v>134</v>
      </c>
      <c r="H41" s="221">
        <v>980</v>
      </c>
      <c r="I41" s="221">
        <v>1170</v>
      </c>
      <c r="J41" s="222">
        <v>1290</v>
      </c>
      <c r="N41" s="220"/>
      <c r="O41" s="221" t="s">
        <v>133</v>
      </c>
      <c r="P41" s="221">
        <v>345</v>
      </c>
      <c r="Q41" s="221">
        <v>375</v>
      </c>
      <c r="R41" s="222">
        <v>450</v>
      </c>
      <c r="S41" s="223" t="s">
        <v>134</v>
      </c>
      <c r="T41" s="221">
        <v>980</v>
      </c>
      <c r="U41" s="221">
        <v>1170</v>
      </c>
      <c r="V41" s="222">
        <v>1290</v>
      </c>
    </row>
    <row r="42" spans="2:25" x14ac:dyDescent="0.3">
      <c r="B42" s="224" t="s">
        <v>135</v>
      </c>
      <c r="K42" s="585"/>
      <c r="L42" s="585"/>
      <c r="M42" s="585"/>
      <c r="N42" s="224" t="s">
        <v>135</v>
      </c>
      <c r="W42" s="585"/>
      <c r="X42" s="585"/>
      <c r="Y42" s="585"/>
    </row>
    <row r="43" spans="2:25" ht="15.6" x14ac:dyDescent="0.3">
      <c r="B43" s="225" t="s">
        <v>136</v>
      </c>
      <c r="H43" s="226"/>
      <c r="N43" s="225" t="s">
        <v>136</v>
      </c>
      <c r="T43" s="226"/>
    </row>
    <row r="44" spans="2:25" ht="15.6" x14ac:dyDescent="0.3">
      <c r="B44" s="225" t="s">
        <v>137</v>
      </c>
      <c r="N44" s="225" t="s">
        <v>137</v>
      </c>
    </row>
    <row r="46" spans="2:25" x14ac:dyDescent="0.3">
      <c r="B46" s="227" t="s">
        <v>138</v>
      </c>
      <c r="C46" s="213">
        <v>0.9</v>
      </c>
      <c r="D46" s="228"/>
      <c r="E46" s="227" t="s">
        <v>138</v>
      </c>
      <c r="F46" s="213">
        <v>0.9</v>
      </c>
      <c r="G46" s="228"/>
      <c r="H46" s="227" t="s">
        <v>138</v>
      </c>
      <c r="I46" s="213">
        <v>0.9</v>
      </c>
      <c r="J46" s="228"/>
      <c r="K46" t="s">
        <v>122</v>
      </c>
      <c r="N46" s="227" t="s">
        <v>138</v>
      </c>
      <c r="O46" s="213">
        <v>0.9</v>
      </c>
      <c r="P46" s="228"/>
      <c r="Q46" s="227" t="s">
        <v>138</v>
      </c>
      <c r="R46" s="213">
        <v>0.9</v>
      </c>
      <c r="S46" s="228"/>
      <c r="T46" s="227" t="s">
        <v>138</v>
      </c>
      <c r="U46" s="213">
        <v>0.9</v>
      </c>
      <c r="V46" s="228"/>
      <c r="W46" t="s">
        <v>122</v>
      </c>
    </row>
    <row r="47" spans="2:25" x14ac:dyDescent="0.3">
      <c r="B47" s="229" t="s">
        <v>139</v>
      </c>
      <c r="C47" s="230">
        <f>+-CROSS!D97*100</f>
        <v>814943.59670809587</v>
      </c>
      <c r="D47" s="231" t="s">
        <v>140</v>
      </c>
      <c r="E47" s="229" t="s">
        <v>141</v>
      </c>
      <c r="F47" s="230">
        <f>+CROSS!F107*100</f>
        <v>508122.1336538546</v>
      </c>
      <c r="G47" s="231" t="s">
        <v>140</v>
      </c>
      <c r="H47" s="229" t="s">
        <v>139</v>
      </c>
      <c r="I47" s="230">
        <f>+CROSS!H97*100</f>
        <v>922605.88598419493</v>
      </c>
      <c r="J47" s="231" t="s">
        <v>140</v>
      </c>
      <c r="K47" s="145" t="s">
        <v>129</v>
      </c>
      <c r="L47" s="232">
        <f>H$5*(I49/100*I48/100*I67)</f>
        <v>686.00000000000011</v>
      </c>
      <c r="N47" s="229" t="s">
        <v>139</v>
      </c>
      <c r="O47" s="230">
        <f>+-CROSS!N97*100</f>
        <v>578552.38450229471</v>
      </c>
      <c r="P47" s="231" t="s">
        <v>140</v>
      </c>
      <c r="Q47" s="229" t="s">
        <v>141</v>
      </c>
      <c r="R47" s="230">
        <f>+CROSS!P106*100</f>
        <v>274974.99999999994</v>
      </c>
      <c r="S47" s="231" t="s">
        <v>140</v>
      </c>
      <c r="T47" s="229" t="s">
        <v>139</v>
      </c>
      <c r="U47" s="230">
        <f>+CROSS!R97*100</f>
        <v>476745.53231486969</v>
      </c>
      <c r="V47" s="231" t="s">
        <v>140</v>
      </c>
      <c r="W47" s="145" t="s">
        <v>129</v>
      </c>
      <c r="X47" s="232">
        <f>T$5*(U49/100*U48/100*U67)</f>
        <v>311.64</v>
      </c>
    </row>
    <row r="48" spans="2:25" x14ac:dyDescent="0.3">
      <c r="B48" s="233" t="s">
        <v>142</v>
      </c>
      <c r="C48" s="101">
        <v>25</v>
      </c>
      <c r="D48" s="231" t="s">
        <v>120</v>
      </c>
      <c r="E48" s="233" t="s">
        <v>142</v>
      </c>
      <c r="F48" s="101">
        <f>+C48</f>
        <v>25</v>
      </c>
      <c r="G48" s="231" t="s">
        <v>120</v>
      </c>
      <c r="H48" s="233" t="s">
        <v>142</v>
      </c>
      <c r="I48" s="101">
        <f>+C48</f>
        <v>25</v>
      </c>
      <c r="J48" s="231" t="s">
        <v>120</v>
      </c>
      <c r="K48" s="145" t="s">
        <v>125</v>
      </c>
      <c r="L48" s="232">
        <f>(E41)*((I60/9.23)*(I67/6.09))+(H66/9.23)*(I67/6.09)+(I63/9.23)*(0.5*I67/6.09)+((F63/9.23)*((I67/3)/6.09)+(L63/9.23)*((I67/3)/6.09))</f>
        <v>241.96348223102987</v>
      </c>
      <c r="N48" s="233" t="s">
        <v>142</v>
      </c>
      <c r="O48" s="101">
        <v>20</v>
      </c>
      <c r="P48" s="231" t="s">
        <v>120</v>
      </c>
      <c r="Q48" s="233" t="s">
        <v>142</v>
      </c>
      <c r="R48" s="101">
        <f>+O48</f>
        <v>20</v>
      </c>
      <c r="S48" s="231" t="s">
        <v>120</v>
      </c>
      <c r="T48" s="233" t="s">
        <v>142</v>
      </c>
      <c r="U48" s="101">
        <f>+O48</f>
        <v>20</v>
      </c>
      <c r="V48" s="231" t="s">
        <v>120</v>
      </c>
      <c r="W48" s="145" t="s">
        <v>125</v>
      </c>
      <c r="X48" s="232">
        <f>Q41*((U60/9.23)*(U67/6.09))+(T66/9.23)*(U67/6.09)+((U67/3)/6.09)*(R63/9.23)+((U67/2)/6.09)*(U63/9.23)+((U67/3)/6.09)*(X63/9.23)</f>
        <v>110.14664842807758</v>
      </c>
    </row>
    <row r="49" spans="2:25" x14ac:dyDescent="0.3">
      <c r="B49" s="233" t="s">
        <v>143</v>
      </c>
      <c r="C49" s="101">
        <v>40</v>
      </c>
      <c r="D49" s="231" t="s">
        <v>120</v>
      </c>
      <c r="E49" s="233" t="s">
        <v>143</v>
      </c>
      <c r="F49" s="101">
        <f>+C49</f>
        <v>40</v>
      </c>
      <c r="G49" s="231" t="s">
        <v>120</v>
      </c>
      <c r="H49" s="233" t="s">
        <v>143</v>
      </c>
      <c r="I49" s="101">
        <f>+C49</f>
        <v>40</v>
      </c>
      <c r="J49" s="231" t="s">
        <v>120</v>
      </c>
      <c r="K49" s="145" t="s">
        <v>144</v>
      </c>
      <c r="L49" s="234">
        <f>SUM(L47:L48)</f>
        <v>927.96348223102996</v>
      </c>
      <c r="N49" s="233" t="s">
        <v>143</v>
      </c>
      <c r="O49" s="101">
        <v>30</v>
      </c>
      <c r="P49" s="231" t="s">
        <v>120</v>
      </c>
      <c r="Q49" s="233" t="s">
        <v>143</v>
      </c>
      <c r="R49" s="101">
        <f>+O49</f>
        <v>30</v>
      </c>
      <c r="S49" s="231" t="s">
        <v>120</v>
      </c>
      <c r="T49" s="233" t="s">
        <v>143</v>
      </c>
      <c r="U49" s="101">
        <f>+O49</f>
        <v>30</v>
      </c>
      <c r="V49" s="231" t="s">
        <v>120</v>
      </c>
      <c r="W49" s="145" t="s">
        <v>144</v>
      </c>
      <c r="X49" s="235">
        <f>SUM(X47:X48)</f>
        <v>421.78664842807757</v>
      </c>
    </row>
    <row r="50" spans="2:25" x14ac:dyDescent="0.3">
      <c r="B50" s="236" t="s">
        <v>145</v>
      </c>
      <c r="C50" s="237">
        <v>2810</v>
      </c>
      <c r="D50" s="238" t="s">
        <v>146</v>
      </c>
      <c r="E50" s="236" t="s">
        <v>145</v>
      </c>
      <c r="F50" s="237">
        <v>2810</v>
      </c>
      <c r="G50" s="238" t="s">
        <v>146</v>
      </c>
      <c r="H50" s="236" t="s">
        <v>145</v>
      </c>
      <c r="I50" s="237">
        <v>2810</v>
      </c>
      <c r="J50" s="238" t="s">
        <v>146</v>
      </c>
      <c r="N50" s="236" t="s">
        <v>145</v>
      </c>
      <c r="O50" s="237">
        <v>2810</v>
      </c>
      <c r="P50" s="238" t="s">
        <v>146</v>
      </c>
      <c r="Q50" s="236" t="s">
        <v>145</v>
      </c>
      <c r="R50" s="237">
        <v>2810</v>
      </c>
      <c r="S50" s="238" t="s">
        <v>146</v>
      </c>
      <c r="T50" s="236" t="s">
        <v>145</v>
      </c>
      <c r="U50" s="237">
        <v>2810</v>
      </c>
      <c r="V50" s="238" t="s">
        <v>146</v>
      </c>
    </row>
    <row r="51" spans="2:25" x14ac:dyDescent="0.3">
      <c r="B51" s="236" t="s">
        <v>147</v>
      </c>
      <c r="C51" s="237">
        <v>210</v>
      </c>
      <c r="D51" s="238" t="s">
        <v>146</v>
      </c>
      <c r="E51" s="236" t="s">
        <v>147</v>
      </c>
      <c r="F51" s="237">
        <v>210</v>
      </c>
      <c r="G51" s="238" t="s">
        <v>146</v>
      </c>
      <c r="H51" s="236" t="s">
        <v>147</v>
      </c>
      <c r="I51" s="237">
        <v>210</v>
      </c>
      <c r="J51" s="238" t="s">
        <v>146</v>
      </c>
      <c r="N51" s="236" t="s">
        <v>147</v>
      </c>
      <c r="O51" s="237">
        <v>210</v>
      </c>
      <c r="P51" s="238" t="s">
        <v>146</v>
      </c>
      <c r="Q51" s="236" t="s">
        <v>147</v>
      </c>
      <c r="R51" s="237">
        <v>210</v>
      </c>
      <c r="S51" s="238" t="s">
        <v>146</v>
      </c>
      <c r="T51" s="236" t="s">
        <v>147</v>
      </c>
      <c r="U51" s="237">
        <v>210</v>
      </c>
      <c r="V51" s="238" t="s">
        <v>146</v>
      </c>
    </row>
    <row r="52" spans="2:25" x14ac:dyDescent="0.3">
      <c r="B52" s="239" t="s">
        <v>148</v>
      </c>
      <c r="C52" s="101">
        <v>0.85</v>
      </c>
      <c r="D52" s="231"/>
      <c r="E52" s="239" t="s">
        <v>148</v>
      </c>
      <c r="F52" s="101">
        <v>0.85</v>
      </c>
      <c r="G52" s="231"/>
      <c r="H52" s="239" t="s">
        <v>148</v>
      </c>
      <c r="I52" s="101">
        <v>0.85</v>
      </c>
      <c r="J52" s="231"/>
      <c r="N52" s="239" t="s">
        <v>148</v>
      </c>
      <c r="O52" s="101">
        <v>0.85</v>
      </c>
      <c r="P52" s="231"/>
      <c r="Q52" s="239" t="s">
        <v>148</v>
      </c>
      <c r="R52" s="101">
        <v>0.85</v>
      </c>
      <c r="S52" s="231"/>
      <c r="T52" s="239" t="s">
        <v>148</v>
      </c>
      <c r="U52" s="101">
        <v>0.85</v>
      </c>
      <c r="V52" s="231"/>
    </row>
    <row r="53" spans="2:25" x14ac:dyDescent="0.3">
      <c r="B53" s="215"/>
      <c r="C53" s="101"/>
      <c r="D53" s="231"/>
      <c r="E53" s="215"/>
      <c r="F53" s="101"/>
      <c r="G53" s="231"/>
      <c r="H53" s="215"/>
      <c r="I53" s="101"/>
      <c r="J53" s="231"/>
      <c r="N53" s="215"/>
      <c r="O53" s="101"/>
      <c r="P53" s="231"/>
      <c r="Q53" s="215"/>
      <c r="R53" s="101"/>
      <c r="S53" s="231"/>
      <c r="T53" s="215"/>
      <c r="U53" s="101"/>
      <c r="V53" s="231"/>
    </row>
    <row r="54" spans="2:25" x14ac:dyDescent="0.3">
      <c r="B54" s="233" t="s">
        <v>149</v>
      </c>
      <c r="C54" s="240">
        <f>14.5*C48*C49/C50</f>
        <v>5.160142348754448</v>
      </c>
      <c r="D54" s="231" t="s">
        <v>150</v>
      </c>
      <c r="E54" s="233" t="s">
        <v>149</v>
      </c>
      <c r="F54" s="240">
        <f>14.5*F48*F49/F50</f>
        <v>5.160142348754448</v>
      </c>
      <c r="G54" s="231" t="s">
        <v>150</v>
      </c>
      <c r="H54" s="233" t="s">
        <v>149</v>
      </c>
      <c r="I54" s="240">
        <f>14.5*I48*I49/I50</f>
        <v>5.160142348754448</v>
      </c>
      <c r="J54" s="231" t="s">
        <v>150</v>
      </c>
      <c r="N54" s="233" t="s">
        <v>149</v>
      </c>
      <c r="O54" s="240">
        <f>14.5*O48*O49/O50</f>
        <v>3.0960854092526691</v>
      </c>
      <c r="P54" s="231" t="s">
        <v>150</v>
      </c>
      <c r="Q54" s="233" t="s">
        <v>149</v>
      </c>
      <c r="R54" s="240">
        <f>14.5*R48*R49/R50</f>
        <v>3.0960854092526691</v>
      </c>
      <c r="S54" s="231" t="s">
        <v>150</v>
      </c>
      <c r="T54" s="233" t="s">
        <v>149</v>
      </c>
      <c r="U54" s="240">
        <f>14.5*U48*U49/U50</f>
        <v>3.0960854092526691</v>
      </c>
      <c r="V54" s="231" t="s">
        <v>150</v>
      </c>
    </row>
    <row r="55" spans="2:25" x14ac:dyDescent="0.3">
      <c r="B55" s="233" t="s">
        <v>151</v>
      </c>
      <c r="C55" s="241">
        <f>(0.85*C51*C48/C50)*(C49+SQRT(C49*C49-C47/(0.425*C46*C51*C48)))</f>
        <v>118.40213742284615</v>
      </c>
      <c r="D55" s="231" t="s">
        <v>150</v>
      </c>
      <c r="E55" s="233" t="s">
        <v>151</v>
      </c>
      <c r="F55" s="241">
        <f>(0.85*F51*F48/F50)*(F49+SQRT(F49*F49-F47/(0.425*F46*F51*F48)))</f>
        <v>121.80726833465468</v>
      </c>
      <c r="G55" s="231" t="s">
        <v>150</v>
      </c>
      <c r="H55" s="233" t="s">
        <v>151</v>
      </c>
      <c r="I55" s="241">
        <f>(0.85*I51*I48/I50)*(I49+SQRT(I49*I49-I47/(0.425*I46*I51*I48)))</f>
        <v>117.15607696755298</v>
      </c>
      <c r="J55" s="231" t="s">
        <v>150</v>
      </c>
      <c r="N55" s="233" t="s">
        <v>151</v>
      </c>
      <c r="O55" s="241">
        <f>(0.85*O51*O48/O50)*(O49+SQRT(O49*O49-O47/(0.425*O46*O51*O48)))</f>
        <v>67.633148602193216</v>
      </c>
      <c r="P55" s="231" t="s">
        <v>150</v>
      </c>
      <c r="Q55" s="233" t="s">
        <v>151</v>
      </c>
      <c r="R55" s="241">
        <f>(0.85*R51*R48/R50)*(R49+SQRT(R49*R49-R47/(0.425*R46*R51*R48)))</f>
        <v>72.412510949677142</v>
      </c>
      <c r="S55" s="231" t="s">
        <v>150</v>
      </c>
      <c r="T55" s="233" t="s">
        <v>151</v>
      </c>
      <c r="U55" s="241">
        <f>(0.85*U51*U48/U50)*(U49+SQRT(U49*U49-U47/(0.425*U46*U51*U48)))</f>
        <v>69.317631833506056</v>
      </c>
      <c r="V55" s="231" t="s">
        <v>150</v>
      </c>
    </row>
    <row r="56" spans="2:25" x14ac:dyDescent="0.3">
      <c r="B56" s="233" t="s">
        <v>152</v>
      </c>
      <c r="C56" s="241">
        <f>(0.85*C51*C48/C50)*(C49-SQRT(C49*C49-C47/(0.425*C46*C51*C48)))</f>
        <v>8.6441259223495592</v>
      </c>
      <c r="D56" s="231" t="s">
        <v>150</v>
      </c>
      <c r="E56" s="233" t="s">
        <v>152</v>
      </c>
      <c r="F56" s="241">
        <f>(0.85*F51*F48/F50)*(F49-SQRT(F49*F49-F47/(0.425*F46*F51*F48)))</f>
        <v>5.2389950105410472</v>
      </c>
      <c r="G56" s="231" t="s">
        <v>150</v>
      </c>
      <c r="H56" s="233" t="s">
        <v>152</v>
      </c>
      <c r="I56" s="241">
        <f>(0.85*I51*I48/I50)*(I49-SQRT(I49*I49-I47/(0.425*I46*I51*I48)))</f>
        <v>9.8901863776427525</v>
      </c>
      <c r="J56" s="231" t="s">
        <v>150</v>
      </c>
      <c r="N56" s="233" t="s">
        <v>152</v>
      </c>
      <c r="O56" s="241">
        <f>(0.85*O51*O48/O50)*(O49-SQRT(O49*O49-O47/(0.425*O46*O51*O48)))</f>
        <v>8.5946094049242276</v>
      </c>
      <c r="P56" s="231" t="s">
        <v>150</v>
      </c>
      <c r="Q56" s="233" t="s">
        <v>152</v>
      </c>
      <c r="R56" s="241">
        <f>(0.85*R51*R48/R50)*(R49-SQRT(R49*R49-R47/(0.425*R46*R51*R48)))</f>
        <v>3.8152470574403017</v>
      </c>
      <c r="S56" s="231" t="s">
        <v>150</v>
      </c>
      <c r="T56" s="233" t="s">
        <v>152</v>
      </c>
      <c r="U56" s="241">
        <f>(0.85*U51*U48/U50)*(U49-SQRT(U49*U49-U47/(0.425*U46*U51*U48)))</f>
        <v>6.9101261736113875</v>
      </c>
      <c r="V56" s="231" t="s">
        <v>150</v>
      </c>
    </row>
    <row r="57" spans="2:25" x14ac:dyDescent="0.3">
      <c r="B57" s="242" t="s">
        <v>153</v>
      </c>
      <c r="C57" s="243">
        <f>0.55*C48*C49*C52*0.85*C51*6115/(C50*(C50+6115))</f>
        <v>20.347064056939505</v>
      </c>
      <c r="D57" s="13" t="s">
        <v>150</v>
      </c>
      <c r="E57" s="242" t="s">
        <v>153</v>
      </c>
      <c r="F57" s="243">
        <f>0.55*F48*F49*F52*0.85*F51*6115/(F50*(F50+6115))</f>
        <v>20.347064056939505</v>
      </c>
      <c r="G57" s="13" t="s">
        <v>150</v>
      </c>
      <c r="H57" s="242" t="s">
        <v>153</v>
      </c>
      <c r="I57" s="243">
        <f>0.55*I48*I49*I52*0.85*I51*6115/(I50*(I50+6115))</f>
        <v>20.347064056939505</v>
      </c>
      <c r="J57" s="13" t="s">
        <v>150</v>
      </c>
      <c r="N57" s="242" t="s">
        <v>153</v>
      </c>
      <c r="O57" s="243">
        <f>0.55*O48*O49*O52*0.85*O51*6115/(O50*(O50+6115))</f>
        <v>12.2082384341637</v>
      </c>
      <c r="P57" s="13" t="s">
        <v>150</v>
      </c>
      <c r="Q57" s="242" t="s">
        <v>153</v>
      </c>
      <c r="R57" s="243">
        <f>0.55*R48*R49*R52*0.85*R51*6115/(R50*(R50+6115))</f>
        <v>12.2082384341637</v>
      </c>
      <c r="S57" s="13" t="s">
        <v>150</v>
      </c>
      <c r="T57" s="242" t="s">
        <v>153</v>
      </c>
      <c r="U57" s="243">
        <f>0.55*U48*U49*U52*0.85*U51*6115/(U50*(U50+6115))</f>
        <v>12.2082384341637</v>
      </c>
      <c r="V57" s="13" t="s">
        <v>150</v>
      </c>
    </row>
    <row r="59" spans="2:25" x14ac:dyDescent="0.3">
      <c r="B59" s="244" t="s">
        <v>154</v>
      </c>
      <c r="N59" s="244" t="s">
        <v>154</v>
      </c>
    </row>
    <row r="60" spans="2:25" x14ac:dyDescent="0.3">
      <c r="B60" s="245" t="s">
        <v>149</v>
      </c>
      <c r="C60" s="246">
        <f>C54</f>
        <v>5.160142348754448</v>
      </c>
      <c r="D60" t="s">
        <v>150</v>
      </c>
      <c r="H60" s="245" t="s">
        <v>155</v>
      </c>
      <c r="I60" s="235">
        <f>MAX(C60:C61,D61)</f>
        <v>5.160142348754448</v>
      </c>
      <c r="J60" t="s">
        <v>150</v>
      </c>
      <c r="N60" s="245" t="s">
        <v>149</v>
      </c>
      <c r="O60" s="246">
        <f>O54</f>
        <v>3.0960854092526691</v>
      </c>
      <c r="P60" t="s">
        <v>150</v>
      </c>
      <c r="T60" s="245" t="s">
        <v>155</v>
      </c>
      <c r="U60" s="235">
        <f>MAX(O60:O61,P61)</f>
        <v>3.0960854092526691</v>
      </c>
      <c r="V60" t="s">
        <v>150</v>
      </c>
    </row>
    <row r="61" spans="2:25" x14ac:dyDescent="0.3">
      <c r="B61" s="245" t="s">
        <v>156</v>
      </c>
      <c r="C61" s="246">
        <f>C56/3</f>
        <v>2.8813753074498529</v>
      </c>
      <c r="D61" s="247">
        <f>I56/3</f>
        <v>3.2967287925475843</v>
      </c>
      <c r="E61" t="s">
        <v>150</v>
      </c>
      <c r="N61" s="245" t="s">
        <v>156</v>
      </c>
      <c r="O61" s="246">
        <f>O56/3</f>
        <v>2.8648698016414094</v>
      </c>
      <c r="P61" s="248">
        <f>U56/3</f>
        <v>2.303375391203796</v>
      </c>
      <c r="Q61" t="s">
        <v>150</v>
      </c>
    </row>
    <row r="63" spans="2:25" x14ac:dyDescent="0.3">
      <c r="F63" s="249">
        <f>C56-I60</f>
        <v>3.4839835735951112</v>
      </c>
      <c r="G63" s="250"/>
      <c r="H63" s="138" t="s">
        <v>157</v>
      </c>
      <c r="I63" s="251">
        <f>F56-H66</f>
        <v>7.8852661786599221E-2</v>
      </c>
      <c r="J63" s="252" t="s">
        <v>158</v>
      </c>
      <c r="K63" s="138" t="s">
        <v>159</v>
      </c>
      <c r="L63" s="249">
        <f>I56-I60</f>
        <v>4.7300440288883046</v>
      </c>
      <c r="M63" s="250"/>
      <c r="R63" s="249">
        <f>O56-U60</f>
        <v>5.4985239956715581</v>
      </c>
      <c r="S63" s="250"/>
      <c r="T63" s="138" t="s">
        <v>157</v>
      </c>
      <c r="U63" s="251">
        <f>R56-T66</f>
        <v>-0.48205764502181214</v>
      </c>
      <c r="V63" s="252" t="s">
        <v>158</v>
      </c>
      <c r="W63" s="138" t="s">
        <v>159</v>
      </c>
      <c r="X63" s="249">
        <f>U56-U60</f>
        <v>3.8140407643587184</v>
      </c>
      <c r="Y63" s="250"/>
    </row>
    <row r="64" spans="2:25" x14ac:dyDescent="0.3">
      <c r="B64" s="253" t="s">
        <v>160</v>
      </c>
      <c r="F64" s="138" t="s">
        <v>159</v>
      </c>
      <c r="N64" s="253" t="s">
        <v>160</v>
      </c>
      <c r="R64" s="138" t="s">
        <v>159</v>
      </c>
    </row>
    <row r="65" spans="2:21" x14ac:dyDescent="0.3">
      <c r="B65" s="245" t="s">
        <v>149</v>
      </c>
      <c r="C65" s="246">
        <f>C54</f>
        <v>5.160142348754448</v>
      </c>
      <c r="D65" t="s">
        <v>150</v>
      </c>
      <c r="N65" s="245" t="s">
        <v>149</v>
      </c>
      <c r="O65" s="246">
        <f>O54</f>
        <v>3.0960854092526691</v>
      </c>
      <c r="P65" t="s">
        <v>150</v>
      </c>
    </row>
    <row r="66" spans="2:21" x14ac:dyDescent="0.3">
      <c r="B66" s="245" t="s">
        <v>161</v>
      </c>
      <c r="C66" s="246">
        <f>C56/2</f>
        <v>4.3220629611747796</v>
      </c>
      <c r="D66" s="247">
        <f>I56/2</f>
        <v>4.9450931888213763</v>
      </c>
      <c r="E66" t="s">
        <v>150</v>
      </c>
      <c r="G66" s="139" t="s">
        <v>162</v>
      </c>
      <c r="H66" s="235">
        <f>MAX(C65:C67,D66)</f>
        <v>5.160142348754448</v>
      </c>
      <c r="I66" t="s">
        <v>150</v>
      </c>
      <c r="N66" s="245" t="s">
        <v>161</v>
      </c>
      <c r="O66" s="246">
        <f>O56/2</f>
        <v>4.2973047024621138</v>
      </c>
      <c r="P66" s="248">
        <f>U56/2</f>
        <v>3.4550630868056937</v>
      </c>
      <c r="Q66" t="s">
        <v>150</v>
      </c>
      <c r="S66" s="139" t="s">
        <v>162</v>
      </c>
      <c r="T66" s="235">
        <f>MAX(O65:O67,P66)</f>
        <v>4.2973047024621138</v>
      </c>
      <c r="U66" t="s">
        <v>150</v>
      </c>
    </row>
    <row r="67" spans="2:21" x14ac:dyDescent="0.3">
      <c r="B67" s="254" t="s">
        <v>163</v>
      </c>
      <c r="C67" s="246">
        <f>F56/2</f>
        <v>2.6194975052705236</v>
      </c>
      <c r="D67" t="s">
        <v>150</v>
      </c>
      <c r="I67">
        <v>7</v>
      </c>
      <c r="N67" s="254" t="s">
        <v>163</v>
      </c>
      <c r="O67" s="246">
        <f>R56/2</f>
        <v>1.9076235287201508</v>
      </c>
      <c r="P67" t="s">
        <v>150</v>
      </c>
      <c r="U67">
        <v>5.3</v>
      </c>
    </row>
  </sheetData>
  <mergeCells count="12">
    <mergeCell ref="D3:F3"/>
    <mergeCell ref="H3:J3"/>
    <mergeCell ref="P3:R3"/>
    <mergeCell ref="T3:V3"/>
    <mergeCell ref="K42:M42"/>
    <mergeCell ref="W42:Y42"/>
    <mergeCell ref="K6:M6"/>
    <mergeCell ref="W6:Y6"/>
    <mergeCell ref="D39:F39"/>
    <mergeCell ref="H39:J39"/>
    <mergeCell ref="P39:R39"/>
    <mergeCell ref="T39:V3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Q263"/>
  <sheetViews>
    <sheetView topLeftCell="B1" workbookViewId="0">
      <selection activeCell="I1" sqref="I1"/>
    </sheetView>
  </sheetViews>
  <sheetFormatPr baseColWidth="10" defaultRowHeight="14.4" x14ac:dyDescent="0.3"/>
  <cols>
    <col min="3" max="3" width="13.33203125" customWidth="1"/>
    <col min="4" max="4" width="14.44140625" customWidth="1"/>
    <col min="5" max="5" width="18.6640625" customWidth="1"/>
    <col min="6" max="6" width="21.88671875" customWidth="1"/>
  </cols>
  <sheetData>
    <row r="2" spans="2:15" ht="23.4" x14ac:dyDescent="0.45">
      <c r="F2" s="255" t="s">
        <v>164</v>
      </c>
    </row>
    <row r="3" spans="2:15" x14ac:dyDescent="0.3">
      <c r="C3" s="588"/>
      <c r="D3" s="588"/>
      <c r="E3" s="588"/>
      <c r="F3" s="588"/>
      <c r="G3" s="588"/>
      <c r="H3" s="588"/>
      <c r="I3" s="588"/>
      <c r="J3" s="588"/>
      <c r="K3" s="588"/>
      <c r="L3" s="588"/>
      <c r="M3" s="588"/>
      <c r="N3" s="588"/>
    </row>
    <row r="4" spans="2:15" ht="18.600000000000001" thickBot="1" x14ac:dyDescent="0.4">
      <c r="B4" s="207"/>
      <c r="C4" s="207"/>
      <c r="D4" s="207"/>
      <c r="E4" s="207"/>
      <c r="F4" s="207"/>
      <c r="G4" s="207"/>
      <c r="H4" s="99"/>
      <c r="I4" s="99"/>
      <c r="K4" s="256"/>
      <c r="M4" s="102"/>
      <c r="N4" s="256"/>
      <c r="O4" s="144"/>
    </row>
    <row r="5" spans="2:15" ht="18" x14ac:dyDescent="0.35">
      <c r="B5" s="566">
        <v>7.5</v>
      </c>
      <c r="C5" s="510" t="s">
        <v>165</v>
      </c>
      <c r="D5" s="490"/>
      <c r="E5" s="511" t="s">
        <v>166</v>
      </c>
      <c r="F5" s="511" t="s">
        <v>167</v>
      </c>
      <c r="G5" s="516" t="s">
        <v>168</v>
      </c>
      <c r="H5" s="209"/>
      <c r="I5" s="100"/>
    </row>
    <row r="6" spans="2:15" x14ac:dyDescent="0.3">
      <c r="B6" s="567"/>
      <c r="C6" s="486"/>
      <c r="D6" s="491"/>
      <c r="E6" s="496"/>
      <c r="F6" s="496"/>
      <c r="G6" s="479"/>
      <c r="H6" s="103"/>
      <c r="I6" s="103"/>
    </row>
    <row r="7" spans="2:15" x14ac:dyDescent="0.3">
      <c r="B7" s="567"/>
      <c r="C7" s="486"/>
      <c r="D7" s="491"/>
      <c r="E7" s="496"/>
      <c r="F7" s="496"/>
      <c r="G7" s="479"/>
      <c r="H7" s="479"/>
      <c r="I7" s="104"/>
    </row>
    <row r="8" spans="2:15" x14ac:dyDescent="0.3">
      <c r="B8" s="567"/>
      <c r="C8" s="486"/>
      <c r="D8" s="491"/>
      <c r="E8" s="496"/>
      <c r="F8" s="496"/>
      <c r="G8" s="479"/>
      <c r="H8" s="103"/>
      <c r="I8" s="103"/>
    </row>
    <row r="9" spans="2:15" ht="18" x14ac:dyDescent="0.35">
      <c r="B9" s="567"/>
      <c r="C9" s="486"/>
      <c r="D9" s="491"/>
      <c r="E9" s="496"/>
      <c r="F9" s="496"/>
      <c r="G9" s="479"/>
      <c r="H9" s="210"/>
      <c r="I9" s="103"/>
    </row>
    <row r="10" spans="2:15" x14ac:dyDescent="0.3">
      <c r="B10" s="567"/>
      <c r="C10" s="486"/>
      <c r="D10" s="491"/>
      <c r="E10" s="496"/>
      <c r="F10" s="496"/>
      <c r="G10" s="479"/>
      <c r="H10" s="103"/>
      <c r="I10" s="103"/>
      <c r="K10" s="102"/>
      <c r="O10" s="102"/>
    </row>
    <row r="11" spans="2:15" x14ac:dyDescent="0.3">
      <c r="B11" s="567"/>
      <c r="C11" s="486"/>
      <c r="D11" s="491"/>
      <c r="E11" s="496"/>
      <c r="F11" s="496"/>
      <c r="G11" s="479"/>
      <c r="H11" s="100"/>
      <c r="I11" s="100"/>
    </row>
    <row r="12" spans="2:15" x14ac:dyDescent="0.3">
      <c r="B12" s="567"/>
      <c r="C12" s="486"/>
      <c r="D12" s="491"/>
      <c r="E12" s="496"/>
      <c r="F12" s="496"/>
      <c r="G12" s="479"/>
      <c r="H12" s="103"/>
      <c r="I12" s="103"/>
    </row>
    <row r="13" spans="2:15" x14ac:dyDescent="0.3">
      <c r="B13" s="567"/>
      <c r="C13" s="486"/>
      <c r="D13" s="491"/>
      <c r="E13" s="496"/>
      <c r="F13" s="496"/>
      <c r="G13" s="479"/>
      <c r="H13" s="103"/>
      <c r="I13" s="103"/>
    </row>
    <row r="14" spans="2:15" ht="18" x14ac:dyDescent="0.35">
      <c r="B14" s="567"/>
      <c r="C14" s="486"/>
      <c r="D14" s="491"/>
      <c r="E14" s="496"/>
      <c r="F14" s="496"/>
      <c r="G14" s="479"/>
      <c r="H14" s="210"/>
      <c r="I14" s="103"/>
    </row>
    <row r="15" spans="2:15" ht="15" thickBot="1" x14ac:dyDescent="0.35">
      <c r="B15" s="568"/>
      <c r="C15" s="487" t="s">
        <v>169</v>
      </c>
      <c r="D15" s="492"/>
      <c r="E15" s="512" t="s">
        <v>170</v>
      </c>
      <c r="F15" s="512" t="s">
        <v>171</v>
      </c>
      <c r="G15" s="516" t="s">
        <v>172</v>
      </c>
      <c r="H15" s="103"/>
      <c r="I15" s="103"/>
    </row>
    <row r="16" spans="2:15" ht="18" x14ac:dyDescent="0.35">
      <c r="B16" s="566">
        <v>7.5</v>
      </c>
      <c r="C16" s="488"/>
      <c r="D16" s="493"/>
      <c r="E16" s="511"/>
      <c r="F16" s="511"/>
      <c r="G16" s="479"/>
      <c r="H16" s="103"/>
      <c r="I16" s="103"/>
      <c r="K16" s="256"/>
      <c r="N16" s="256"/>
      <c r="O16" s="144"/>
    </row>
    <row r="17" spans="2:15" x14ac:dyDescent="0.3">
      <c r="B17" s="567"/>
      <c r="C17" s="489"/>
      <c r="D17" s="494"/>
      <c r="E17" s="496"/>
      <c r="F17" s="496"/>
      <c r="G17" s="479"/>
      <c r="H17" s="103"/>
      <c r="I17" s="103"/>
      <c r="M17" s="102"/>
    </row>
    <row r="18" spans="2:15" x14ac:dyDescent="0.3">
      <c r="B18" s="567"/>
      <c r="C18" s="489"/>
      <c r="D18" s="494"/>
      <c r="E18" s="496"/>
      <c r="F18" s="496"/>
      <c r="G18" s="515"/>
      <c r="H18" s="100"/>
      <c r="I18" s="100"/>
    </row>
    <row r="19" spans="2:15" ht="18" x14ac:dyDescent="0.35">
      <c r="B19" s="567"/>
      <c r="C19" s="489"/>
      <c r="D19" s="494"/>
      <c r="E19" s="496"/>
      <c r="F19" s="496"/>
      <c r="G19" s="479"/>
      <c r="H19" s="210"/>
      <c r="I19" s="103"/>
    </row>
    <row r="20" spans="2:15" x14ac:dyDescent="0.3">
      <c r="B20" s="567"/>
      <c r="C20" s="489"/>
      <c r="D20" s="494"/>
      <c r="E20" s="496"/>
      <c r="F20" s="496"/>
      <c r="G20" s="479"/>
      <c r="H20" s="103"/>
      <c r="I20" s="103"/>
      <c r="K20" s="102"/>
      <c r="O20" s="102"/>
    </row>
    <row r="21" spans="2:15" ht="15" thickBot="1" x14ac:dyDescent="0.35">
      <c r="B21" s="568"/>
      <c r="C21" s="513" t="s">
        <v>173</v>
      </c>
      <c r="D21" s="495"/>
      <c r="E21" s="512" t="s">
        <v>174</v>
      </c>
      <c r="F21" s="512" t="s">
        <v>175</v>
      </c>
      <c r="G21" s="515" t="s">
        <v>176</v>
      </c>
      <c r="H21" s="103"/>
      <c r="I21" s="103"/>
    </row>
    <row r="22" spans="2:15" x14ac:dyDescent="0.3">
      <c r="B22" s="457"/>
      <c r="C22" s="569">
        <v>7.5</v>
      </c>
      <c r="D22" s="569"/>
      <c r="E22" s="458">
        <v>7.5</v>
      </c>
      <c r="F22" s="458">
        <v>7.5</v>
      </c>
      <c r="H22" s="103"/>
      <c r="I22" s="103"/>
    </row>
    <row r="23" spans="2:15" ht="18" x14ac:dyDescent="0.35">
      <c r="B23" s="457"/>
      <c r="C23" s="208"/>
      <c r="D23" s="208"/>
      <c r="E23" s="208"/>
      <c r="F23" s="208"/>
      <c r="G23" s="508"/>
      <c r="H23" s="103"/>
      <c r="I23" s="103"/>
      <c r="K23" s="256"/>
      <c r="N23" s="256"/>
      <c r="O23" s="144"/>
    </row>
    <row r="24" spans="2:15" ht="18" x14ac:dyDescent="0.35">
      <c r="B24" s="457"/>
      <c r="C24" s="509"/>
      <c r="D24" s="208"/>
      <c r="E24" s="208"/>
      <c r="F24" s="509"/>
      <c r="G24" s="508"/>
      <c r="H24" s="210"/>
      <c r="I24" s="103"/>
      <c r="K24" s="144"/>
      <c r="M24" s="102"/>
      <c r="N24" s="144"/>
      <c r="O24" s="144"/>
    </row>
    <row r="25" spans="2:15" ht="18" x14ac:dyDescent="0.35">
      <c r="B25" s="101"/>
      <c r="C25" s="422"/>
      <c r="D25" s="431"/>
      <c r="E25" s="506"/>
      <c r="F25" s="431"/>
      <c r="G25" s="506"/>
      <c r="H25" s="210"/>
      <c r="I25" s="100"/>
    </row>
    <row r="26" spans="2:15" x14ac:dyDescent="0.3">
      <c r="C26" s="61"/>
      <c r="D26" s="61"/>
      <c r="E26" s="61"/>
      <c r="F26" s="61"/>
      <c r="G26" s="61"/>
      <c r="H26" s="420"/>
      <c r="I26" s="10"/>
    </row>
    <row r="27" spans="2:15" x14ac:dyDescent="0.3">
      <c r="H27" s="138"/>
    </row>
    <row r="32" spans="2:15" ht="36.6" x14ac:dyDescent="0.7">
      <c r="C32" s="257"/>
    </row>
    <row r="34" spans="3:17" ht="37.200000000000003" thickBot="1" x14ac:dyDescent="0.75">
      <c r="C34" s="258" t="s">
        <v>177</v>
      </c>
      <c r="D34" s="259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</row>
    <row r="35" spans="3:17" x14ac:dyDescent="0.3">
      <c r="C35" s="260"/>
      <c r="D35" s="261" t="s">
        <v>178</v>
      </c>
      <c r="E35" s="262"/>
      <c r="F35" s="28"/>
      <c r="G35" s="261" t="s">
        <v>179</v>
      </c>
      <c r="H35" s="262"/>
      <c r="I35" s="28"/>
      <c r="J35" s="261" t="s">
        <v>180</v>
      </c>
      <c r="K35" s="262"/>
      <c r="L35" s="28"/>
      <c r="M35" s="28"/>
      <c r="N35" s="28"/>
      <c r="O35" s="28"/>
      <c r="P35" s="28"/>
      <c r="Q35" s="28"/>
    </row>
    <row r="36" spans="3:17" ht="15.6" x14ac:dyDescent="0.3">
      <c r="C36" s="260"/>
      <c r="D36" s="263" t="s">
        <v>181</v>
      </c>
      <c r="E36" s="264"/>
      <c r="F36" s="28"/>
      <c r="G36" s="265"/>
      <c r="H36" s="264"/>
      <c r="I36" s="28"/>
      <c r="J36" s="265"/>
      <c r="K36" s="264"/>
      <c r="L36" s="28"/>
      <c r="M36" s="28"/>
      <c r="N36" s="28"/>
      <c r="O36" s="28"/>
      <c r="P36" s="28"/>
      <c r="Q36" s="28"/>
    </row>
    <row r="37" spans="3:17" ht="15.6" x14ac:dyDescent="0.3">
      <c r="C37" s="260"/>
      <c r="D37" s="265"/>
      <c r="E37" s="264"/>
      <c r="F37" s="28"/>
      <c r="G37" s="265"/>
      <c r="H37" s="266">
        <v>75</v>
      </c>
      <c r="I37" s="28"/>
      <c r="J37" s="265"/>
      <c r="K37" s="266">
        <v>60</v>
      </c>
      <c r="L37" s="28"/>
      <c r="M37" s="28"/>
      <c r="N37" s="28"/>
      <c r="O37" s="28"/>
      <c r="P37" s="28"/>
      <c r="Q37" s="28"/>
    </row>
    <row r="38" spans="3:17" x14ac:dyDescent="0.3">
      <c r="C38" s="260"/>
      <c r="D38" s="265"/>
      <c r="E38" s="264"/>
      <c r="F38" s="28"/>
      <c r="G38" s="265"/>
      <c r="H38" s="264"/>
      <c r="I38" s="28"/>
      <c r="J38" s="265"/>
      <c r="K38" s="264"/>
      <c r="L38" s="28"/>
      <c r="M38" s="28"/>
      <c r="N38" s="28"/>
      <c r="O38" s="28"/>
      <c r="P38" s="28"/>
      <c r="Q38" s="28"/>
    </row>
    <row r="39" spans="3:17" ht="16.2" thickBot="1" x14ac:dyDescent="0.35">
      <c r="C39" s="260"/>
      <c r="D39" s="267"/>
      <c r="E39" s="268" t="s">
        <v>182</v>
      </c>
      <c r="F39" s="28"/>
      <c r="G39" s="265"/>
      <c r="H39" s="264"/>
      <c r="I39" s="28"/>
      <c r="J39" s="265"/>
      <c r="K39" s="264"/>
      <c r="L39" s="28"/>
      <c r="M39" s="28"/>
      <c r="N39" s="28"/>
      <c r="O39" s="28"/>
      <c r="P39" s="28"/>
      <c r="Q39" s="28"/>
    </row>
    <row r="40" spans="3:17" x14ac:dyDescent="0.3">
      <c r="C40" s="28"/>
      <c r="D40" s="28"/>
      <c r="E40" s="28"/>
      <c r="F40" s="28"/>
      <c r="G40" s="265"/>
      <c r="H40" s="264"/>
      <c r="I40" s="28"/>
      <c r="J40" s="265"/>
      <c r="K40" s="264"/>
      <c r="L40" s="28"/>
      <c r="M40" s="28"/>
      <c r="N40" s="28"/>
      <c r="O40" s="28"/>
      <c r="P40" s="28"/>
      <c r="Q40" s="28"/>
    </row>
    <row r="41" spans="3:17" ht="16.2" thickBot="1" x14ac:dyDescent="0.35">
      <c r="C41" s="28"/>
      <c r="D41" s="28"/>
      <c r="E41" s="28"/>
      <c r="F41" s="28"/>
      <c r="G41" s="269">
        <v>75</v>
      </c>
      <c r="H41" s="270"/>
      <c r="I41" s="28"/>
      <c r="J41" s="269">
        <v>40</v>
      </c>
      <c r="K41" s="270"/>
      <c r="L41" s="28"/>
      <c r="M41" s="28"/>
      <c r="N41" s="28"/>
      <c r="O41" s="28"/>
      <c r="P41" s="28"/>
      <c r="Q41" s="28"/>
    </row>
    <row r="42" spans="3:17" ht="36.6" x14ac:dyDescent="0.7">
      <c r="C42" s="28"/>
      <c r="D42" s="257" t="s">
        <v>399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</row>
    <row r="43" spans="3:17" x14ac:dyDescent="0.3"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</row>
    <row r="44" spans="3:17" x14ac:dyDescent="0.3"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</row>
    <row r="45" spans="3:17" x14ac:dyDescent="0.3"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</row>
    <row r="46" spans="3:17" x14ac:dyDescent="0.3">
      <c r="C46" s="271" t="s">
        <v>183</v>
      </c>
      <c r="D46" s="272"/>
      <c r="E46" s="273"/>
      <c r="F46" s="28"/>
      <c r="G46" s="271" t="s">
        <v>184</v>
      </c>
      <c r="H46" s="272"/>
      <c r="I46" s="273"/>
      <c r="J46" s="28"/>
      <c r="K46" s="28"/>
      <c r="L46" s="28"/>
      <c r="M46" s="28"/>
      <c r="N46" s="28"/>
      <c r="O46" s="28"/>
      <c r="P46" s="28"/>
      <c r="Q46" s="28"/>
    </row>
    <row r="47" spans="3:17" x14ac:dyDescent="0.3">
      <c r="C47" s="274" t="s">
        <v>185</v>
      </c>
      <c r="D47" s="260">
        <v>210</v>
      </c>
      <c r="E47" s="275" t="s">
        <v>116</v>
      </c>
      <c r="F47" s="28"/>
      <c r="G47" s="271"/>
      <c r="H47" s="272"/>
      <c r="I47" s="273"/>
      <c r="J47" s="28"/>
      <c r="K47" s="28"/>
      <c r="L47" s="28"/>
      <c r="M47" s="28"/>
      <c r="N47" s="28"/>
      <c r="O47" s="28"/>
      <c r="P47" s="28"/>
      <c r="Q47" s="28"/>
    </row>
    <row r="48" spans="3:17" x14ac:dyDescent="0.3">
      <c r="C48" s="274" t="s">
        <v>186</v>
      </c>
      <c r="D48" s="260">
        <v>2810</v>
      </c>
      <c r="E48" s="275" t="s">
        <v>116</v>
      </c>
      <c r="F48" s="28"/>
      <c r="G48" s="274" t="s">
        <v>187</v>
      </c>
      <c r="H48" s="260">
        <v>75</v>
      </c>
      <c r="I48" s="275" t="s">
        <v>188</v>
      </c>
      <c r="J48" s="28"/>
      <c r="K48" s="28"/>
      <c r="L48" s="28"/>
      <c r="M48" s="28"/>
      <c r="N48" s="28"/>
      <c r="O48" s="28"/>
      <c r="P48" s="28"/>
      <c r="Q48" s="28"/>
    </row>
    <row r="49" spans="3:17" x14ac:dyDescent="0.3">
      <c r="C49" s="274" t="s">
        <v>189</v>
      </c>
      <c r="D49" s="260"/>
      <c r="E49" s="275"/>
      <c r="F49" s="28"/>
      <c r="G49" s="276" t="s">
        <v>190</v>
      </c>
      <c r="H49" s="277">
        <v>75</v>
      </c>
      <c r="I49" s="278" t="s">
        <v>188</v>
      </c>
      <c r="J49" s="28"/>
      <c r="K49" s="28"/>
      <c r="L49" s="28"/>
      <c r="M49" s="28"/>
      <c r="N49" s="28"/>
      <c r="O49" s="28"/>
      <c r="P49" s="28"/>
      <c r="Q49" s="28"/>
    </row>
    <row r="50" spans="3:17" x14ac:dyDescent="0.3">
      <c r="C50" s="274" t="s">
        <v>187</v>
      </c>
      <c r="D50" s="260">
        <v>40</v>
      </c>
      <c r="E50" s="275" t="s">
        <v>188</v>
      </c>
      <c r="F50" s="28"/>
      <c r="G50" s="274" t="s">
        <v>191</v>
      </c>
      <c r="H50" s="279"/>
      <c r="I50" s="275"/>
      <c r="J50" s="28"/>
      <c r="K50" s="28"/>
      <c r="L50" s="28"/>
      <c r="M50" s="28"/>
      <c r="N50" s="28"/>
      <c r="O50" s="28"/>
      <c r="P50" s="28"/>
      <c r="Q50" s="28"/>
    </row>
    <row r="51" spans="3:17" x14ac:dyDescent="0.3">
      <c r="C51" s="274" t="s">
        <v>190</v>
      </c>
      <c r="D51" s="260">
        <v>60</v>
      </c>
      <c r="E51" s="275" t="s">
        <v>188</v>
      </c>
      <c r="F51" s="28"/>
      <c r="G51" s="276" t="s">
        <v>192</v>
      </c>
      <c r="H51" s="277">
        <v>400</v>
      </c>
      <c r="I51" s="278" t="s">
        <v>188</v>
      </c>
      <c r="J51" s="28"/>
      <c r="K51" s="28"/>
      <c r="L51" s="28"/>
      <c r="M51" s="28"/>
      <c r="N51" s="28"/>
      <c r="O51" s="28"/>
      <c r="P51" s="28"/>
      <c r="Q51" s="28"/>
    </row>
    <row r="52" spans="3:17" x14ac:dyDescent="0.3">
      <c r="C52" s="274" t="s">
        <v>193</v>
      </c>
      <c r="D52" s="280">
        <f>+-CROSS!H75</f>
        <v>2292.4152670202693</v>
      </c>
      <c r="E52" s="275" t="s">
        <v>194</v>
      </c>
      <c r="F52" s="28"/>
      <c r="G52" s="281" t="s">
        <v>195</v>
      </c>
      <c r="H52" s="281"/>
      <c r="I52" s="282"/>
      <c r="J52" s="28"/>
      <c r="K52" s="28"/>
      <c r="L52" s="28"/>
      <c r="M52" s="28"/>
      <c r="N52" s="28"/>
      <c r="O52" s="28"/>
      <c r="P52" s="28"/>
      <c r="Q52" s="28"/>
    </row>
    <row r="53" spans="3:17" x14ac:dyDescent="0.3">
      <c r="C53" s="274" t="s">
        <v>196</v>
      </c>
      <c r="D53" s="280">
        <f>+-CROSS!AA75</f>
        <v>3721.1822671885484</v>
      </c>
      <c r="E53" s="275" t="s">
        <v>194</v>
      </c>
      <c r="F53" s="28"/>
      <c r="G53" s="283" t="s">
        <v>192</v>
      </c>
      <c r="H53" s="277">
        <v>400</v>
      </c>
      <c r="I53" s="278" t="s">
        <v>188</v>
      </c>
      <c r="J53" s="28"/>
      <c r="K53" s="28"/>
      <c r="L53" s="28"/>
      <c r="M53" s="28"/>
      <c r="N53" s="28"/>
      <c r="O53" s="28"/>
      <c r="P53" s="28"/>
      <c r="Q53" s="28"/>
    </row>
    <row r="54" spans="3:17" x14ac:dyDescent="0.3">
      <c r="C54" s="274" t="s">
        <v>30</v>
      </c>
      <c r="D54" s="280">
        <f>+'LOSA NERVURADA'!I58</f>
        <v>571.64538322040562</v>
      </c>
      <c r="E54" s="275" t="s">
        <v>197</v>
      </c>
      <c r="F54" s="28"/>
      <c r="G54" s="271" t="s">
        <v>198</v>
      </c>
      <c r="H54" s="281"/>
      <c r="I54" s="282"/>
      <c r="J54" s="28"/>
      <c r="K54" s="28"/>
      <c r="L54" s="28"/>
      <c r="M54" s="28"/>
      <c r="N54" s="28"/>
      <c r="O54" s="28"/>
      <c r="P54" s="28"/>
      <c r="Q54" s="28"/>
    </row>
    <row r="55" spans="3:17" x14ac:dyDescent="0.3">
      <c r="C55" s="274" t="s">
        <v>199</v>
      </c>
      <c r="D55" s="260">
        <v>300</v>
      </c>
      <c r="E55" s="275" t="s">
        <v>197</v>
      </c>
      <c r="F55" s="28"/>
      <c r="G55" s="276" t="s">
        <v>192</v>
      </c>
      <c r="H55" s="277">
        <v>400</v>
      </c>
      <c r="I55" s="278" t="s">
        <v>188</v>
      </c>
      <c r="J55" s="28"/>
      <c r="K55" s="28"/>
      <c r="L55" s="28"/>
      <c r="M55" s="28"/>
      <c r="N55" s="28"/>
      <c r="O55" s="28"/>
      <c r="P55" s="28"/>
      <c r="Q55" s="28"/>
    </row>
    <row r="56" spans="3:17" x14ac:dyDescent="0.3">
      <c r="C56" s="274" t="s">
        <v>200</v>
      </c>
      <c r="D56" s="260">
        <f>+(D54+D55)*D58</f>
        <v>49030.052806147818</v>
      </c>
      <c r="E56" s="275" t="s">
        <v>201</v>
      </c>
      <c r="F56" s="28"/>
      <c r="G56" s="27" t="s">
        <v>202</v>
      </c>
      <c r="H56" s="28"/>
      <c r="I56" s="28"/>
      <c r="J56" s="28"/>
      <c r="K56" s="28"/>
      <c r="L56" s="28"/>
      <c r="M56" s="28"/>
      <c r="N56" s="28"/>
      <c r="O56" s="28"/>
      <c r="P56" s="28"/>
      <c r="Q56" s="28"/>
    </row>
    <row r="57" spans="3:17" x14ac:dyDescent="0.3">
      <c r="C57" s="276" t="s">
        <v>192</v>
      </c>
      <c r="D57" s="277">
        <v>380</v>
      </c>
      <c r="E57" s="278" t="s">
        <v>188</v>
      </c>
      <c r="F57" s="28"/>
      <c r="G57" s="271" t="s">
        <v>203</v>
      </c>
      <c r="H57" s="281"/>
      <c r="I57" s="282"/>
      <c r="J57" s="271" t="s">
        <v>204</v>
      </c>
      <c r="K57" s="281"/>
      <c r="L57" s="282"/>
      <c r="M57" s="28"/>
      <c r="N57" s="28"/>
      <c r="O57" s="28"/>
      <c r="P57" s="28"/>
      <c r="Q57" s="28"/>
    </row>
    <row r="58" spans="3:17" x14ac:dyDescent="0.3">
      <c r="C58" s="284">
        <v>0</v>
      </c>
      <c r="D58" s="28">
        <v>56.25</v>
      </c>
      <c r="E58" s="275" t="s">
        <v>205</v>
      </c>
      <c r="F58" s="28"/>
      <c r="G58" s="276" t="s">
        <v>206</v>
      </c>
      <c r="H58" s="277">
        <v>750</v>
      </c>
      <c r="I58" s="278" t="s">
        <v>188</v>
      </c>
      <c r="J58" s="276" t="s">
        <v>206</v>
      </c>
      <c r="K58" s="277">
        <v>750</v>
      </c>
      <c r="L58" s="278" t="s">
        <v>188</v>
      </c>
      <c r="M58" s="28"/>
      <c r="N58" s="28"/>
      <c r="O58" s="28"/>
      <c r="P58" s="28"/>
      <c r="Q58" s="28"/>
    </row>
    <row r="59" spans="3:17" x14ac:dyDescent="0.3">
      <c r="C59" s="28"/>
      <c r="D59" s="28"/>
      <c r="E59" s="28"/>
      <c r="F59" s="28"/>
      <c r="G59" s="274"/>
      <c r="H59" s="279"/>
      <c r="I59" s="279"/>
      <c r="J59" s="279"/>
      <c r="K59" s="279"/>
      <c r="L59" s="275"/>
      <c r="M59" s="28"/>
      <c r="N59" s="28"/>
      <c r="O59" s="28"/>
      <c r="P59" s="28"/>
      <c r="Q59" s="28"/>
    </row>
    <row r="60" spans="3:17" x14ac:dyDescent="0.3">
      <c r="C60" s="28"/>
      <c r="D60" s="28"/>
      <c r="E60" s="28"/>
      <c r="F60" s="28"/>
      <c r="G60" s="271" t="s">
        <v>207</v>
      </c>
      <c r="H60" s="281"/>
      <c r="I60" s="282"/>
      <c r="J60" s="271" t="s">
        <v>208</v>
      </c>
      <c r="K60" s="281"/>
      <c r="L60" s="282"/>
      <c r="M60" s="28"/>
      <c r="N60" s="28"/>
      <c r="O60" s="28"/>
      <c r="P60" s="28"/>
      <c r="Q60" s="28"/>
    </row>
    <row r="61" spans="3:17" x14ac:dyDescent="0.3">
      <c r="C61" s="28"/>
      <c r="D61" s="28"/>
      <c r="E61" s="28"/>
      <c r="F61" s="28"/>
      <c r="G61" s="276" t="s">
        <v>206</v>
      </c>
      <c r="H61" s="277">
        <v>750</v>
      </c>
      <c r="I61" s="278" t="s">
        <v>188</v>
      </c>
      <c r="J61" s="276" t="s">
        <v>206</v>
      </c>
      <c r="K61" s="277">
        <v>750</v>
      </c>
      <c r="L61" s="278" t="s">
        <v>188</v>
      </c>
      <c r="M61" s="28"/>
      <c r="N61" s="28"/>
      <c r="O61" s="28"/>
      <c r="P61" s="28"/>
      <c r="Q61" s="28"/>
    </row>
    <row r="62" spans="3:17" x14ac:dyDescent="0.3"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</row>
    <row r="63" spans="3:17" x14ac:dyDescent="0.3"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</row>
    <row r="64" spans="3:17" x14ac:dyDescent="0.3"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</row>
    <row r="65" spans="3:17" x14ac:dyDescent="0.3"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</row>
    <row r="66" spans="3:17" x14ac:dyDescent="0.3">
      <c r="C66" s="285" t="s">
        <v>209</v>
      </c>
      <c r="D66" s="286"/>
      <c r="E66" s="286"/>
      <c r="F66" s="286"/>
      <c r="G66" s="286"/>
      <c r="H66" s="286"/>
      <c r="I66" s="287"/>
      <c r="J66" s="28"/>
      <c r="K66" s="271" t="s">
        <v>209</v>
      </c>
      <c r="L66" s="272"/>
      <c r="M66" s="272"/>
      <c r="N66" s="272"/>
      <c r="O66" s="272"/>
      <c r="P66" s="272"/>
      <c r="Q66" s="273"/>
    </row>
    <row r="67" spans="3:17" x14ac:dyDescent="0.3">
      <c r="C67" s="288"/>
      <c r="D67" s="260"/>
      <c r="E67" s="260"/>
      <c r="F67" s="260"/>
      <c r="G67" s="260"/>
      <c r="H67" s="260"/>
      <c r="I67" s="289"/>
      <c r="J67" s="28"/>
      <c r="K67" s="290"/>
      <c r="L67" s="272"/>
      <c r="M67" s="272"/>
      <c r="N67" s="272"/>
      <c r="O67" s="272"/>
      <c r="P67" s="272"/>
      <c r="Q67" s="273"/>
    </row>
    <row r="68" spans="3:17" x14ac:dyDescent="0.3">
      <c r="C68" s="274" t="s">
        <v>210</v>
      </c>
      <c r="D68" s="260"/>
      <c r="E68" s="260"/>
      <c r="F68" s="260"/>
      <c r="G68" s="260"/>
      <c r="H68" s="260"/>
      <c r="I68" s="289"/>
      <c r="J68" s="28"/>
      <c r="K68" s="274" t="s">
        <v>211</v>
      </c>
      <c r="L68" s="260"/>
      <c r="M68" s="260"/>
      <c r="N68" s="260"/>
      <c r="O68" s="260"/>
      <c r="P68" s="260"/>
      <c r="Q68" s="289"/>
    </row>
    <row r="69" spans="3:17" x14ac:dyDescent="0.3">
      <c r="C69" s="288"/>
      <c r="D69" s="260"/>
      <c r="E69" s="260"/>
      <c r="F69" s="260"/>
      <c r="G69" s="260"/>
      <c r="H69" s="260"/>
      <c r="I69" s="289"/>
      <c r="J69" s="28"/>
      <c r="K69" s="288"/>
      <c r="L69" s="260"/>
      <c r="M69" s="260"/>
      <c r="N69" s="260"/>
      <c r="O69" s="260"/>
      <c r="P69" s="260"/>
      <c r="Q69" s="289"/>
    </row>
    <row r="70" spans="3:17" x14ac:dyDescent="0.3">
      <c r="C70" s="274" t="s">
        <v>212</v>
      </c>
      <c r="D70" s="260"/>
      <c r="E70" s="260"/>
      <c r="F70" s="260"/>
      <c r="G70" s="260"/>
      <c r="H70" s="260"/>
      <c r="I70" s="289"/>
      <c r="J70" s="28"/>
      <c r="K70" s="274" t="s">
        <v>212</v>
      </c>
      <c r="L70" s="260"/>
      <c r="M70" s="260"/>
      <c r="N70" s="260"/>
      <c r="O70" s="260"/>
      <c r="P70" s="260"/>
      <c r="Q70" s="289"/>
    </row>
    <row r="71" spans="3:17" x14ac:dyDescent="0.3">
      <c r="C71" s="288" t="s">
        <v>213</v>
      </c>
      <c r="D71" s="260"/>
      <c r="E71" s="260" t="s">
        <v>214</v>
      </c>
      <c r="F71" s="280">
        <v>0</v>
      </c>
      <c r="G71" s="260" t="str">
        <f>IF(H51&lt;=0,"No existe columna (cielo)","SI existe columna Superior")</f>
        <v>SI existe columna Superior</v>
      </c>
      <c r="H71" s="260"/>
      <c r="I71" s="289"/>
      <c r="J71" s="28"/>
      <c r="K71" s="288" t="s">
        <v>213</v>
      </c>
      <c r="L71" s="260"/>
      <c r="M71" s="260" t="s">
        <v>214</v>
      </c>
      <c r="N71" s="280">
        <v>0</v>
      </c>
      <c r="O71" s="260" t="str">
        <f>IF(H51&lt;=0,"No existe columna (cielo)","SI existe columna Superior")</f>
        <v>SI existe columna Superior</v>
      </c>
      <c r="P71" s="260"/>
      <c r="Q71" s="289"/>
    </row>
    <row r="72" spans="3:17" x14ac:dyDescent="0.3">
      <c r="C72" s="288" t="s">
        <v>215</v>
      </c>
      <c r="D72" s="260"/>
      <c r="E72" s="260" t="s">
        <v>214</v>
      </c>
      <c r="F72" s="280">
        <f>((1/12)*(H49)*((H48)^3))/(H53)</f>
        <v>6591.796875</v>
      </c>
      <c r="G72" s="279" t="s">
        <v>216</v>
      </c>
      <c r="H72" s="260"/>
      <c r="I72" s="289"/>
      <c r="J72" s="28"/>
      <c r="K72" s="288" t="s">
        <v>215</v>
      </c>
      <c r="L72" s="260"/>
      <c r="M72" s="260" t="s">
        <v>214</v>
      </c>
      <c r="N72" s="280">
        <f>((1/12)*(H48)*((H49)^3))/(H53)</f>
        <v>6591.796875</v>
      </c>
      <c r="O72" s="279" t="s">
        <v>216</v>
      </c>
      <c r="P72" s="260"/>
      <c r="Q72" s="289"/>
    </row>
    <row r="73" spans="3:17" x14ac:dyDescent="0.3">
      <c r="C73" s="288" t="s">
        <v>217</v>
      </c>
      <c r="D73" s="260"/>
      <c r="E73" s="260" t="s">
        <v>214</v>
      </c>
      <c r="F73" s="280">
        <v>0</v>
      </c>
      <c r="G73" s="260" t="str">
        <f>IF(H55&lt;=0,"empotramiento en la base, aca NO EXISTE COLUMNA INFERIOR, rigidez del suelo","SI existe columna inferior")</f>
        <v>SI existe columna inferior</v>
      </c>
      <c r="H73" s="260"/>
      <c r="I73" s="289"/>
      <c r="J73" s="28"/>
      <c r="K73" s="288" t="s">
        <v>217</v>
      </c>
      <c r="L73" s="260"/>
      <c r="M73" s="260" t="s">
        <v>214</v>
      </c>
      <c r="N73" s="280">
        <v>0</v>
      </c>
      <c r="O73" s="260" t="str">
        <f>IF(H55&lt;=0,"empotramiento en la base, aca NO EXISTE COLUMNA INFERIOR, rigidez del suelo","SI existe columna inferior")</f>
        <v>SI existe columna inferior</v>
      </c>
      <c r="P73" s="260"/>
      <c r="Q73" s="289"/>
    </row>
    <row r="74" spans="3:17" x14ac:dyDescent="0.3">
      <c r="C74" s="288"/>
      <c r="D74" s="260"/>
      <c r="E74" s="260"/>
      <c r="F74" s="260"/>
      <c r="G74" s="260"/>
      <c r="H74" s="260"/>
      <c r="I74" s="289"/>
      <c r="J74" s="28"/>
      <c r="K74" s="288"/>
      <c r="L74" s="260"/>
      <c r="M74" s="260"/>
      <c r="N74" s="260"/>
      <c r="O74" s="260"/>
      <c r="P74" s="260"/>
      <c r="Q74" s="289"/>
    </row>
    <row r="75" spans="3:17" x14ac:dyDescent="0.3">
      <c r="C75" s="274" t="s">
        <v>218</v>
      </c>
      <c r="D75" s="260"/>
      <c r="E75" s="260"/>
      <c r="F75" s="260"/>
      <c r="G75" s="260"/>
      <c r="H75" s="260"/>
      <c r="I75" s="289"/>
      <c r="J75" s="28"/>
      <c r="K75" s="274" t="s">
        <v>218</v>
      </c>
      <c r="L75" s="260"/>
      <c r="M75" s="260"/>
      <c r="N75" s="260"/>
      <c r="O75" s="260"/>
      <c r="P75" s="260"/>
      <c r="Q75" s="289"/>
    </row>
    <row r="76" spans="3:17" x14ac:dyDescent="0.3">
      <c r="C76" s="288" t="s">
        <v>219</v>
      </c>
      <c r="D76" s="260"/>
      <c r="E76" s="260"/>
      <c r="F76" s="280">
        <f>((1/12)*(D50)*((D51)^3))/(K58)</f>
        <v>959.99999999999989</v>
      </c>
      <c r="G76" s="260"/>
      <c r="H76" s="260"/>
      <c r="I76" s="289"/>
      <c r="J76" s="28"/>
      <c r="K76" s="288" t="s">
        <v>220</v>
      </c>
      <c r="L76" s="260"/>
      <c r="M76" s="260"/>
      <c r="N76" s="280">
        <f>((1/12)*(D50)*((D51)^3))/(K61)</f>
        <v>959.99999999999989</v>
      </c>
      <c r="O76" s="260"/>
      <c r="P76" s="260"/>
      <c r="Q76" s="289"/>
    </row>
    <row r="77" spans="3:17" x14ac:dyDescent="0.3">
      <c r="C77" s="288" t="s">
        <v>221</v>
      </c>
      <c r="D77" s="260"/>
      <c r="E77" s="260"/>
      <c r="F77" s="280">
        <f>((1/12)*(D50)*((D51)^3))/(H58)</f>
        <v>959.99999999999989</v>
      </c>
      <c r="G77" s="260"/>
      <c r="H77" s="260"/>
      <c r="I77" s="289"/>
      <c r="J77" s="28"/>
      <c r="K77" s="288" t="s">
        <v>222</v>
      </c>
      <c r="L77" s="260"/>
      <c r="M77" s="260"/>
      <c r="N77" s="280">
        <f>((1/12)*(D50)*((D51)^3))/(H61)</f>
        <v>959.99999999999989</v>
      </c>
      <c r="O77" s="260"/>
      <c r="P77" s="260"/>
      <c r="Q77" s="289"/>
    </row>
    <row r="78" spans="3:17" x14ac:dyDescent="0.3">
      <c r="C78" s="288"/>
      <c r="D78" s="260"/>
      <c r="E78" s="260"/>
      <c r="F78" s="260"/>
      <c r="G78" s="260"/>
      <c r="H78" s="260"/>
      <c r="I78" s="289"/>
      <c r="J78" s="28"/>
      <c r="K78" s="288"/>
      <c r="L78" s="260"/>
      <c r="M78" s="260"/>
      <c r="N78" s="260"/>
      <c r="O78" s="260"/>
      <c r="P78" s="260"/>
      <c r="Q78" s="289"/>
    </row>
    <row r="79" spans="3:17" x14ac:dyDescent="0.3">
      <c r="C79" s="274" t="s">
        <v>223</v>
      </c>
      <c r="D79" s="260"/>
      <c r="E79" s="260"/>
      <c r="F79" s="260"/>
      <c r="G79" s="260"/>
      <c r="H79" s="260"/>
      <c r="I79" s="289"/>
      <c r="J79" s="28"/>
      <c r="K79" s="274" t="s">
        <v>223</v>
      </c>
      <c r="L79" s="260"/>
      <c r="M79" s="260"/>
      <c r="N79" s="260"/>
      <c r="O79" s="260"/>
      <c r="P79" s="260"/>
      <c r="Q79" s="289"/>
    </row>
    <row r="80" spans="3:17" ht="15.6" x14ac:dyDescent="0.3">
      <c r="C80" s="291" t="s">
        <v>224</v>
      </c>
      <c r="D80" s="280">
        <f>(F71+F72)/(F76+F77)</f>
        <v>3.4332275390625004</v>
      </c>
      <c r="E80" s="260"/>
      <c r="F80" s="260"/>
      <c r="G80" s="260"/>
      <c r="H80" s="260"/>
      <c r="I80" s="289"/>
      <c r="J80" s="28"/>
      <c r="K80" s="291" t="s">
        <v>224</v>
      </c>
      <c r="L80" s="280">
        <f>(N71+N72)/(N76+N77)</f>
        <v>3.4332275390625004</v>
      </c>
      <c r="M80" s="260"/>
      <c r="N80" s="260"/>
      <c r="O80" s="260"/>
      <c r="P80" s="260"/>
      <c r="Q80" s="289"/>
    </row>
    <row r="81" spans="3:17" ht="15.6" x14ac:dyDescent="0.3">
      <c r="C81" s="291" t="s">
        <v>225</v>
      </c>
      <c r="D81" s="280">
        <f>(F72+F73)/(F76+F77)</f>
        <v>3.4332275390625004</v>
      </c>
      <c r="E81" s="260"/>
      <c r="F81" s="260"/>
      <c r="G81" s="260"/>
      <c r="H81" s="260"/>
      <c r="I81" s="289"/>
      <c r="J81" s="28"/>
      <c r="K81" s="291" t="s">
        <v>225</v>
      </c>
      <c r="L81" s="280">
        <f>(N72+N73)/(N76+N77)</f>
        <v>3.4332275390625004</v>
      </c>
      <c r="M81" s="260"/>
      <c r="N81" s="260"/>
      <c r="O81" s="260"/>
      <c r="P81" s="260"/>
      <c r="Q81" s="289"/>
    </row>
    <row r="82" spans="3:17" x14ac:dyDescent="0.3">
      <c r="C82" s="288"/>
      <c r="D82" s="260"/>
      <c r="E82" s="260"/>
      <c r="F82" s="260"/>
      <c r="G82" s="260"/>
      <c r="H82" s="260"/>
      <c r="I82" s="289"/>
      <c r="J82" s="28"/>
      <c r="K82" s="288"/>
      <c r="L82" s="260"/>
      <c r="M82" s="260"/>
      <c r="N82" s="260"/>
      <c r="O82" s="260"/>
      <c r="P82" s="260"/>
      <c r="Q82" s="289"/>
    </row>
    <row r="83" spans="3:17" x14ac:dyDescent="0.3">
      <c r="C83" s="276" t="s">
        <v>226</v>
      </c>
      <c r="D83" s="292">
        <f>(D80+D81)/2</f>
        <v>3.4332275390625004</v>
      </c>
      <c r="E83" s="277"/>
      <c r="F83" s="277"/>
      <c r="G83" s="277"/>
      <c r="H83" s="277"/>
      <c r="I83" s="293"/>
      <c r="J83" s="28"/>
      <c r="K83" s="276" t="s">
        <v>226</v>
      </c>
      <c r="L83" s="292">
        <f>(L80+L81)/2</f>
        <v>3.4332275390625004</v>
      </c>
      <c r="M83" s="277"/>
      <c r="N83" s="277"/>
      <c r="O83" s="277"/>
      <c r="P83" s="277"/>
      <c r="Q83" s="293"/>
    </row>
    <row r="84" spans="3:17" x14ac:dyDescent="0.3"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</row>
    <row r="85" spans="3:17" x14ac:dyDescent="0.3">
      <c r="C85" s="271" t="s">
        <v>227</v>
      </c>
      <c r="D85" s="281"/>
      <c r="E85" s="281"/>
      <c r="F85" s="281"/>
      <c r="G85" s="272"/>
      <c r="H85" s="272"/>
      <c r="I85" s="273"/>
      <c r="J85" s="28"/>
      <c r="K85" s="271" t="s">
        <v>227</v>
      </c>
      <c r="L85" s="281"/>
      <c r="M85" s="281"/>
      <c r="N85" s="281"/>
      <c r="O85" s="272"/>
      <c r="P85" s="272"/>
      <c r="Q85" s="273"/>
    </row>
    <row r="86" spans="3:17" x14ac:dyDescent="0.3">
      <c r="C86" s="274" t="s">
        <v>228</v>
      </c>
      <c r="D86" s="279"/>
      <c r="E86" s="279"/>
      <c r="F86" s="279"/>
      <c r="G86" s="260" t="s">
        <v>229</v>
      </c>
      <c r="H86" s="260" t="s">
        <v>230</v>
      </c>
      <c r="I86" s="289"/>
      <c r="J86" s="28"/>
      <c r="K86" s="274" t="s">
        <v>228</v>
      </c>
      <c r="L86" s="279"/>
      <c r="M86" s="279"/>
      <c r="N86" s="279"/>
      <c r="O86" s="260" t="s">
        <v>229</v>
      </c>
      <c r="P86" s="260" t="s">
        <v>230</v>
      </c>
      <c r="Q86" s="289"/>
    </row>
    <row r="87" spans="3:17" x14ac:dyDescent="0.3">
      <c r="C87" s="274" t="s">
        <v>231</v>
      </c>
      <c r="D87" s="279"/>
      <c r="E87" s="279"/>
      <c r="F87" s="279"/>
      <c r="G87" s="260"/>
      <c r="H87" s="260"/>
      <c r="I87" s="289"/>
      <c r="J87" s="28"/>
      <c r="K87" s="274" t="s">
        <v>231</v>
      </c>
      <c r="L87" s="279"/>
      <c r="M87" s="279"/>
      <c r="N87" s="279"/>
      <c r="O87" s="260"/>
      <c r="P87" s="260"/>
      <c r="Q87" s="289"/>
    </row>
    <row r="88" spans="3:17" x14ac:dyDescent="0.3">
      <c r="C88" s="294"/>
      <c r="D88" s="260"/>
      <c r="E88" s="260"/>
      <c r="F88" s="260"/>
      <c r="G88" s="260"/>
      <c r="H88" s="260"/>
      <c r="I88" s="289"/>
      <c r="J88" s="28"/>
      <c r="K88" s="294"/>
      <c r="L88" s="260"/>
      <c r="M88" s="260"/>
      <c r="N88" s="260"/>
      <c r="O88" s="260"/>
      <c r="P88" s="260"/>
      <c r="Q88" s="289"/>
    </row>
    <row r="89" spans="3:17" x14ac:dyDescent="0.3">
      <c r="C89" s="274" t="s">
        <v>232</v>
      </c>
      <c r="D89" s="260"/>
      <c r="E89" s="260"/>
      <c r="F89" s="260"/>
      <c r="G89" s="260"/>
      <c r="H89" s="260"/>
      <c r="I89" s="289"/>
      <c r="J89" s="28"/>
      <c r="K89" s="274" t="s">
        <v>232</v>
      </c>
      <c r="L89" s="260"/>
      <c r="M89" s="260"/>
      <c r="N89" s="260"/>
      <c r="O89" s="260"/>
      <c r="P89" s="260"/>
      <c r="Q89" s="289"/>
    </row>
    <row r="90" spans="3:17" x14ac:dyDescent="0.3">
      <c r="C90" s="274" t="s">
        <v>233</v>
      </c>
      <c r="D90" s="260"/>
      <c r="E90" s="295" t="s">
        <v>234</v>
      </c>
      <c r="F90" s="280">
        <f>((20-D83)/20)*((1+D83)^(1/2))</f>
        <v>1.7440861082856389</v>
      </c>
      <c r="G90" s="260"/>
      <c r="H90" s="260"/>
      <c r="I90" s="289"/>
      <c r="J90" s="28"/>
      <c r="K90" s="274" t="s">
        <v>233</v>
      </c>
      <c r="L90" s="260"/>
      <c r="M90" s="295" t="s">
        <v>234</v>
      </c>
      <c r="N90" s="280">
        <f>((20-L83)/20)*((1+L83)^(1/2))</f>
        <v>1.7440861082856389</v>
      </c>
      <c r="O90" s="260"/>
      <c r="P90" s="260"/>
      <c r="Q90" s="289"/>
    </row>
    <row r="91" spans="3:17" x14ac:dyDescent="0.3">
      <c r="C91" s="274" t="s">
        <v>235</v>
      </c>
      <c r="D91" s="260"/>
      <c r="E91" s="295" t="s">
        <v>234</v>
      </c>
      <c r="F91" s="280">
        <f>((0.9)*(1+D83)^(1/2))</f>
        <v>1.8949707930837945</v>
      </c>
      <c r="G91" s="260"/>
      <c r="H91" s="260"/>
      <c r="I91" s="289"/>
      <c r="J91" s="28"/>
      <c r="K91" s="274" t="s">
        <v>235</v>
      </c>
      <c r="L91" s="260"/>
      <c r="M91" s="295" t="s">
        <v>234</v>
      </c>
      <c r="N91" s="280">
        <f>((0.9)*(1+L83)^(1/2))</f>
        <v>1.8949707930837945</v>
      </c>
      <c r="O91" s="260"/>
      <c r="P91" s="260"/>
      <c r="Q91" s="289"/>
    </row>
    <row r="92" spans="3:17" x14ac:dyDescent="0.3">
      <c r="C92" s="288"/>
      <c r="D92" s="260"/>
      <c r="E92" s="260"/>
      <c r="F92" s="260"/>
      <c r="G92" s="260"/>
      <c r="H92" s="260"/>
      <c r="I92" s="289"/>
      <c r="J92" s="28"/>
      <c r="K92" s="288"/>
      <c r="L92" s="260"/>
      <c r="M92" s="260"/>
      <c r="N92" s="260"/>
      <c r="O92" s="260"/>
      <c r="P92" s="260"/>
      <c r="Q92" s="289"/>
    </row>
    <row r="93" spans="3:17" x14ac:dyDescent="0.3">
      <c r="C93" s="296" t="s">
        <v>236</v>
      </c>
      <c r="D93" s="277"/>
      <c r="E93" s="277"/>
      <c r="F93" s="292">
        <f>IF(D83&lt;2,F90,F91)</f>
        <v>1.8949707930837945</v>
      </c>
      <c r="G93" s="277"/>
      <c r="H93" s="277"/>
      <c r="I93" s="293"/>
      <c r="J93" s="28"/>
      <c r="K93" s="296" t="s">
        <v>236</v>
      </c>
      <c r="L93" s="277"/>
      <c r="M93" s="277"/>
      <c r="N93" s="292">
        <f>IF(L83&lt;2,N90,N91)</f>
        <v>1.8949707930837945</v>
      </c>
      <c r="O93" s="277"/>
      <c r="P93" s="277"/>
      <c r="Q93" s="293"/>
    </row>
    <row r="94" spans="3:17" x14ac:dyDescent="0.3"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3:17" x14ac:dyDescent="0.3">
      <c r="C95" s="297" t="s">
        <v>237</v>
      </c>
      <c r="D95" s="272"/>
      <c r="E95" s="272"/>
      <c r="F95" s="272"/>
      <c r="G95" s="272"/>
      <c r="H95" s="272"/>
      <c r="I95" s="273"/>
      <c r="J95" s="28"/>
      <c r="K95" s="297" t="s">
        <v>237</v>
      </c>
      <c r="L95" s="272"/>
      <c r="M95" s="272"/>
      <c r="N95" s="272"/>
      <c r="O95" s="272"/>
      <c r="P95" s="272"/>
      <c r="Q95" s="273"/>
    </row>
    <row r="96" spans="3:17" x14ac:dyDescent="0.3">
      <c r="C96" s="288" t="s">
        <v>238</v>
      </c>
      <c r="D96" s="260"/>
      <c r="E96" s="260">
        <f>0.3*(H48/100)</f>
        <v>0.22499999999999998</v>
      </c>
      <c r="F96" s="260"/>
      <c r="G96" s="260"/>
      <c r="H96" s="260"/>
      <c r="I96" s="289"/>
      <c r="J96" s="28"/>
      <c r="K96" s="288" t="s">
        <v>238</v>
      </c>
      <c r="L96" s="260"/>
      <c r="M96" s="260">
        <f>0.3*(H49/100)</f>
        <v>0.22499999999999998</v>
      </c>
      <c r="N96" s="260"/>
      <c r="O96" s="260"/>
      <c r="P96" s="260"/>
      <c r="Q96" s="289"/>
    </row>
    <row r="97" spans="3:17" x14ac:dyDescent="0.3">
      <c r="C97" s="298" t="s">
        <v>239</v>
      </c>
      <c r="D97" s="299">
        <f>(F93*(H53/100))/E96</f>
        <v>33.688369654823013</v>
      </c>
      <c r="E97" s="279" t="str">
        <f>IF(D97&lt;22,"La columna es corta y no se magnifica","Se tiene que chequear la magnificacion")</f>
        <v>Se tiene que chequear la magnificacion</v>
      </c>
      <c r="F97" s="260"/>
      <c r="G97" s="260"/>
      <c r="H97" s="260"/>
      <c r="I97" s="289"/>
      <c r="J97" s="28"/>
      <c r="K97" s="298" t="s">
        <v>239</v>
      </c>
      <c r="L97" s="299">
        <f>(N93*(H53/100))/M96</f>
        <v>33.688369654823013</v>
      </c>
      <c r="M97" s="279" t="str">
        <f>IF(L97&lt;22,"La columna es corta y no se magnifica","Se tiene que chequear la magnificacion")</f>
        <v>Se tiene que chequear la magnificacion</v>
      </c>
      <c r="N97" s="260"/>
      <c r="O97" s="260"/>
      <c r="P97" s="260"/>
      <c r="Q97" s="289"/>
    </row>
    <row r="98" spans="3:17" x14ac:dyDescent="0.3">
      <c r="C98" s="288"/>
      <c r="D98" s="260"/>
      <c r="E98" s="279" t="str">
        <f>IF( (D97&lt;100),"La columna es esbelta y necesita chequeos de esbeltez para magnificarla","La columna es larga y no es conveniente construirla")</f>
        <v>La columna es esbelta y necesita chequeos de esbeltez para magnificarla</v>
      </c>
      <c r="F98" s="260"/>
      <c r="G98" s="260"/>
      <c r="H98" s="260"/>
      <c r="I98" s="289"/>
      <c r="J98" s="28"/>
      <c r="K98" s="288"/>
      <c r="L98" s="260"/>
      <c r="M98" s="279" t="str">
        <f>IF( (L97&lt;100),"La columna es esbelta y necesita chequeos de esbeltez para magnificarla","La columna es larga y no es conveniente construirla")</f>
        <v>La columna es esbelta y necesita chequeos de esbeltez para magnificarla</v>
      </c>
      <c r="N98" s="260"/>
      <c r="O98" s="260"/>
      <c r="P98" s="260"/>
      <c r="Q98" s="289"/>
    </row>
    <row r="99" spans="3:17" x14ac:dyDescent="0.3">
      <c r="C99" s="300"/>
      <c r="D99" s="277"/>
      <c r="E99" s="283" t="str">
        <f>IF(D97&gt;100,"Pero La columna es larga y no es conveniente construirla","YA se puede comenzar a diseñar")</f>
        <v>YA se puede comenzar a diseñar</v>
      </c>
      <c r="F99" s="277"/>
      <c r="G99" s="277"/>
      <c r="H99" s="277"/>
      <c r="I99" s="293"/>
      <c r="J99" s="28"/>
      <c r="K99" s="300"/>
      <c r="L99" s="277"/>
      <c r="M99" s="283" t="str">
        <f>IF(L97&gt;100,"Pero La columna es larga y no es conveniente construirla","YA se puede comenzar a diseñar")</f>
        <v>YA se puede comenzar a diseñar</v>
      </c>
      <c r="N99" s="277"/>
      <c r="O99" s="277"/>
      <c r="P99" s="277"/>
      <c r="Q99" s="293"/>
    </row>
    <row r="100" spans="3:17" x14ac:dyDescent="0.3"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</row>
    <row r="101" spans="3:17" x14ac:dyDescent="0.3">
      <c r="C101" s="290" t="s">
        <v>240</v>
      </c>
      <c r="D101" s="272"/>
      <c r="E101" s="272"/>
      <c r="F101" s="272" t="s">
        <v>241</v>
      </c>
      <c r="G101" s="272"/>
      <c r="H101" s="272"/>
      <c r="I101" s="273"/>
      <c r="J101" s="28"/>
      <c r="K101" s="290" t="s">
        <v>240</v>
      </c>
      <c r="L101" s="272"/>
      <c r="M101" s="272"/>
      <c r="N101" s="272" t="s">
        <v>241</v>
      </c>
      <c r="O101" s="272"/>
      <c r="P101" s="272"/>
      <c r="Q101" s="273"/>
    </row>
    <row r="102" spans="3:17" x14ac:dyDescent="0.3">
      <c r="C102" s="301" t="s">
        <v>242</v>
      </c>
      <c r="D102" s="280">
        <f>(1.2*D54)/(1.2*D54+1.6*D55)</f>
        <v>0.58832717480296515</v>
      </c>
      <c r="E102" s="260"/>
      <c r="F102" s="260"/>
      <c r="G102" s="260"/>
      <c r="H102" s="260"/>
      <c r="I102" s="289"/>
      <c r="J102" s="28"/>
      <c r="K102" s="301" t="s">
        <v>242</v>
      </c>
      <c r="L102" s="280">
        <f>(1.2*D54)/(1.2*D54+1.6*D55)</f>
        <v>0.58832717480296515</v>
      </c>
      <c r="M102" s="260"/>
      <c r="N102" s="260"/>
      <c r="O102" s="260"/>
      <c r="P102" s="260"/>
      <c r="Q102" s="289"/>
    </row>
    <row r="103" spans="3:17" x14ac:dyDescent="0.3">
      <c r="C103" s="288"/>
      <c r="D103" s="260"/>
      <c r="E103" s="260"/>
      <c r="F103" s="260"/>
      <c r="G103" s="260"/>
      <c r="H103" s="260"/>
      <c r="I103" s="289"/>
      <c r="J103" s="28"/>
      <c r="K103" s="288"/>
      <c r="L103" s="260"/>
      <c r="M103" s="260"/>
      <c r="N103" s="260"/>
      <c r="O103" s="260"/>
      <c r="P103" s="260"/>
      <c r="Q103" s="289"/>
    </row>
    <row r="104" spans="3:17" x14ac:dyDescent="0.3">
      <c r="C104" s="274" t="s">
        <v>243</v>
      </c>
      <c r="D104" s="260">
        <f>(15100*((D47)^(1/2))*(1/12)*(H49)*(H48^3))/(2.5*(1+D102))</f>
        <v>145301610230.13364</v>
      </c>
      <c r="E104" s="260" t="s">
        <v>244</v>
      </c>
      <c r="F104" s="260"/>
      <c r="G104" s="260"/>
      <c r="H104" s="260"/>
      <c r="I104" s="289"/>
      <c r="J104" s="28"/>
      <c r="K104" s="274" t="s">
        <v>243</v>
      </c>
      <c r="L104" s="260">
        <f>(15100*((D47)^(1/2))*(1/12)*(H48)*(H49^3))/(2.5*(1+L102))</f>
        <v>145301610230.13364</v>
      </c>
      <c r="M104" s="260" t="s">
        <v>244</v>
      </c>
      <c r="N104" s="260"/>
      <c r="O104" s="260"/>
      <c r="P104" s="260"/>
      <c r="Q104" s="289"/>
    </row>
    <row r="105" spans="3:17" x14ac:dyDescent="0.3">
      <c r="C105" s="300"/>
      <c r="D105" s="277">
        <f>D104/(10000000)</f>
        <v>14530.161023013363</v>
      </c>
      <c r="E105" s="277" t="s">
        <v>245</v>
      </c>
      <c r="F105" s="277"/>
      <c r="G105" s="277"/>
      <c r="H105" s="277"/>
      <c r="I105" s="293"/>
      <c r="J105" s="28"/>
      <c r="K105" s="300"/>
      <c r="L105" s="277">
        <f>L104/(10000000)</f>
        <v>14530.161023013363</v>
      </c>
      <c r="M105" s="277" t="s">
        <v>245</v>
      </c>
      <c r="N105" s="277"/>
      <c r="O105" s="277"/>
      <c r="P105" s="277"/>
      <c r="Q105" s="293"/>
    </row>
    <row r="106" spans="3:17" x14ac:dyDescent="0.3"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</row>
    <row r="107" spans="3:17" x14ac:dyDescent="0.3">
      <c r="C107" s="271" t="s">
        <v>246</v>
      </c>
      <c r="D107" s="272"/>
      <c r="E107" s="272"/>
      <c r="F107" s="272"/>
      <c r="G107" s="272"/>
      <c r="H107" s="272"/>
      <c r="I107" s="273"/>
      <c r="J107" s="28"/>
      <c r="K107" s="271" t="s">
        <v>246</v>
      </c>
      <c r="L107" s="272"/>
      <c r="M107" s="272"/>
      <c r="N107" s="272"/>
      <c r="O107" s="272"/>
      <c r="P107" s="272"/>
      <c r="Q107" s="273"/>
    </row>
    <row r="108" spans="3:17" x14ac:dyDescent="0.3">
      <c r="C108" s="301" t="s">
        <v>247</v>
      </c>
      <c r="D108" s="260">
        <f>((3.1416^2)*D105)/((F93*(H53/100))^2)</f>
        <v>2496.014935744784</v>
      </c>
      <c r="E108" s="279" t="s">
        <v>248</v>
      </c>
      <c r="F108" s="279" t="s">
        <v>249</v>
      </c>
      <c r="G108" s="260"/>
      <c r="H108" s="260"/>
      <c r="I108" s="289"/>
      <c r="J108" s="28"/>
      <c r="K108" s="301" t="s">
        <v>247</v>
      </c>
      <c r="L108" s="260">
        <f>((3.1416^2)*L105)/((N93*(H53/100))^2)</f>
        <v>2496.014935744784</v>
      </c>
      <c r="M108" s="279" t="s">
        <v>248</v>
      </c>
      <c r="N108" s="279" t="s">
        <v>249</v>
      </c>
      <c r="O108" s="260"/>
      <c r="P108" s="260"/>
      <c r="Q108" s="289"/>
    </row>
    <row r="109" spans="3:17" x14ac:dyDescent="0.3">
      <c r="C109" s="300"/>
      <c r="D109" s="277"/>
      <c r="E109" s="277"/>
      <c r="F109" s="283" t="s">
        <v>250</v>
      </c>
      <c r="G109" s="277"/>
      <c r="H109" s="277"/>
      <c r="I109" s="293"/>
      <c r="J109" s="28"/>
      <c r="K109" s="300"/>
      <c r="L109" s="277"/>
      <c r="M109" s="277"/>
      <c r="N109" s="283" t="s">
        <v>250</v>
      </c>
      <c r="O109" s="277"/>
      <c r="P109" s="277"/>
      <c r="Q109" s="293"/>
    </row>
    <row r="110" spans="3:17" x14ac:dyDescent="0.3"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</row>
    <row r="111" spans="3:17" x14ac:dyDescent="0.3">
      <c r="C111" s="271" t="s">
        <v>251</v>
      </c>
      <c r="D111" s="272"/>
      <c r="E111" s="272"/>
      <c r="F111" s="272" t="s">
        <v>252</v>
      </c>
      <c r="G111" s="272"/>
      <c r="H111" s="272"/>
      <c r="I111" s="302">
        <v>0.7</v>
      </c>
      <c r="J111" s="28"/>
      <c r="K111" s="271" t="s">
        <v>253</v>
      </c>
      <c r="L111" s="272"/>
      <c r="M111" s="272"/>
      <c r="N111" s="272" t="s">
        <v>252</v>
      </c>
      <c r="O111" s="272"/>
      <c r="P111" s="272"/>
      <c r="Q111" s="302">
        <v>0.7</v>
      </c>
    </row>
    <row r="112" spans="3:17" x14ac:dyDescent="0.3">
      <c r="C112" s="303" t="s">
        <v>254</v>
      </c>
      <c r="D112" s="304">
        <f>(1)/(1-((D56/1000)/(I111*D108)))</f>
        <v>1.0288721108441661</v>
      </c>
      <c r="E112" s="260"/>
      <c r="F112" s="260" t="s">
        <v>255</v>
      </c>
      <c r="G112" s="260"/>
      <c r="H112" s="260"/>
      <c r="I112" s="289"/>
      <c r="J112" s="28"/>
      <c r="K112" s="303" t="s">
        <v>256</v>
      </c>
      <c r="L112" s="304">
        <f>(1)/(1-((D56/1000)/(Q111*L108)))</f>
        <v>1.0288721108441661</v>
      </c>
      <c r="M112" s="260"/>
      <c r="N112" s="260" t="s">
        <v>255</v>
      </c>
      <c r="O112" s="260"/>
      <c r="P112" s="260"/>
      <c r="Q112" s="289"/>
    </row>
    <row r="113" spans="3:17" x14ac:dyDescent="0.3">
      <c r="C113" s="300"/>
      <c r="D113" s="277"/>
      <c r="E113" s="277"/>
      <c r="F113" s="277" t="s">
        <v>257</v>
      </c>
      <c r="G113" s="277"/>
      <c r="H113" s="277"/>
      <c r="I113" s="293"/>
      <c r="J113" s="28"/>
      <c r="K113" s="300"/>
      <c r="L113" s="277"/>
      <c r="M113" s="277"/>
      <c r="N113" s="277" t="s">
        <v>257</v>
      </c>
      <c r="O113" s="277"/>
      <c r="P113" s="277"/>
      <c r="Q113" s="293"/>
    </row>
    <row r="114" spans="3:17" x14ac:dyDescent="0.3"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</row>
    <row r="115" spans="3:17" x14ac:dyDescent="0.3">
      <c r="C115" s="271" t="s">
        <v>258</v>
      </c>
      <c r="D115" s="272"/>
      <c r="E115" s="272"/>
      <c r="F115" s="272"/>
      <c r="G115" s="272"/>
      <c r="H115" s="272"/>
      <c r="I115" s="273"/>
      <c r="J115" s="28"/>
      <c r="K115" s="271" t="s">
        <v>258</v>
      </c>
      <c r="L115" s="272"/>
      <c r="M115" s="272"/>
      <c r="N115" s="272"/>
      <c r="O115" s="272"/>
      <c r="P115" s="272"/>
      <c r="Q115" s="273"/>
    </row>
    <row r="116" spans="3:17" x14ac:dyDescent="0.3">
      <c r="C116" s="305" t="s">
        <v>259</v>
      </c>
      <c r="D116" s="277">
        <f>D112*D52</f>
        <v>2358.602134710537</v>
      </c>
      <c r="E116" s="283" t="s">
        <v>260</v>
      </c>
      <c r="F116" s="277"/>
      <c r="G116" s="277"/>
      <c r="H116" s="277"/>
      <c r="I116" s="293"/>
      <c r="J116" s="28"/>
      <c r="K116" s="305" t="s">
        <v>261</v>
      </c>
      <c r="L116" s="277">
        <f>L112*D53</f>
        <v>3828.6206540781614</v>
      </c>
      <c r="M116" s="283" t="s">
        <v>260</v>
      </c>
      <c r="N116" s="277"/>
      <c r="O116" s="277"/>
      <c r="P116" s="277"/>
      <c r="Q116" s="293"/>
    </row>
    <row r="117" spans="3:17" ht="15" thickBot="1" x14ac:dyDescent="0.35"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</row>
    <row r="118" spans="3:17" x14ac:dyDescent="0.3">
      <c r="C118" s="306" t="s">
        <v>262</v>
      </c>
      <c r="D118" s="307"/>
      <c r="E118" s="308"/>
      <c r="F118" s="28"/>
      <c r="G118" s="28"/>
      <c r="H118" s="28"/>
      <c r="I118" s="28"/>
      <c r="J118" s="28"/>
      <c r="K118" s="309" t="s">
        <v>263</v>
      </c>
      <c r="L118" s="310" t="s">
        <v>264</v>
      </c>
      <c r="M118" s="310" t="s">
        <v>265</v>
      </c>
      <c r="N118" s="310" t="s">
        <v>266</v>
      </c>
      <c r="O118" s="310" t="s">
        <v>267</v>
      </c>
      <c r="P118" s="311" t="s">
        <v>267</v>
      </c>
      <c r="Q118" s="28"/>
    </row>
    <row r="119" spans="3:17" x14ac:dyDescent="0.3">
      <c r="C119" s="312" t="s">
        <v>200</v>
      </c>
      <c r="D119" s="313">
        <f>D56</f>
        <v>49030.052806147818</v>
      </c>
      <c r="E119" s="314" t="s">
        <v>268</v>
      </c>
      <c r="F119" s="28"/>
      <c r="G119" s="28"/>
      <c r="H119" s="28"/>
      <c r="I119" s="28"/>
      <c r="J119" s="28"/>
      <c r="K119" s="315" t="s">
        <v>269</v>
      </c>
      <c r="L119" s="316">
        <v>2</v>
      </c>
      <c r="M119" s="316">
        <v>0.31</v>
      </c>
      <c r="N119" s="316" t="s">
        <v>270</v>
      </c>
      <c r="O119" s="316">
        <v>30</v>
      </c>
      <c r="P119" s="317"/>
      <c r="Q119" s="28"/>
    </row>
    <row r="120" spans="3:17" x14ac:dyDescent="0.3">
      <c r="C120" s="312" t="s">
        <v>259</v>
      </c>
      <c r="D120" s="318">
        <f>D116</f>
        <v>2358.602134710537</v>
      </c>
      <c r="E120" s="314" t="s">
        <v>260</v>
      </c>
      <c r="F120" s="28"/>
      <c r="G120" s="28"/>
      <c r="H120" s="28"/>
      <c r="I120" s="28"/>
      <c r="J120" s="28"/>
      <c r="K120" s="315" t="s">
        <v>271</v>
      </c>
      <c r="L120" s="316">
        <v>3</v>
      </c>
      <c r="M120" s="316">
        <v>0.71</v>
      </c>
      <c r="N120" s="316" t="s">
        <v>272</v>
      </c>
      <c r="O120" s="316">
        <v>13</v>
      </c>
      <c r="P120" s="317"/>
      <c r="Q120" s="28"/>
    </row>
    <row r="121" spans="3:17" ht="15" thickBot="1" x14ac:dyDescent="0.35">
      <c r="C121" s="319" t="s">
        <v>261</v>
      </c>
      <c r="D121" s="320">
        <f>L116</f>
        <v>3828.6206540781614</v>
      </c>
      <c r="E121" s="321" t="s">
        <v>260</v>
      </c>
      <c r="F121" s="28"/>
      <c r="G121" s="28"/>
      <c r="H121" s="28"/>
      <c r="I121" s="28"/>
      <c r="J121" s="28"/>
      <c r="K121" s="315" t="s">
        <v>273</v>
      </c>
      <c r="L121" s="316">
        <v>4</v>
      </c>
      <c r="M121" s="316">
        <v>1.29</v>
      </c>
      <c r="N121" s="316" t="s">
        <v>272</v>
      </c>
      <c r="O121" s="316">
        <v>7.5</v>
      </c>
      <c r="P121" s="322">
        <v>7.5</v>
      </c>
      <c r="Q121" s="28"/>
    </row>
    <row r="122" spans="3:17" x14ac:dyDescent="0.3">
      <c r="C122" s="28"/>
      <c r="D122" s="28"/>
      <c r="E122" s="28"/>
      <c r="F122" s="28"/>
      <c r="G122" s="28"/>
      <c r="H122" s="28"/>
      <c r="I122" s="28"/>
      <c r="J122" s="28"/>
      <c r="K122" s="315" t="s">
        <v>274</v>
      </c>
      <c r="L122" s="316">
        <v>5</v>
      </c>
      <c r="M122" s="316">
        <v>2</v>
      </c>
      <c r="N122" s="316" t="s">
        <v>272</v>
      </c>
      <c r="O122" s="316">
        <v>4.6500000000000004</v>
      </c>
      <c r="P122" s="322">
        <v>4.75</v>
      </c>
      <c r="Q122" s="28"/>
    </row>
    <row r="123" spans="3:17" ht="15" thickBot="1" x14ac:dyDescent="0.35">
      <c r="C123" s="28"/>
      <c r="D123" s="28"/>
      <c r="E123" s="28"/>
      <c r="F123" s="28"/>
      <c r="G123" s="28"/>
      <c r="H123" s="28"/>
      <c r="I123" s="28"/>
      <c r="J123" s="28"/>
      <c r="K123" s="315" t="s">
        <v>275</v>
      </c>
      <c r="L123" s="316">
        <v>6</v>
      </c>
      <c r="M123" s="316">
        <v>2.84</v>
      </c>
      <c r="N123" s="316" t="s">
        <v>272</v>
      </c>
      <c r="O123" s="316">
        <v>3.27</v>
      </c>
      <c r="P123" s="322">
        <v>3.25</v>
      </c>
      <c r="Q123" s="28"/>
    </row>
    <row r="124" spans="3:17" x14ac:dyDescent="0.3">
      <c r="C124" s="323" t="s">
        <v>276</v>
      </c>
      <c r="D124" s="324"/>
      <c r="E124" s="324"/>
      <c r="F124" s="325"/>
      <c r="G124" s="28"/>
      <c r="H124" s="28"/>
      <c r="I124" s="28"/>
      <c r="J124" s="28"/>
      <c r="K124" s="315" t="s">
        <v>277</v>
      </c>
      <c r="L124" s="316">
        <v>7</v>
      </c>
      <c r="M124" s="316">
        <v>3.87</v>
      </c>
      <c r="N124" s="316" t="s">
        <v>272</v>
      </c>
      <c r="O124" s="316">
        <v>2.4</v>
      </c>
      <c r="P124" s="322">
        <v>2.5</v>
      </c>
      <c r="Q124" s="28"/>
    </row>
    <row r="125" spans="3:17" x14ac:dyDescent="0.3">
      <c r="C125" s="326" t="s">
        <v>278</v>
      </c>
      <c r="D125" s="260">
        <f>0.01*H48*H49</f>
        <v>56.25</v>
      </c>
      <c r="E125" s="260" t="s">
        <v>279</v>
      </c>
      <c r="F125" s="327"/>
      <c r="G125" s="28"/>
      <c r="H125" s="28"/>
      <c r="I125" s="28"/>
      <c r="J125" s="28"/>
      <c r="K125" s="328">
        <v>1</v>
      </c>
      <c r="L125" s="316">
        <v>8</v>
      </c>
      <c r="M125" s="316">
        <v>5.0999999999999996</v>
      </c>
      <c r="N125" s="316" t="s">
        <v>272</v>
      </c>
      <c r="O125" s="316">
        <v>1.82</v>
      </c>
      <c r="P125" s="322">
        <v>2</v>
      </c>
      <c r="Q125" s="28"/>
    </row>
    <row r="126" spans="3:17" ht="15" thickBot="1" x14ac:dyDescent="0.35">
      <c r="C126" s="329" t="s">
        <v>280</v>
      </c>
      <c r="D126" s="330">
        <f>0.06*H48*H49</f>
        <v>337.5</v>
      </c>
      <c r="E126" s="330" t="s">
        <v>279</v>
      </c>
      <c r="F126" s="331"/>
      <c r="G126" s="28"/>
      <c r="H126" s="28"/>
      <c r="I126" s="28"/>
      <c r="J126" s="28"/>
      <c r="K126" s="315" t="s">
        <v>281</v>
      </c>
      <c r="L126" s="316">
        <v>9</v>
      </c>
      <c r="M126" s="316">
        <v>6.45</v>
      </c>
      <c r="N126" s="316" t="s">
        <v>272</v>
      </c>
      <c r="O126" s="316">
        <v>1.44</v>
      </c>
      <c r="P126" s="322">
        <v>1.5</v>
      </c>
      <c r="Q126" s="28"/>
    </row>
    <row r="127" spans="3:17" x14ac:dyDescent="0.3">
      <c r="C127" s="28"/>
      <c r="D127" s="28"/>
      <c r="E127" s="28"/>
      <c r="F127" s="28"/>
      <c r="G127" s="28"/>
      <c r="H127" s="28"/>
      <c r="I127" s="28"/>
      <c r="J127" s="28"/>
      <c r="K127" s="315" t="s">
        <v>282</v>
      </c>
      <c r="L127" s="316">
        <v>10</v>
      </c>
      <c r="M127" s="316">
        <v>7.92</v>
      </c>
      <c r="N127" s="316" t="s">
        <v>272</v>
      </c>
      <c r="O127" s="313"/>
      <c r="P127" s="332"/>
      <c r="Q127" s="28"/>
    </row>
    <row r="128" spans="3:17" ht="15" thickBot="1" x14ac:dyDescent="0.35">
      <c r="C128" s="28"/>
      <c r="D128" s="28"/>
      <c r="E128" s="28"/>
      <c r="F128" s="28"/>
      <c r="G128" s="28"/>
      <c r="H128" s="28"/>
      <c r="I128" s="28"/>
      <c r="J128" s="28"/>
      <c r="K128" s="315" t="s">
        <v>283</v>
      </c>
      <c r="L128" s="316">
        <v>11</v>
      </c>
      <c r="M128" s="316">
        <v>9.58</v>
      </c>
      <c r="N128" s="316" t="s">
        <v>272</v>
      </c>
      <c r="O128" s="313"/>
      <c r="P128" s="332"/>
      <c r="Q128" s="28"/>
    </row>
    <row r="129" spans="3:17" ht="15" thickBot="1" x14ac:dyDescent="0.35">
      <c r="C129" s="333" t="s">
        <v>284</v>
      </c>
      <c r="D129" s="324"/>
      <c r="E129" s="324"/>
      <c r="F129" s="324"/>
      <c r="G129" s="324"/>
      <c r="H129" s="325"/>
      <c r="I129" s="28"/>
      <c r="J129" s="28"/>
      <c r="K129" s="334" t="s">
        <v>285</v>
      </c>
      <c r="L129" s="335">
        <v>12</v>
      </c>
      <c r="M129" s="335">
        <v>11.4</v>
      </c>
      <c r="N129" s="335" t="s">
        <v>272</v>
      </c>
      <c r="O129" s="336"/>
      <c r="P129" s="337"/>
      <c r="Q129" s="28"/>
    </row>
    <row r="130" spans="3:17" x14ac:dyDescent="0.3">
      <c r="C130" s="338" t="s">
        <v>286</v>
      </c>
      <c r="D130" s="260"/>
      <c r="E130" s="260"/>
      <c r="F130" s="279" t="s">
        <v>287</v>
      </c>
      <c r="G130" s="260"/>
      <c r="H130" s="339" t="s">
        <v>265</v>
      </c>
      <c r="I130" s="28"/>
      <c r="J130" s="28"/>
      <c r="K130" s="340"/>
      <c r="L130" s="28"/>
      <c r="M130" s="28"/>
      <c r="N130" s="28"/>
      <c r="O130" s="28"/>
      <c r="P130" s="28"/>
      <c r="Q130" s="28"/>
    </row>
    <row r="131" spans="3:17" x14ac:dyDescent="0.3">
      <c r="C131" s="341">
        <v>4</v>
      </c>
      <c r="D131" s="277"/>
      <c r="E131" s="277"/>
      <c r="F131" s="342">
        <v>8</v>
      </c>
      <c r="G131" s="277"/>
      <c r="H131" s="343">
        <f>LOOKUP(F131,L119:M129)</f>
        <v>5.0999999999999996</v>
      </c>
      <c r="I131" s="28"/>
      <c r="J131" s="28"/>
      <c r="K131" s="28"/>
      <c r="L131" s="28"/>
      <c r="M131" s="28"/>
      <c r="N131" s="28"/>
      <c r="O131" s="28"/>
      <c r="P131" s="28"/>
      <c r="Q131" s="28"/>
    </row>
    <row r="132" spans="3:17" x14ac:dyDescent="0.3">
      <c r="C132" s="344">
        <v>6</v>
      </c>
      <c r="D132" s="260"/>
      <c r="E132" s="260"/>
      <c r="F132" s="200">
        <v>9</v>
      </c>
      <c r="G132" s="260"/>
      <c r="H132" s="343">
        <f>LOOKUP(F132,L119:M129)</f>
        <v>6.45</v>
      </c>
      <c r="I132" s="28"/>
      <c r="J132" s="28"/>
      <c r="K132" s="28"/>
      <c r="L132" s="28"/>
      <c r="M132" s="28"/>
      <c r="N132" s="28"/>
      <c r="O132" s="28"/>
      <c r="P132" s="28"/>
      <c r="Q132" s="28"/>
    </row>
    <row r="133" spans="3:17" ht="15" thickBot="1" x14ac:dyDescent="0.35">
      <c r="C133" s="345" t="s">
        <v>288</v>
      </c>
      <c r="D133" s="346"/>
      <c r="E133" s="347">
        <f>(C131*H131)+(C132*H132)</f>
        <v>59.1</v>
      </c>
      <c r="F133" s="346"/>
      <c r="G133" s="346"/>
      <c r="H133" s="348"/>
      <c r="I133" s="28"/>
      <c r="J133" s="28"/>
      <c r="K133" s="28"/>
      <c r="L133">
        <f>5*2.54/8</f>
        <v>1.5874999999999999</v>
      </c>
      <c r="N133" s="200"/>
      <c r="O133" s="101"/>
      <c r="P133" s="200"/>
      <c r="Q133" s="28"/>
    </row>
    <row r="134" spans="3:17" x14ac:dyDescent="0.3">
      <c r="C134" s="28"/>
      <c r="D134" s="28"/>
      <c r="E134" s="28"/>
      <c r="F134" s="28"/>
      <c r="G134" s="28"/>
      <c r="H134" s="28"/>
      <c r="I134" s="28"/>
      <c r="J134" s="28"/>
      <c r="K134" s="28"/>
      <c r="L134">
        <f>+L133/2</f>
        <v>0.79374999999999996</v>
      </c>
      <c r="N134" s="200">
        <f>4*M124</f>
        <v>15.48</v>
      </c>
      <c r="O134" s="101"/>
      <c r="P134" s="200"/>
      <c r="Q134" s="28"/>
    </row>
    <row r="135" spans="3:17" ht="15" thickBot="1" x14ac:dyDescent="0.35">
      <c r="C135" s="28"/>
      <c r="D135" s="28"/>
      <c r="E135" s="28"/>
      <c r="F135" s="28"/>
      <c r="G135" s="28"/>
      <c r="H135" s="28"/>
      <c r="I135" s="28"/>
      <c r="J135" s="28"/>
      <c r="K135" s="28"/>
      <c r="N135" s="200"/>
      <c r="O135" s="101"/>
      <c r="P135" s="200"/>
      <c r="Q135" s="28"/>
    </row>
    <row r="136" spans="3:17" x14ac:dyDescent="0.3">
      <c r="C136" s="349" t="s">
        <v>289</v>
      </c>
      <c r="D136" s="350">
        <v>0.7</v>
      </c>
      <c r="E136" s="324" t="s">
        <v>290</v>
      </c>
      <c r="F136" s="324"/>
      <c r="G136" s="324"/>
      <c r="H136" s="324"/>
      <c r="I136" s="325"/>
      <c r="J136" s="28"/>
      <c r="K136" s="28"/>
      <c r="N136" s="200"/>
      <c r="O136" s="101"/>
      <c r="P136" s="351"/>
      <c r="Q136" s="28"/>
    </row>
    <row r="137" spans="3:17" x14ac:dyDescent="0.3">
      <c r="C137" s="352" t="s">
        <v>291</v>
      </c>
      <c r="D137" s="200">
        <f>H48*H49</f>
        <v>5625</v>
      </c>
      <c r="E137" s="260" t="s">
        <v>188</v>
      </c>
      <c r="F137" s="260"/>
      <c r="G137" s="260"/>
      <c r="H137" s="260"/>
      <c r="I137" s="327"/>
      <c r="J137" s="28"/>
      <c r="K137" s="28"/>
      <c r="N137" s="200"/>
      <c r="O137" s="101"/>
      <c r="P137" s="351"/>
      <c r="Q137" s="28"/>
    </row>
    <row r="138" spans="3:17" x14ac:dyDescent="0.3">
      <c r="C138" s="352" t="s">
        <v>292</v>
      </c>
      <c r="D138" s="175">
        <f>E133</f>
        <v>59.1</v>
      </c>
      <c r="E138" s="260"/>
      <c r="F138" s="260"/>
      <c r="G138" s="260"/>
      <c r="H138" s="260"/>
      <c r="I138" s="327"/>
      <c r="J138" s="28"/>
      <c r="K138" s="28"/>
      <c r="N138" s="200"/>
      <c r="O138" s="101"/>
      <c r="P138" s="351"/>
      <c r="Q138" s="28"/>
    </row>
    <row r="139" spans="3:17" ht="15" thickBot="1" x14ac:dyDescent="0.35">
      <c r="C139" s="329"/>
      <c r="D139" s="330"/>
      <c r="E139" s="330"/>
      <c r="F139" s="330"/>
      <c r="G139" s="330"/>
      <c r="H139" s="330"/>
      <c r="I139" s="331"/>
      <c r="J139" s="28"/>
      <c r="K139" s="28"/>
      <c r="N139" s="200"/>
      <c r="O139" s="101"/>
      <c r="P139" s="351"/>
      <c r="Q139" s="28"/>
    </row>
    <row r="140" spans="3:17" ht="15" thickBot="1" x14ac:dyDescent="0.35">
      <c r="C140" s="353" t="s">
        <v>293</v>
      </c>
      <c r="D140" s="354">
        <f>D136*(0.85*D47*(D137-D138)+D138*D48)</f>
        <v>811708.90499999991</v>
      </c>
      <c r="E140" s="354"/>
      <c r="F140" s="354"/>
      <c r="G140" s="354"/>
      <c r="H140" s="354"/>
      <c r="I140" s="355"/>
      <c r="J140" s="28"/>
      <c r="K140" s="28"/>
      <c r="N140" s="200"/>
      <c r="O140" s="101"/>
      <c r="P140" s="351"/>
      <c r="Q140" s="28"/>
    </row>
    <row r="141" spans="3:17" ht="15" thickBot="1" x14ac:dyDescent="0.35">
      <c r="C141" s="28"/>
      <c r="D141" s="28"/>
      <c r="E141" s="28"/>
      <c r="F141" s="28"/>
      <c r="G141" s="28"/>
      <c r="H141" s="28"/>
      <c r="I141" s="28"/>
      <c r="J141" s="28"/>
      <c r="K141" s="28"/>
      <c r="N141" s="200"/>
      <c r="O141" s="101"/>
      <c r="P141" s="351"/>
      <c r="Q141" s="28"/>
    </row>
    <row r="142" spans="3:17" x14ac:dyDescent="0.3">
      <c r="C142" s="323" t="s">
        <v>294</v>
      </c>
      <c r="D142" s="324"/>
      <c r="E142" s="325"/>
      <c r="F142" s="28"/>
      <c r="G142" s="28"/>
      <c r="H142" s="28"/>
      <c r="I142" s="28"/>
      <c r="J142" s="28"/>
      <c r="K142" s="28"/>
      <c r="N142" s="200"/>
      <c r="O142" s="101"/>
      <c r="P142" s="260"/>
      <c r="Q142" s="28"/>
    </row>
    <row r="143" spans="3:17" x14ac:dyDescent="0.3">
      <c r="C143" s="326"/>
      <c r="D143" s="260"/>
      <c r="E143" s="327"/>
      <c r="F143" s="28"/>
      <c r="G143" s="28"/>
      <c r="H143" s="28"/>
      <c r="I143" s="28"/>
      <c r="J143" s="28"/>
      <c r="K143" s="28"/>
      <c r="N143" s="200"/>
      <c r="O143" s="101"/>
      <c r="P143" s="260"/>
      <c r="Q143" s="28"/>
    </row>
    <row r="144" spans="3:17" x14ac:dyDescent="0.3">
      <c r="C144" s="356" t="s">
        <v>295</v>
      </c>
      <c r="D144" s="357">
        <f>D116/D56</f>
        <v>4.8105233417468293E-2</v>
      </c>
      <c r="E144" s="327"/>
      <c r="F144" s="28"/>
      <c r="G144" s="28"/>
      <c r="H144" s="28"/>
      <c r="I144" s="28"/>
      <c r="J144" s="28"/>
      <c r="K144" s="28"/>
      <c r="N144" s="200"/>
      <c r="O144" s="260"/>
      <c r="P144" s="260"/>
      <c r="Q144" s="28"/>
    </row>
    <row r="145" spans="3:17" ht="15" thickBot="1" x14ac:dyDescent="0.35">
      <c r="C145" s="358" t="s">
        <v>296</v>
      </c>
      <c r="D145" s="359">
        <f>L116/D56</f>
        <v>7.8087222732872427E-2</v>
      </c>
      <c r="E145" s="331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</row>
    <row r="146" spans="3:17" ht="15" thickBot="1" x14ac:dyDescent="0.35"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</row>
    <row r="147" spans="3:17" x14ac:dyDescent="0.3">
      <c r="C147" s="333" t="s">
        <v>297</v>
      </c>
      <c r="D147" s="324"/>
      <c r="E147" s="325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</row>
    <row r="148" spans="3:17" x14ac:dyDescent="0.3">
      <c r="C148" s="356" t="s">
        <v>298</v>
      </c>
      <c r="D148" s="357">
        <f>D144/(H48/100)</f>
        <v>6.4140311223291058E-2</v>
      </c>
      <c r="E148" s="327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</row>
    <row r="149" spans="3:17" ht="15" thickBot="1" x14ac:dyDescent="0.35">
      <c r="C149" s="358" t="s">
        <v>299</v>
      </c>
      <c r="D149" s="359">
        <f>D145/(H49/100)</f>
        <v>0.10411629697716324</v>
      </c>
      <c r="E149" s="331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</row>
    <row r="150" spans="3:17" x14ac:dyDescent="0.3">
      <c r="C150" s="360"/>
      <c r="D150" s="357"/>
      <c r="E150" s="260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</row>
    <row r="151" spans="3:17" x14ac:dyDescent="0.3">
      <c r="C151" s="360"/>
      <c r="D151" s="357"/>
      <c r="E151" s="260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</row>
    <row r="152" spans="3:17" x14ac:dyDescent="0.3">
      <c r="C152" s="360"/>
      <c r="D152" s="357"/>
      <c r="E152" s="260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</row>
    <row r="153" spans="3:17" x14ac:dyDescent="0.3">
      <c r="C153" s="360"/>
      <c r="D153" s="357"/>
      <c r="E153" s="260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</row>
    <row r="154" spans="3:17" ht="15" thickBot="1" x14ac:dyDescent="0.35">
      <c r="C154" s="260"/>
      <c r="D154" s="260"/>
      <c r="E154" s="260"/>
      <c r="F154" s="260"/>
      <c r="G154" s="260"/>
      <c r="H154" s="260"/>
      <c r="I154" s="260"/>
      <c r="J154" s="260"/>
      <c r="K154" s="28"/>
      <c r="L154" s="28"/>
      <c r="M154" s="28"/>
      <c r="N154" s="28"/>
      <c r="O154" s="28"/>
      <c r="P154" s="28"/>
      <c r="Q154" s="28"/>
    </row>
    <row r="155" spans="3:17" x14ac:dyDescent="0.3">
      <c r="C155" s="361"/>
      <c r="D155" s="324"/>
      <c r="E155" s="324"/>
      <c r="F155" s="333" t="s">
        <v>300</v>
      </c>
      <c r="G155" s="324"/>
      <c r="H155" s="324"/>
      <c r="I155" s="325"/>
      <c r="J155" s="324"/>
      <c r="K155" s="324"/>
      <c r="L155" s="325"/>
      <c r="M155" s="28"/>
      <c r="N155" s="28"/>
      <c r="O155" s="28"/>
      <c r="P155" s="28"/>
      <c r="Q155" s="28"/>
    </row>
    <row r="156" spans="3:17" x14ac:dyDescent="0.3">
      <c r="C156" s="338" t="s">
        <v>301</v>
      </c>
      <c r="D156" s="295"/>
      <c r="E156" s="362">
        <v>0.05</v>
      </c>
      <c r="F156" s="363" t="s">
        <v>302</v>
      </c>
      <c r="G156" s="279" t="s">
        <v>303</v>
      </c>
      <c r="H156" s="280">
        <f>((H48/100)-(2*E156))/(H48/100)</f>
        <v>0.8666666666666667</v>
      </c>
      <c r="I156" s="327" t="s">
        <v>304</v>
      </c>
      <c r="J156" s="360" t="s">
        <v>305</v>
      </c>
      <c r="K156" s="364" t="s">
        <v>306</v>
      </c>
      <c r="L156" s="327"/>
      <c r="M156" s="28"/>
      <c r="N156" s="28"/>
      <c r="O156" s="28"/>
      <c r="P156" s="28"/>
      <c r="Q156" s="28"/>
    </row>
    <row r="157" spans="3:17" ht="15" thickBot="1" x14ac:dyDescent="0.35">
      <c r="C157" s="338" t="s">
        <v>301</v>
      </c>
      <c r="D157" s="295"/>
      <c r="E157" s="362">
        <v>0.05</v>
      </c>
      <c r="F157" s="365" t="s">
        <v>307</v>
      </c>
      <c r="G157" s="366" t="s">
        <v>308</v>
      </c>
      <c r="H157" s="367">
        <f>((H49/100)-(2*E157))/(H49/100)</f>
        <v>0.8666666666666667</v>
      </c>
      <c r="I157" s="331" t="s">
        <v>304</v>
      </c>
      <c r="J157" s="360" t="s">
        <v>305</v>
      </c>
      <c r="K157" s="364" t="s">
        <v>309</v>
      </c>
      <c r="L157" s="327"/>
      <c r="M157" s="28"/>
      <c r="N157" s="28"/>
      <c r="O157" s="28"/>
      <c r="P157" s="28"/>
      <c r="Q157" s="28"/>
    </row>
    <row r="158" spans="3:17" x14ac:dyDescent="0.3">
      <c r="C158" s="326"/>
      <c r="D158" s="260"/>
      <c r="E158" s="260"/>
      <c r="F158" s="260"/>
      <c r="G158" s="260"/>
      <c r="H158" s="260"/>
      <c r="I158" s="260"/>
      <c r="J158" s="260"/>
      <c r="K158" s="260"/>
      <c r="L158" s="327"/>
      <c r="M158" s="28"/>
      <c r="N158" s="28"/>
      <c r="O158" s="28"/>
      <c r="P158" s="28"/>
      <c r="Q158" s="28"/>
    </row>
    <row r="159" spans="3:17" ht="15" thickBot="1" x14ac:dyDescent="0.35">
      <c r="C159" s="329" t="s">
        <v>310</v>
      </c>
      <c r="D159" s="330"/>
      <c r="E159" s="330"/>
      <c r="F159" s="330"/>
      <c r="G159" s="330"/>
      <c r="H159" s="330"/>
      <c r="I159" s="330"/>
      <c r="J159" s="368" t="s">
        <v>311</v>
      </c>
      <c r="K159" s="369">
        <f>(H48-2*(E156*100))*(H49-2*(E157*100))</f>
        <v>4225</v>
      </c>
      <c r="L159" s="331" t="s">
        <v>312</v>
      </c>
      <c r="M159" s="28"/>
      <c r="N159" s="28"/>
      <c r="O159" s="28"/>
      <c r="P159" s="28"/>
      <c r="Q159" s="28"/>
    </row>
    <row r="160" spans="3:17" ht="15" thickBot="1" x14ac:dyDescent="0.35"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</row>
    <row r="161" spans="3:17" x14ac:dyDescent="0.3">
      <c r="C161" s="333" t="s">
        <v>313</v>
      </c>
      <c r="D161" s="324"/>
      <c r="E161" s="325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</row>
    <row r="162" spans="3:17" ht="15" thickBot="1" x14ac:dyDescent="0.35">
      <c r="C162" s="370" t="s">
        <v>314</v>
      </c>
      <c r="D162" s="367">
        <f>(D138*D48)/(0.85*D47*D137)</f>
        <v>0.16539906629318393</v>
      </c>
      <c r="E162" s="371" t="s">
        <v>188</v>
      </c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</row>
    <row r="163" spans="3:17" ht="15" thickBot="1" x14ac:dyDescent="0.35"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</row>
    <row r="164" spans="3:17" x14ac:dyDescent="0.3">
      <c r="C164" s="333" t="s">
        <v>315</v>
      </c>
      <c r="D164" s="324"/>
      <c r="E164" s="324"/>
      <c r="F164" s="324"/>
      <c r="G164" s="324"/>
      <c r="H164" s="325"/>
      <c r="I164" s="28"/>
      <c r="J164" s="28"/>
      <c r="K164" s="28"/>
      <c r="L164" s="28"/>
      <c r="M164" s="28"/>
      <c r="N164" s="28"/>
      <c r="O164" s="28"/>
      <c r="P164" s="28"/>
      <c r="Q164" s="28"/>
    </row>
    <row r="165" spans="3:17" x14ac:dyDescent="0.3">
      <c r="C165" s="356" t="s">
        <v>298</v>
      </c>
      <c r="D165" s="357">
        <f>D148</f>
        <v>6.4140311223291058E-2</v>
      </c>
      <c r="E165" s="360" t="s">
        <v>299</v>
      </c>
      <c r="F165" s="357">
        <f>D149</f>
        <v>0.10411629697716324</v>
      </c>
      <c r="G165" s="260"/>
      <c r="H165" s="327"/>
      <c r="I165" s="28"/>
      <c r="J165" s="28"/>
      <c r="K165" s="28"/>
      <c r="L165" s="28"/>
      <c r="M165" s="28"/>
      <c r="N165" s="28"/>
      <c r="O165" s="28"/>
      <c r="P165" s="28"/>
      <c r="Q165" s="28"/>
    </row>
    <row r="166" spans="3:17" x14ac:dyDescent="0.3">
      <c r="C166" s="363" t="s">
        <v>302</v>
      </c>
      <c r="D166" s="357">
        <f>H156</f>
        <v>0.8666666666666667</v>
      </c>
      <c r="E166" s="372" t="s">
        <v>307</v>
      </c>
      <c r="F166" s="357">
        <f>H157</f>
        <v>0.8666666666666667</v>
      </c>
      <c r="G166" s="260"/>
      <c r="H166" s="327"/>
      <c r="I166" s="28"/>
      <c r="J166" s="28"/>
      <c r="K166" s="28"/>
      <c r="L166" s="28"/>
      <c r="M166" s="28"/>
      <c r="N166" s="28"/>
      <c r="O166" s="28"/>
      <c r="P166" s="28"/>
      <c r="Q166" s="28"/>
    </row>
    <row r="167" spans="3:17" x14ac:dyDescent="0.3">
      <c r="C167" s="363" t="s">
        <v>314</v>
      </c>
      <c r="D167" s="357">
        <f>D162</f>
        <v>0.16539906629318393</v>
      </c>
      <c r="E167" s="373" t="s">
        <v>314</v>
      </c>
      <c r="F167" s="357">
        <f>D162</f>
        <v>0.16539906629318393</v>
      </c>
      <c r="G167" s="260"/>
      <c r="H167" s="327"/>
      <c r="I167" s="28"/>
      <c r="J167" s="28"/>
      <c r="K167" s="28"/>
      <c r="L167" s="28"/>
      <c r="M167" s="28"/>
      <c r="N167" s="28"/>
      <c r="O167" s="28"/>
      <c r="P167" s="28"/>
      <c r="Q167" s="28"/>
    </row>
    <row r="168" spans="3:17" x14ac:dyDescent="0.3">
      <c r="C168" s="374" t="s">
        <v>316</v>
      </c>
      <c r="D168" s="279"/>
      <c r="E168" s="279"/>
      <c r="F168" s="260"/>
      <c r="G168" s="260"/>
      <c r="H168" s="327"/>
      <c r="I168" s="28"/>
      <c r="J168" s="28"/>
      <c r="K168" s="28"/>
      <c r="L168" s="28"/>
      <c r="M168" s="28"/>
      <c r="N168" s="28"/>
      <c r="O168" s="28"/>
      <c r="P168" s="28"/>
      <c r="Q168" s="28"/>
    </row>
    <row r="169" spans="3:17" ht="15" thickBot="1" x14ac:dyDescent="0.35">
      <c r="C169" s="365" t="s">
        <v>317</v>
      </c>
      <c r="D169" s="369">
        <v>0.8</v>
      </c>
      <c r="E169" s="375" t="s">
        <v>318</v>
      </c>
      <c r="F169" s="369">
        <v>0.35</v>
      </c>
      <c r="G169" s="330"/>
      <c r="H169" s="331"/>
      <c r="I169" s="28"/>
      <c r="J169" s="28"/>
      <c r="K169" s="28"/>
      <c r="L169" s="28"/>
      <c r="M169" s="28"/>
      <c r="N169" s="28"/>
      <c r="O169" s="28"/>
      <c r="P169" s="28"/>
      <c r="Q169" s="28"/>
    </row>
    <row r="170" spans="3:17" ht="15" thickBot="1" x14ac:dyDescent="0.35"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</row>
    <row r="171" spans="3:17" x14ac:dyDescent="0.3">
      <c r="C171" s="376" t="s">
        <v>319</v>
      </c>
      <c r="D171" s="324"/>
      <c r="E171" s="325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</row>
    <row r="172" spans="3:17" x14ac:dyDescent="0.3">
      <c r="C172" s="356" t="s">
        <v>320</v>
      </c>
      <c r="D172" s="362">
        <f>D169*D47*H48*H49</f>
        <v>945000</v>
      </c>
      <c r="E172" s="339" t="s">
        <v>321</v>
      </c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</row>
    <row r="173" spans="3:17" ht="15" thickBot="1" x14ac:dyDescent="0.35">
      <c r="C173" s="358" t="s">
        <v>322</v>
      </c>
      <c r="D173" s="369">
        <f>F169*D47*H48*H49</f>
        <v>413437.5</v>
      </c>
      <c r="E173" s="371" t="s">
        <v>321</v>
      </c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</row>
    <row r="174" spans="3:17" ht="15" thickBot="1" x14ac:dyDescent="0.35"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</row>
    <row r="175" spans="3:17" x14ac:dyDescent="0.3">
      <c r="C175" s="333" t="s">
        <v>323</v>
      </c>
      <c r="D175" s="324"/>
      <c r="E175" s="325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</row>
    <row r="176" spans="3:17" x14ac:dyDescent="0.3">
      <c r="C176" s="377" t="s">
        <v>324</v>
      </c>
      <c r="D176" s="362">
        <f>(1/D172)+(1/D173)-(1/D140)</f>
        <v>2.2449775903189104E-6</v>
      </c>
      <c r="E176" s="327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</row>
    <row r="177" spans="3:17" x14ac:dyDescent="0.3">
      <c r="C177" s="377" t="s">
        <v>325</v>
      </c>
      <c r="D177" s="260"/>
      <c r="E177" s="327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</row>
    <row r="178" spans="3:17" ht="15" thickBot="1" x14ac:dyDescent="0.35">
      <c r="C178" s="358" t="s">
        <v>326</v>
      </c>
      <c r="D178" s="359">
        <f>1/D176</f>
        <v>445438.74482860428</v>
      </c>
      <c r="E178" s="331" t="s">
        <v>268</v>
      </c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</row>
    <row r="179" spans="3:17" ht="15" thickBot="1" x14ac:dyDescent="0.35"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</row>
    <row r="180" spans="3:17" x14ac:dyDescent="0.3">
      <c r="C180" s="333" t="s">
        <v>327</v>
      </c>
      <c r="D180" s="378"/>
      <c r="E180" s="378"/>
      <c r="F180" s="325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</row>
    <row r="181" spans="3:17" x14ac:dyDescent="0.3">
      <c r="C181" s="338" t="s">
        <v>328</v>
      </c>
      <c r="D181" s="279"/>
      <c r="E181" s="279"/>
      <c r="F181" s="327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</row>
    <row r="182" spans="3:17" x14ac:dyDescent="0.3">
      <c r="C182" s="338" t="str">
        <f>IF(D178&lt;D56,"  No Chequea, Es Necesario Incrementar el Area de Acero","CHEQUEA, se puede seguir diseñando")</f>
        <v>CHEQUEA, se puede seguir diseñando</v>
      </c>
      <c r="D182" s="279"/>
      <c r="E182" s="279"/>
      <c r="F182" s="327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</row>
    <row r="183" spans="3:17" ht="15.6" x14ac:dyDescent="0.3">
      <c r="C183" s="379">
        <f>D178</f>
        <v>445438.74482860428</v>
      </c>
      <c r="D183" s="380" t="str">
        <f>IF(D178&lt;D56," &lt; ","&gt;")</f>
        <v>&gt;</v>
      </c>
      <c r="E183" s="362">
        <f>D56</f>
        <v>49030.052806147818</v>
      </c>
      <c r="F183" s="327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</row>
    <row r="184" spans="3:17" ht="15" thickBot="1" x14ac:dyDescent="0.35">
      <c r="C184" s="381" t="str">
        <f>IF(D178&lt;D56,"P'u &lt; Pu","P'u &gt; Pu")</f>
        <v>P'u &gt; Pu</v>
      </c>
      <c r="D184" s="330"/>
      <c r="E184" s="330"/>
      <c r="F184" s="331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</row>
    <row r="185" spans="3:17" ht="15" thickBot="1" x14ac:dyDescent="0.35"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</row>
    <row r="186" spans="3:17" ht="15" thickBot="1" x14ac:dyDescent="0.35">
      <c r="C186" s="333" t="s">
        <v>329</v>
      </c>
      <c r="D186" s="324"/>
      <c r="E186" s="324"/>
      <c r="F186" s="324"/>
      <c r="G186" s="324"/>
      <c r="H186" s="324"/>
      <c r="I186" s="325"/>
      <c r="J186" s="28"/>
      <c r="K186" s="28"/>
      <c r="L186" s="28"/>
      <c r="M186" s="28"/>
      <c r="N186" s="28"/>
      <c r="O186" s="28"/>
      <c r="P186" s="28"/>
      <c r="Q186" s="28"/>
    </row>
    <row r="187" spans="3:17" x14ac:dyDescent="0.3">
      <c r="C187" s="361"/>
      <c r="D187" s="382" t="s">
        <v>330</v>
      </c>
      <c r="E187" s="324"/>
      <c r="F187" s="383"/>
      <c r="G187" s="324"/>
      <c r="H187" s="324"/>
      <c r="I187" s="325"/>
      <c r="J187" s="28"/>
      <c r="K187" s="28"/>
      <c r="L187" s="28"/>
      <c r="M187" s="28"/>
      <c r="N187" s="28"/>
      <c r="O187" s="28"/>
      <c r="P187" s="28"/>
      <c r="Q187" s="28"/>
    </row>
    <row r="188" spans="3:17" x14ac:dyDescent="0.3">
      <c r="C188" s="356" t="s">
        <v>331</v>
      </c>
      <c r="D188" s="288" t="s">
        <v>332</v>
      </c>
      <c r="E188" s="260" t="s">
        <v>333</v>
      </c>
      <c r="F188" s="289"/>
      <c r="G188" s="279" t="s">
        <v>334</v>
      </c>
      <c r="H188" s="260"/>
      <c r="I188" s="327"/>
      <c r="J188" s="28"/>
      <c r="K188" s="28"/>
      <c r="L188" s="28"/>
      <c r="M188" s="28"/>
      <c r="N188" s="28"/>
      <c r="O188" s="28"/>
      <c r="P188" s="28"/>
      <c r="Q188" s="28"/>
    </row>
    <row r="189" spans="3:17" ht="15" thickBot="1" x14ac:dyDescent="0.35">
      <c r="C189" s="329"/>
      <c r="D189" s="384" t="s">
        <v>335</v>
      </c>
      <c r="E189" s="330"/>
      <c r="F189" s="385"/>
      <c r="G189" s="330"/>
      <c r="H189" s="330"/>
      <c r="I189" s="331"/>
      <c r="J189" s="28"/>
      <c r="K189" s="28"/>
      <c r="L189" s="28"/>
      <c r="M189" s="28"/>
      <c r="N189" s="28"/>
      <c r="O189" s="28"/>
      <c r="P189" s="28"/>
      <c r="Q189" s="28"/>
    </row>
    <row r="190" spans="3:17" ht="15" thickBot="1" x14ac:dyDescent="0.35">
      <c r="C190" s="326" t="s">
        <v>336</v>
      </c>
      <c r="D190" s="260"/>
      <c r="E190" s="260"/>
      <c r="F190" s="260"/>
      <c r="G190" s="260"/>
      <c r="H190" s="260"/>
      <c r="I190" s="327"/>
      <c r="J190" s="28"/>
      <c r="K190" s="28"/>
      <c r="L190" s="28"/>
      <c r="M190" s="28"/>
      <c r="N190" s="28"/>
      <c r="O190" s="28"/>
      <c r="P190" s="28"/>
      <c r="Q190" s="28"/>
    </row>
    <row r="191" spans="3:17" x14ac:dyDescent="0.3">
      <c r="C191" s="361"/>
      <c r="D191" s="382">
        <f>H53/6</f>
        <v>66.666666666666671</v>
      </c>
      <c r="E191" s="324" t="s">
        <v>188</v>
      </c>
      <c r="F191" s="383"/>
      <c r="G191" s="324"/>
      <c r="H191" s="324"/>
      <c r="I191" s="325"/>
      <c r="J191" s="28"/>
      <c r="K191" s="28"/>
      <c r="L191" s="28"/>
      <c r="M191" s="28"/>
      <c r="N191" s="28"/>
      <c r="O191" s="28"/>
      <c r="P191" s="28"/>
      <c r="Q191" s="28"/>
    </row>
    <row r="192" spans="3:17" x14ac:dyDescent="0.3">
      <c r="C192" s="356" t="s">
        <v>331</v>
      </c>
      <c r="D192" s="288">
        <v>66.66</v>
      </c>
      <c r="E192" s="260" t="s">
        <v>188</v>
      </c>
      <c r="F192" s="289"/>
      <c r="G192" s="360" t="s">
        <v>337</v>
      </c>
      <c r="H192" s="386">
        <f>MAX(D191,D192,D193)</f>
        <v>75</v>
      </c>
      <c r="I192" s="327" t="s">
        <v>188</v>
      </c>
      <c r="J192" s="28"/>
      <c r="K192" s="28"/>
      <c r="L192" s="28"/>
      <c r="M192" s="28"/>
      <c r="N192" s="28"/>
      <c r="O192" s="28"/>
      <c r="P192" s="28"/>
      <c r="Q192" s="28"/>
    </row>
    <row r="193" spans="3:17" ht="15" thickBot="1" x14ac:dyDescent="0.35">
      <c r="C193" s="329"/>
      <c r="D193" s="384">
        <f>MAX(H48,H49)</f>
        <v>75</v>
      </c>
      <c r="E193" s="330" t="s">
        <v>188</v>
      </c>
      <c r="F193" s="385"/>
      <c r="G193" s="330"/>
      <c r="H193" s="330"/>
      <c r="I193" s="331"/>
      <c r="J193" s="28"/>
      <c r="K193" s="28"/>
      <c r="L193" s="28"/>
      <c r="M193" s="28"/>
      <c r="N193" s="28"/>
      <c r="O193" s="28"/>
      <c r="P193" s="28"/>
      <c r="Q193" s="28"/>
    </row>
    <row r="194" spans="3:17" x14ac:dyDescent="0.3"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</row>
    <row r="195" spans="3:17" ht="15" thickBot="1" x14ac:dyDescent="0.35"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</row>
    <row r="196" spans="3:17" x14ac:dyDescent="0.3">
      <c r="C196" s="333" t="s">
        <v>338</v>
      </c>
      <c r="D196" s="324"/>
      <c r="E196" s="324"/>
      <c r="F196" s="324"/>
      <c r="G196" s="324"/>
      <c r="H196" s="324"/>
      <c r="I196" s="325"/>
      <c r="J196" s="28"/>
      <c r="K196" s="28"/>
      <c r="L196" s="28"/>
      <c r="M196" s="28"/>
      <c r="N196" s="28"/>
      <c r="O196" s="28"/>
      <c r="P196" s="28"/>
      <c r="Q196" s="28"/>
    </row>
    <row r="197" spans="3:17" x14ac:dyDescent="0.3">
      <c r="C197" s="356" t="s">
        <v>339</v>
      </c>
      <c r="D197" s="260" t="s">
        <v>340</v>
      </c>
      <c r="E197" s="260"/>
      <c r="F197" s="260"/>
      <c r="G197" s="260"/>
      <c r="H197" s="260"/>
      <c r="I197" s="327"/>
      <c r="J197" s="28"/>
      <c r="K197" s="28"/>
      <c r="L197" s="28"/>
      <c r="M197" s="28"/>
      <c r="N197" s="28"/>
      <c r="O197" s="28"/>
      <c r="P197" s="28"/>
      <c r="Q197" s="28"/>
    </row>
    <row r="198" spans="3:17" x14ac:dyDescent="0.3">
      <c r="C198" s="356" t="s">
        <v>341</v>
      </c>
      <c r="D198" s="260" t="s">
        <v>342</v>
      </c>
      <c r="E198" s="260"/>
      <c r="F198" s="260"/>
      <c r="G198" s="260"/>
      <c r="H198" s="260"/>
      <c r="I198" s="327"/>
      <c r="J198" s="28"/>
      <c r="K198" s="28"/>
      <c r="L198" s="28"/>
      <c r="M198" s="28"/>
      <c r="N198" s="28"/>
      <c r="O198" s="28"/>
      <c r="P198" s="28"/>
      <c r="Q198" s="28"/>
    </row>
    <row r="199" spans="3:17" x14ac:dyDescent="0.3">
      <c r="C199" s="356" t="s">
        <v>343</v>
      </c>
      <c r="D199" s="260" t="s">
        <v>344</v>
      </c>
      <c r="E199" s="260"/>
      <c r="F199" s="260"/>
      <c r="G199" s="260"/>
      <c r="H199" s="260"/>
      <c r="I199" s="327"/>
      <c r="J199" s="28"/>
      <c r="K199" s="28"/>
      <c r="L199" s="28"/>
      <c r="M199" s="28"/>
      <c r="N199" s="28"/>
      <c r="O199" s="28"/>
      <c r="P199" s="28"/>
      <c r="Q199" s="28"/>
    </row>
    <row r="200" spans="3:17" x14ac:dyDescent="0.3">
      <c r="C200" s="326"/>
      <c r="D200" s="260"/>
      <c r="E200" s="260"/>
      <c r="F200" s="260"/>
      <c r="G200" s="260"/>
      <c r="H200" s="260"/>
      <c r="I200" s="327"/>
      <c r="J200" s="28"/>
      <c r="K200" s="28"/>
      <c r="L200" s="28"/>
      <c r="M200" s="28"/>
      <c r="N200" s="28"/>
      <c r="O200" s="28"/>
      <c r="P200" s="28"/>
      <c r="Q200" s="28"/>
    </row>
    <row r="201" spans="3:17" x14ac:dyDescent="0.3">
      <c r="C201" s="387" t="s">
        <v>345</v>
      </c>
      <c r="D201" s="260"/>
      <c r="E201" s="260"/>
      <c r="F201" s="260"/>
      <c r="G201" s="260"/>
      <c r="H201" s="260"/>
      <c r="I201" s="327"/>
      <c r="J201" s="28"/>
      <c r="K201" s="28"/>
      <c r="L201" s="28"/>
      <c r="M201" s="28"/>
      <c r="N201" s="28"/>
      <c r="O201" s="28"/>
      <c r="P201" s="28"/>
      <c r="Q201" s="28"/>
    </row>
    <row r="202" spans="3:17" x14ac:dyDescent="0.3">
      <c r="C202" s="356" t="s">
        <v>346</v>
      </c>
      <c r="D202" s="362">
        <v>5</v>
      </c>
      <c r="E202" s="260"/>
      <c r="F202" s="260"/>
      <c r="G202" s="260"/>
      <c r="H202" s="260"/>
      <c r="I202" s="327"/>
      <c r="J202" s="28"/>
      <c r="K202" s="28"/>
      <c r="L202" s="28"/>
      <c r="M202" s="28"/>
      <c r="N202" s="28"/>
      <c r="O202" s="28"/>
      <c r="P202" s="28"/>
      <c r="Q202" s="28"/>
    </row>
    <row r="203" spans="3:17" x14ac:dyDescent="0.3">
      <c r="C203" s="356" t="s">
        <v>339</v>
      </c>
      <c r="D203" s="362">
        <f>0.0792*(D202^2)</f>
        <v>1.9800000000000002</v>
      </c>
      <c r="E203" s="279" t="s">
        <v>347</v>
      </c>
      <c r="F203" s="260"/>
      <c r="G203" s="260"/>
      <c r="H203" s="260"/>
      <c r="I203" s="327"/>
      <c r="J203" s="28"/>
      <c r="K203" s="28"/>
      <c r="L203" s="28"/>
      <c r="M203" s="28"/>
      <c r="N203" s="28"/>
      <c r="O203" s="28"/>
      <c r="P203" s="28"/>
      <c r="Q203" s="28"/>
    </row>
    <row r="204" spans="3:17" x14ac:dyDescent="0.3">
      <c r="C204" s="326"/>
      <c r="D204" s="260"/>
      <c r="E204" s="260"/>
      <c r="F204" s="260"/>
      <c r="G204" s="260"/>
      <c r="H204" s="260"/>
      <c r="I204" s="327"/>
      <c r="J204" s="28"/>
      <c r="K204" s="28"/>
      <c r="L204" s="28"/>
      <c r="M204" s="28"/>
      <c r="N204" s="28"/>
      <c r="O204" s="28"/>
      <c r="P204" s="28"/>
      <c r="Q204" s="28"/>
    </row>
    <row r="205" spans="3:17" x14ac:dyDescent="0.3">
      <c r="C205" s="338" t="s">
        <v>348</v>
      </c>
      <c r="D205" s="260"/>
      <c r="E205" s="260"/>
      <c r="F205" s="260"/>
      <c r="G205" s="260"/>
      <c r="H205" s="260"/>
      <c r="I205" s="327"/>
      <c r="J205" s="28"/>
      <c r="K205" s="28"/>
      <c r="L205" s="28"/>
      <c r="M205" s="28"/>
      <c r="N205" s="28"/>
      <c r="O205" s="28"/>
      <c r="P205" s="28"/>
      <c r="Q205" s="28"/>
    </row>
    <row r="206" spans="3:17" x14ac:dyDescent="0.3">
      <c r="C206" s="356" t="s">
        <v>341</v>
      </c>
      <c r="D206" s="362">
        <v>82</v>
      </c>
      <c r="E206" s="260" t="str">
        <f>IF(D206&gt;0,"Ingresado ","aun no a ingresado una longitud")</f>
        <v xml:space="preserve">Ingresado </v>
      </c>
      <c r="F206" s="260"/>
      <c r="G206" s="260"/>
      <c r="H206" s="260"/>
      <c r="I206" s="327"/>
      <c r="J206" s="28"/>
      <c r="K206" s="28"/>
      <c r="L206" s="28"/>
      <c r="M206" s="28"/>
      <c r="N206" s="28"/>
      <c r="O206" s="28"/>
      <c r="P206" s="28"/>
      <c r="Q206" s="28"/>
    </row>
    <row r="207" spans="3:17" x14ac:dyDescent="0.3">
      <c r="C207" s="326"/>
      <c r="D207" s="260"/>
      <c r="E207" s="260"/>
      <c r="F207" s="260"/>
      <c r="G207" s="260"/>
      <c r="H207" s="260"/>
      <c r="I207" s="327"/>
      <c r="J207" s="28"/>
      <c r="K207" s="28"/>
      <c r="L207" s="28"/>
      <c r="M207" s="28"/>
      <c r="N207" s="28"/>
      <c r="O207" s="28"/>
      <c r="P207" s="28"/>
      <c r="Q207" s="28"/>
    </row>
    <row r="208" spans="3:17" x14ac:dyDescent="0.3">
      <c r="C208" s="338" t="s">
        <v>349</v>
      </c>
      <c r="D208" s="260"/>
      <c r="E208" s="260"/>
      <c r="F208" s="260"/>
      <c r="G208" s="260"/>
      <c r="H208" s="260"/>
      <c r="I208" s="327"/>
      <c r="J208" s="28"/>
      <c r="K208" s="28"/>
      <c r="L208" s="28"/>
      <c r="M208" s="28"/>
      <c r="N208" s="28"/>
      <c r="O208" s="28"/>
      <c r="P208" s="28"/>
      <c r="Q208" s="28"/>
    </row>
    <row r="209" spans="1:17" x14ac:dyDescent="0.3">
      <c r="C209" s="356" t="s">
        <v>343</v>
      </c>
      <c r="D209" s="260">
        <f>0.85*(0.45*(D47/D48)*((D137/K159-1)))</f>
        <v>9.4720882730737616E-3</v>
      </c>
      <c r="E209" s="260"/>
      <c r="F209" s="260"/>
      <c r="G209" s="260"/>
      <c r="H209" s="260"/>
      <c r="I209" s="327"/>
      <c r="J209" s="28"/>
      <c r="K209" s="28"/>
      <c r="L209" s="28"/>
      <c r="M209" s="28"/>
      <c r="N209" s="28"/>
      <c r="O209" s="28"/>
      <c r="P209" s="28"/>
      <c r="Q209" s="28"/>
    </row>
    <row r="210" spans="1:17" x14ac:dyDescent="0.3">
      <c r="C210" s="326"/>
      <c r="D210" s="260"/>
      <c r="E210" s="260"/>
      <c r="F210" s="260"/>
      <c r="G210" s="260"/>
      <c r="H210" s="260"/>
      <c r="I210" s="327"/>
      <c r="J210" s="28"/>
      <c r="K210" s="28"/>
      <c r="L210" s="28"/>
      <c r="M210" s="28"/>
      <c r="N210" s="28"/>
      <c r="O210" s="28"/>
      <c r="P210" s="28"/>
      <c r="Q210" s="28"/>
    </row>
    <row r="211" spans="1:17" ht="15" thickBot="1" x14ac:dyDescent="0.35">
      <c r="C211" s="326"/>
      <c r="D211" s="260"/>
      <c r="E211" s="260"/>
      <c r="F211" s="260"/>
      <c r="G211" s="260"/>
      <c r="H211" s="260"/>
      <c r="I211" s="327"/>
      <c r="J211" s="28"/>
      <c r="K211" s="28"/>
      <c r="L211" s="28"/>
      <c r="M211" s="28"/>
      <c r="N211" s="28"/>
      <c r="O211" s="28"/>
      <c r="P211" s="28"/>
      <c r="Q211" s="28"/>
    </row>
    <row r="212" spans="1:17" x14ac:dyDescent="0.3">
      <c r="C212" s="333" t="s">
        <v>350</v>
      </c>
      <c r="D212" s="324"/>
      <c r="E212" s="324"/>
      <c r="F212" s="324"/>
      <c r="G212" s="324"/>
      <c r="H212" s="324"/>
      <c r="I212" s="325"/>
      <c r="J212" s="28"/>
      <c r="K212" s="28"/>
      <c r="L212" s="28"/>
      <c r="M212" s="28"/>
      <c r="N212" s="28"/>
      <c r="O212" s="28"/>
      <c r="P212" s="28"/>
      <c r="Q212" s="28"/>
    </row>
    <row r="213" spans="1:17" x14ac:dyDescent="0.3">
      <c r="C213" s="356" t="s">
        <v>351</v>
      </c>
      <c r="D213" s="357">
        <f>(2*D203)/(D206*D209)</f>
        <v>5.0984198557471787</v>
      </c>
      <c r="E213" s="260" t="s">
        <v>312</v>
      </c>
      <c r="F213" s="260"/>
      <c r="G213" s="260"/>
      <c r="H213" s="260"/>
      <c r="I213" s="327"/>
      <c r="J213" s="28"/>
      <c r="K213" s="28"/>
      <c r="L213" s="28"/>
      <c r="M213" s="28"/>
      <c r="N213" s="28"/>
      <c r="O213" s="28"/>
      <c r="P213" s="28"/>
      <c r="Q213" s="28"/>
    </row>
    <row r="214" spans="1:17" x14ac:dyDescent="0.3">
      <c r="C214" s="338" t="str">
        <f>IF(D213&lt;5,"  Es   necesario   disminuir    Ln   porque "," So  es la separacion maxima entre estribos ya que")</f>
        <v xml:space="preserve"> So  es la separacion maxima entre estribos ya que</v>
      </c>
      <c r="D214" s="260"/>
      <c r="E214" s="260"/>
      <c r="F214" s="260"/>
      <c r="G214" s="280">
        <f>D213</f>
        <v>5.0984198557471787</v>
      </c>
      <c r="H214" s="388" t="str">
        <f>IF(D213&lt;5,"  &lt; "," &gt;")</f>
        <v xml:space="preserve"> &gt;</v>
      </c>
      <c r="I214" s="389">
        <v>5</v>
      </c>
      <c r="J214" s="28"/>
      <c r="K214" s="28">
        <f>35/3</f>
        <v>11.666666666666666</v>
      </c>
      <c r="L214" s="28"/>
      <c r="M214" s="28"/>
      <c r="N214" s="28"/>
      <c r="O214" s="28"/>
      <c r="P214" s="28"/>
      <c r="Q214" s="28"/>
    </row>
    <row r="215" spans="1:17" x14ac:dyDescent="0.3">
      <c r="C215" s="326" t="s">
        <v>352</v>
      </c>
      <c r="D215" s="260"/>
      <c r="E215" s="260"/>
      <c r="F215" s="260"/>
      <c r="G215" s="260"/>
      <c r="H215" s="260"/>
      <c r="I215" s="327"/>
      <c r="J215" s="28"/>
      <c r="K215" s="28"/>
      <c r="L215" s="28"/>
      <c r="M215" s="28"/>
      <c r="N215" s="28"/>
      <c r="O215" s="28"/>
      <c r="P215" s="28"/>
      <c r="Q215" s="28"/>
    </row>
    <row r="216" spans="1:17" ht="15" thickBot="1" x14ac:dyDescent="0.35">
      <c r="C216" s="329" t="str">
        <f>IF(G214&lt;10," y si podemos utilizar este dato porque es menor a 10 "," pero no podemos usar este dato porque es mayor a 10, vuelva a verificar  Ln")</f>
        <v xml:space="preserve"> y si podemos utilizar este dato porque es menor a 10 </v>
      </c>
      <c r="D216" s="330"/>
      <c r="E216" s="330"/>
      <c r="F216" s="330"/>
      <c r="G216" s="330"/>
      <c r="H216" s="330"/>
      <c r="I216" s="331"/>
      <c r="J216" s="28"/>
      <c r="K216" s="28"/>
      <c r="L216" s="28"/>
      <c r="M216" s="28"/>
      <c r="N216" s="28"/>
      <c r="O216" s="28"/>
      <c r="P216" s="28"/>
      <c r="Q216" s="28"/>
    </row>
    <row r="217" spans="1:17" ht="15" thickBot="1" x14ac:dyDescent="0.35">
      <c r="C217" s="326"/>
      <c r="D217" s="260"/>
      <c r="E217" s="260"/>
      <c r="F217" s="260"/>
      <c r="G217" s="260"/>
      <c r="H217" s="260"/>
      <c r="I217" s="327"/>
      <c r="J217" s="28"/>
      <c r="K217" s="28"/>
      <c r="L217" s="28"/>
      <c r="M217" s="28"/>
      <c r="N217" s="28"/>
      <c r="O217" s="28"/>
      <c r="P217" s="28"/>
      <c r="Q217" s="28"/>
    </row>
    <row r="218" spans="1:17" x14ac:dyDescent="0.3">
      <c r="C218" s="333" t="s">
        <v>350</v>
      </c>
      <c r="D218" s="324"/>
      <c r="E218" s="324"/>
      <c r="F218" s="324"/>
      <c r="G218" s="324"/>
      <c r="H218" s="324"/>
      <c r="I218" s="325"/>
      <c r="J218" s="28"/>
      <c r="K218" s="28"/>
      <c r="L218" s="28"/>
      <c r="M218" s="28"/>
      <c r="N218" s="28"/>
      <c r="O218" s="28"/>
      <c r="P218" s="28"/>
      <c r="Q218" s="28"/>
    </row>
    <row r="219" spans="1:17" x14ac:dyDescent="0.3">
      <c r="C219" s="377" t="s">
        <v>353</v>
      </c>
      <c r="D219" s="362">
        <f>(MIN(H48,H49))/2</f>
        <v>37.5</v>
      </c>
      <c r="E219" s="260" t="s">
        <v>312</v>
      </c>
      <c r="F219" s="260"/>
      <c r="G219" s="260"/>
      <c r="H219" s="260"/>
      <c r="I219" s="327"/>
      <c r="J219" s="28"/>
      <c r="K219" s="28"/>
      <c r="L219" s="28"/>
      <c r="M219" s="28"/>
      <c r="N219" s="28"/>
      <c r="O219" s="28"/>
      <c r="P219" s="28"/>
      <c r="Q219" s="28"/>
    </row>
    <row r="220" spans="1:17" ht="15" thickBot="1" x14ac:dyDescent="0.35">
      <c r="A220">
        <f>40/3</f>
        <v>13.333333333333334</v>
      </c>
      <c r="C220" s="381" t="s">
        <v>354</v>
      </c>
      <c r="D220" s="330"/>
      <c r="E220" s="330"/>
      <c r="F220" s="330"/>
      <c r="G220" s="330"/>
      <c r="H220" s="330"/>
      <c r="I220" s="331"/>
      <c r="J220" s="28"/>
      <c r="K220" s="28"/>
      <c r="L220" s="28"/>
      <c r="M220" s="28"/>
      <c r="N220" s="28"/>
      <c r="O220" s="28"/>
      <c r="P220" s="28"/>
      <c r="Q220" s="28"/>
    </row>
    <row r="221" spans="1:17" x14ac:dyDescent="0.3"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</row>
    <row r="222" spans="1:17" x14ac:dyDescent="0.3"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</row>
    <row r="223" spans="1:17" x14ac:dyDescent="0.3"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</row>
    <row r="224" spans="1:17" x14ac:dyDescent="0.3">
      <c r="C224" s="290" t="s">
        <v>355</v>
      </c>
      <c r="D224" s="272"/>
      <c r="E224" s="272"/>
      <c r="F224" s="272"/>
      <c r="G224" s="272"/>
      <c r="H224" s="272"/>
      <c r="I224" s="272"/>
      <c r="J224" s="272"/>
      <c r="K224" s="272"/>
      <c r="L224" s="272"/>
      <c r="M224" s="272"/>
      <c r="N224" s="273"/>
      <c r="O224" s="28"/>
      <c r="P224" s="28"/>
      <c r="Q224" s="28"/>
    </row>
    <row r="225" spans="3:17" x14ac:dyDescent="0.3">
      <c r="C225" s="288" t="s">
        <v>356</v>
      </c>
      <c r="D225" s="260"/>
      <c r="E225" s="260"/>
      <c r="F225" s="260"/>
      <c r="G225" s="260"/>
      <c r="H225" s="390">
        <f>+G214</f>
        <v>5.0984198557471787</v>
      </c>
      <c r="I225" s="260" t="s">
        <v>312</v>
      </c>
      <c r="J225" s="260" t="str">
        <f>IF(H225&gt;0,"Ingresado ","aun no hay una dato exacto")</f>
        <v xml:space="preserve">Ingresado </v>
      </c>
      <c r="K225" s="260"/>
      <c r="L225" s="260"/>
      <c r="M225" s="260">
        <f>+H53</f>
        <v>400</v>
      </c>
      <c r="N225" s="289" t="s">
        <v>120</v>
      </c>
      <c r="O225" s="28"/>
      <c r="P225" s="28"/>
      <c r="Q225" s="28"/>
    </row>
    <row r="226" spans="3:17" x14ac:dyDescent="0.3">
      <c r="C226" s="288" t="s">
        <v>357</v>
      </c>
      <c r="D226" s="260"/>
      <c r="E226" s="260"/>
      <c r="F226" s="260"/>
      <c r="G226" s="260"/>
      <c r="H226" s="295">
        <f>+D219</f>
        <v>37.5</v>
      </c>
      <c r="I226" s="260" t="s">
        <v>312</v>
      </c>
      <c r="J226" s="260" t="str">
        <f>IF(H225&gt;0,"Ingresado ","aun no hay una dato exacto")</f>
        <v xml:space="preserve">Ingresado </v>
      </c>
      <c r="K226" s="260"/>
      <c r="L226" s="260"/>
      <c r="M226" s="260">
        <f>+H192</f>
        <v>75</v>
      </c>
      <c r="N226" s="289" t="s">
        <v>120</v>
      </c>
      <c r="O226" s="28"/>
      <c r="P226" s="28"/>
      <c r="Q226" s="28"/>
    </row>
    <row r="227" spans="3:17" x14ac:dyDescent="0.3">
      <c r="C227" s="288"/>
      <c r="D227" s="260"/>
      <c r="E227" s="260"/>
      <c r="F227" s="260"/>
      <c r="G227" s="260"/>
      <c r="H227" s="260"/>
      <c r="I227" s="260"/>
      <c r="J227" s="260"/>
      <c r="K227" s="260"/>
      <c r="L227" s="260"/>
      <c r="M227" s="260"/>
      <c r="N227" s="289"/>
      <c r="O227" s="28"/>
      <c r="P227" s="28"/>
      <c r="Q227" s="28"/>
    </row>
    <row r="228" spans="3:17" x14ac:dyDescent="0.3">
      <c r="C228" s="391" t="s">
        <v>358</v>
      </c>
      <c r="D228" s="272">
        <f>(H48)-(2*100*E156)</f>
        <v>65</v>
      </c>
      <c r="E228" s="273" t="s">
        <v>359</v>
      </c>
      <c r="F228" s="260"/>
      <c r="G228" s="260"/>
      <c r="H228" s="260"/>
      <c r="I228" s="260"/>
      <c r="J228" s="260"/>
      <c r="K228" s="260"/>
      <c r="L228" s="260"/>
      <c r="M228" s="260"/>
      <c r="N228" s="289"/>
      <c r="O228" s="28"/>
      <c r="P228" s="28"/>
      <c r="Q228" s="28"/>
    </row>
    <row r="229" spans="3:17" x14ac:dyDescent="0.3">
      <c r="C229" s="392" t="s">
        <v>360</v>
      </c>
      <c r="D229" s="277">
        <f>(H49)-(2*100*E157)</f>
        <v>65</v>
      </c>
      <c r="E229" s="293" t="s">
        <v>359</v>
      </c>
      <c r="F229" s="260"/>
      <c r="G229" s="260"/>
      <c r="H229" s="260"/>
      <c r="I229" s="260">
        <f>+H226*G232</f>
        <v>212.5</v>
      </c>
      <c r="J229" s="260"/>
      <c r="K229" s="260"/>
      <c r="L229" s="260"/>
      <c r="M229" s="260"/>
      <c r="N229" s="289"/>
      <c r="O229" s="28"/>
      <c r="P229" s="28"/>
      <c r="Q229" s="28"/>
    </row>
    <row r="230" spans="3:17" x14ac:dyDescent="0.3">
      <c r="C230" s="288"/>
      <c r="D230" s="260"/>
      <c r="E230" s="260"/>
      <c r="F230" s="260"/>
      <c r="G230" s="260"/>
      <c r="H230" s="260"/>
      <c r="I230" s="260"/>
      <c r="J230" s="260"/>
      <c r="K230" s="260"/>
      <c r="L230" s="260"/>
      <c r="M230" s="260"/>
      <c r="N230" s="289"/>
      <c r="O230" s="28"/>
      <c r="P230" s="28"/>
      <c r="Q230" s="28"/>
    </row>
    <row r="231" spans="3:17" x14ac:dyDescent="0.3">
      <c r="C231" s="288" t="s">
        <v>361</v>
      </c>
      <c r="D231" s="260"/>
      <c r="E231" s="260"/>
      <c r="F231" s="260"/>
      <c r="G231" s="393">
        <f>+M226/H225+1</f>
        <v>15.710440121061524</v>
      </c>
      <c r="H231" s="260" t="s">
        <v>362</v>
      </c>
      <c r="I231" s="260"/>
      <c r="J231" s="394">
        <f>2*G231</f>
        <v>31.420880242123047</v>
      </c>
      <c r="K231" s="260" t="s">
        <v>363</v>
      </c>
      <c r="L231" s="260"/>
      <c r="M231" s="260"/>
      <c r="N231" s="289"/>
      <c r="O231" s="28"/>
      <c r="P231" s="28"/>
      <c r="Q231" s="28"/>
    </row>
    <row r="232" spans="3:17" x14ac:dyDescent="0.3">
      <c r="C232" s="288" t="s">
        <v>364</v>
      </c>
      <c r="D232" s="260"/>
      <c r="E232" s="260"/>
      <c r="F232" s="260"/>
      <c r="G232" s="393">
        <f>+(M225-2*M226)/H226 -1</f>
        <v>5.666666666666667</v>
      </c>
      <c r="H232" s="260" t="s">
        <v>362</v>
      </c>
      <c r="I232" s="260"/>
      <c r="J232" s="395">
        <f>G232</f>
        <v>5.666666666666667</v>
      </c>
      <c r="K232" s="260" t="s">
        <v>363</v>
      </c>
      <c r="L232" s="260"/>
      <c r="M232" s="260"/>
      <c r="N232" s="289"/>
      <c r="O232" s="28"/>
      <c r="P232" s="28"/>
      <c r="Q232" s="28"/>
    </row>
    <row r="233" spans="3:17" x14ac:dyDescent="0.3">
      <c r="C233" s="300"/>
      <c r="D233" s="277"/>
      <c r="E233" s="277"/>
      <c r="F233" s="277"/>
      <c r="G233" s="277"/>
      <c r="H233" s="277"/>
      <c r="I233" s="277"/>
      <c r="J233" s="395">
        <f>SUM(J231:J232)</f>
        <v>37.087546908789712</v>
      </c>
      <c r="K233" s="277" t="s">
        <v>365</v>
      </c>
      <c r="L233" s="277"/>
      <c r="M233" s="277"/>
      <c r="N233" s="293"/>
      <c r="O233" s="28"/>
      <c r="P233" s="28"/>
      <c r="Q233" s="28"/>
    </row>
    <row r="234" spans="3:17" ht="15" thickBot="1" x14ac:dyDescent="0.35"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</row>
    <row r="235" spans="3:17" x14ac:dyDescent="0.3">
      <c r="C235" s="290" t="s">
        <v>366</v>
      </c>
      <c r="D235" s="272"/>
      <c r="E235" s="272"/>
      <c r="F235" s="396">
        <f>2*(D228/100)+2*(D229/100)+(7*D203/100)</f>
        <v>2.7385999999999999</v>
      </c>
      <c r="G235" s="272" t="s">
        <v>304</v>
      </c>
      <c r="H235" s="272"/>
      <c r="I235" s="272"/>
      <c r="J235" s="272"/>
      <c r="K235" s="273"/>
      <c r="L235" s="28"/>
      <c r="M235" s="309" t="s">
        <v>264</v>
      </c>
      <c r="N235" s="311" t="s">
        <v>267</v>
      </c>
      <c r="O235" s="28"/>
      <c r="P235" s="28"/>
      <c r="Q235" s="28"/>
    </row>
    <row r="236" spans="3:17" x14ac:dyDescent="0.3">
      <c r="C236" s="288" t="s">
        <v>367</v>
      </c>
      <c r="D236" s="175">
        <f>F235*J233</f>
        <v>101.5679559644115</v>
      </c>
      <c r="E236" s="260" t="s">
        <v>368</v>
      </c>
      <c r="F236" s="260"/>
      <c r="G236" s="260"/>
      <c r="H236" s="260"/>
      <c r="I236" s="260"/>
      <c r="J236" s="260"/>
      <c r="K236" s="289"/>
      <c r="L236" s="28"/>
      <c r="M236" s="397">
        <v>2</v>
      </c>
      <c r="N236" s="317">
        <v>30</v>
      </c>
      <c r="O236" s="28"/>
      <c r="P236" s="28"/>
      <c r="Q236" s="28"/>
    </row>
    <row r="237" spans="3:17" x14ac:dyDescent="0.3">
      <c r="C237" s="274" t="s">
        <v>369</v>
      </c>
      <c r="D237" s="260"/>
      <c r="E237" s="260"/>
      <c r="F237" s="260"/>
      <c r="G237" s="260"/>
      <c r="H237" s="398">
        <f>(J233*F235)/6</f>
        <v>16.927992660735249</v>
      </c>
      <c r="I237" s="260" t="s">
        <v>370</v>
      </c>
      <c r="J237" s="260"/>
      <c r="K237" s="399">
        <f>D202</f>
        <v>5</v>
      </c>
      <c r="L237" s="28"/>
      <c r="M237" s="397">
        <v>3</v>
      </c>
      <c r="N237" s="317">
        <v>13</v>
      </c>
      <c r="O237" s="28"/>
      <c r="P237" s="28"/>
      <c r="Q237" s="28"/>
    </row>
    <row r="238" spans="3:17" x14ac:dyDescent="0.3">
      <c r="C238" s="288"/>
      <c r="D238" s="260"/>
      <c r="E238" s="260"/>
      <c r="F238" s="260"/>
      <c r="G238" s="260"/>
      <c r="H238" s="260"/>
      <c r="I238" s="260"/>
      <c r="J238" s="260"/>
      <c r="K238" s="289"/>
      <c r="L238" s="28"/>
      <c r="M238" s="397">
        <v>4</v>
      </c>
      <c r="N238" s="317">
        <v>7.5</v>
      </c>
      <c r="O238" s="28"/>
      <c r="P238" s="28"/>
      <c r="Q238" s="28"/>
    </row>
    <row r="239" spans="3:17" x14ac:dyDescent="0.3">
      <c r="C239" s="288" t="s">
        <v>371</v>
      </c>
      <c r="D239" s="260"/>
      <c r="E239" s="200"/>
      <c r="F239" s="260"/>
      <c r="G239" s="362">
        <f>K237</f>
        <v>5</v>
      </c>
      <c r="H239" s="400">
        <v>13</v>
      </c>
      <c r="I239" s="260" t="str">
        <f>IF(H239&gt;0,"Ingresado ","aun no a ingresado un numero de varillas/qq")</f>
        <v xml:space="preserve">Ingresado </v>
      </c>
      <c r="J239" s="260"/>
      <c r="K239" s="289"/>
      <c r="L239" s="28"/>
      <c r="M239" s="397">
        <v>5</v>
      </c>
      <c r="N239" s="317">
        <v>4.6500000000000004</v>
      </c>
      <c r="O239" s="28"/>
      <c r="P239" s="28"/>
      <c r="Q239" s="28"/>
    </row>
    <row r="240" spans="3:17" x14ac:dyDescent="0.3">
      <c r="C240" s="300" t="s">
        <v>372</v>
      </c>
      <c r="D240" s="277"/>
      <c r="E240" s="342"/>
      <c r="F240" s="401">
        <f>H237/H239</f>
        <v>1.3021532815950192</v>
      </c>
      <c r="G240" s="277" t="s">
        <v>373</v>
      </c>
      <c r="H240" s="277"/>
      <c r="I240" s="277"/>
      <c r="J240" s="277"/>
      <c r="K240" s="293"/>
      <c r="L240" s="28"/>
      <c r="M240" s="397">
        <v>6</v>
      </c>
      <c r="N240" s="317">
        <v>3.27</v>
      </c>
      <c r="O240" s="28"/>
      <c r="P240" s="28"/>
      <c r="Q240" s="28"/>
    </row>
    <row r="241" spans="2:17" x14ac:dyDescent="0.3">
      <c r="C241" s="290"/>
      <c r="D241" s="272"/>
      <c r="E241" s="272"/>
      <c r="F241" s="272"/>
      <c r="G241" s="272"/>
      <c r="H241" s="272"/>
      <c r="I241" s="272"/>
      <c r="J241" s="272"/>
      <c r="K241" s="273"/>
      <c r="L241" s="28"/>
      <c r="M241" s="397">
        <v>7</v>
      </c>
      <c r="N241" s="317">
        <v>2.4</v>
      </c>
      <c r="O241" s="28"/>
      <c r="P241" s="28"/>
      <c r="Q241" s="28"/>
    </row>
    <row r="242" spans="2:17" x14ac:dyDescent="0.3">
      <c r="C242" s="290" t="s">
        <v>374</v>
      </c>
      <c r="D242" s="272"/>
      <c r="E242" s="272"/>
      <c r="F242" s="402">
        <f>H53/100</f>
        <v>4</v>
      </c>
      <c r="G242" s="272" t="s">
        <v>304</v>
      </c>
      <c r="H242" s="272"/>
      <c r="I242" s="272"/>
      <c r="J242" s="272"/>
      <c r="K242" s="273"/>
      <c r="L242" s="28"/>
      <c r="M242" s="397">
        <v>8</v>
      </c>
      <c r="N242" s="317">
        <v>1.82</v>
      </c>
      <c r="O242" s="28"/>
      <c r="P242" s="28"/>
      <c r="Q242" s="28"/>
    </row>
    <row r="243" spans="2:17" x14ac:dyDescent="0.3">
      <c r="B243">
        <f>+F243/6</f>
        <v>6.666666666666667</v>
      </c>
      <c r="C243" s="288" t="s">
        <v>375</v>
      </c>
      <c r="D243" s="260"/>
      <c r="E243" s="260"/>
      <c r="F243" s="200">
        <f>(F242*C131)+(F242*C132)</f>
        <v>40</v>
      </c>
      <c r="G243" s="260" t="s">
        <v>376</v>
      </c>
      <c r="H243" s="260"/>
      <c r="I243" s="260"/>
      <c r="J243" s="260"/>
      <c r="K243" s="289"/>
      <c r="L243" s="28"/>
      <c r="M243" s="397">
        <v>9</v>
      </c>
      <c r="N243" s="317">
        <v>1.44</v>
      </c>
      <c r="O243" s="28"/>
      <c r="P243" s="28"/>
      <c r="Q243" s="28"/>
    </row>
    <row r="244" spans="2:17" x14ac:dyDescent="0.3">
      <c r="B244">
        <f>+B243/12</f>
        <v>0.55555555555555558</v>
      </c>
      <c r="C244" s="288" t="s">
        <v>377</v>
      </c>
      <c r="D244" s="260"/>
      <c r="E244" s="260"/>
      <c r="F244" s="398">
        <f>+B245</f>
        <v>2.2222222222222223</v>
      </c>
      <c r="G244" s="260" t="s">
        <v>378</v>
      </c>
      <c r="H244" s="260"/>
      <c r="I244" s="403">
        <f>F131</f>
        <v>8</v>
      </c>
      <c r="J244" s="260" t="s">
        <v>379</v>
      </c>
      <c r="K244" s="289"/>
      <c r="L244" s="28"/>
      <c r="M244" s="397">
        <v>10</v>
      </c>
      <c r="N244" s="332"/>
      <c r="O244" s="28"/>
      <c r="P244" s="28"/>
      <c r="Q244" s="28"/>
    </row>
    <row r="245" spans="2:17" x14ac:dyDescent="0.3">
      <c r="B245">
        <f>+B244*4</f>
        <v>2.2222222222222223</v>
      </c>
      <c r="C245" s="288"/>
      <c r="D245" s="260"/>
      <c r="E245" s="260"/>
      <c r="F245" s="398">
        <f>+B246</f>
        <v>4.4444444444444446</v>
      </c>
      <c r="G245" s="260" t="s">
        <v>378</v>
      </c>
      <c r="H245" s="260"/>
      <c r="I245" s="403">
        <f>F132</f>
        <v>9</v>
      </c>
      <c r="J245" s="260"/>
      <c r="K245" s="289"/>
      <c r="L245" s="28"/>
      <c r="M245" s="397">
        <v>11</v>
      </c>
      <c r="N245" s="332"/>
      <c r="O245" s="28"/>
      <c r="P245" s="28"/>
      <c r="Q245" s="28"/>
    </row>
    <row r="246" spans="2:17" ht="15" thickBot="1" x14ac:dyDescent="0.35">
      <c r="B246" s="232">
        <f>+B243-B245</f>
        <v>4.4444444444444446</v>
      </c>
      <c r="C246" s="288" t="s">
        <v>380</v>
      </c>
      <c r="D246" s="260"/>
      <c r="E246" s="260"/>
      <c r="F246" s="260"/>
      <c r="G246" s="362">
        <f>I244</f>
        <v>8</v>
      </c>
      <c r="H246" s="400">
        <f>LOOKUP(G246,M236:N246)</f>
        <v>1.82</v>
      </c>
      <c r="I246" s="260" t="str">
        <f>IF(H246&gt;0,"Ingresado ","aun no a ingresado un numero de varillas/qq")</f>
        <v xml:space="preserve">Ingresado </v>
      </c>
      <c r="J246" s="260"/>
      <c r="K246" s="289"/>
      <c r="L246" s="28"/>
      <c r="M246" s="404">
        <v>12</v>
      </c>
      <c r="N246" s="405"/>
      <c r="O246" s="28"/>
      <c r="P246" s="28"/>
      <c r="Q246" s="28"/>
    </row>
    <row r="247" spans="2:17" x14ac:dyDescent="0.3">
      <c r="C247" s="288" t="s">
        <v>380</v>
      </c>
      <c r="D247" s="260"/>
      <c r="E247" s="260"/>
      <c r="F247" s="260"/>
      <c r="G247" s="362">
        <f>I245</f>
        <v>9</v>
      </c>
      <c r="H247" s="400">
        <f>LOOKUP(G247,M236:N246)</f>
        <v>1.44</v>
      </c>
      <c r="I247" s="260" t="str">
        <f>IF(H247&gt;0,"Ingresado ","aun no a ingresado un numero de varillas/qq")</f>
        <v xml:space="preserve">Ingresado </v>
      </c>
      <c r="J247" s="260"/>
      <c r="K247" s="289"/>
      <c r="L247" s="28"/>
      <c r="M247" s="28"/>
      <c r="N247" s="28"/>
      <c r="O247" s="28"/>
      <c r="P247" s="28"/>
      <c r="Q247" s="28"/>
    </row>
    <row r="248" spans="2:17" x14ac:dyDescent="0.3">
      <c r="C248" s="300" t="s">
        <v>372</v>
      </c>
      <c r="D248" s="277"/>
      <c r="E248" s="277"/>
      <c r="F248" s="401">
        <f>(F244/H246)+(F245/H247)</f>
        <v>4.3074209740876412</v>
      </c>
      <c r="G248" s="277" t="s">
        <v>381</v>
      </c>
      <c r="H248" s="277"/>
      <c r="I248" s="277"/>
      <c r="J248" s="277"/>
      <c r="K248" s="293"/>
      <c r="L248" s="28"/>
      <c r="M248" s="28"/>
      <c r="N248" s="28"/>
      <c r="O248" s="28"/>
      <c r="P248" s="28"/>
      <c r="Q248" s="28"/>
    </row>
    <row r="249" spans="2:17" x14ac:dyDescent="0.3">
      <c r="C249" s="260"/>
      <c r="D249" s="260"/>
      <c r="E249" s="260"/>
      <c r="F249" s="260"/>
      <c r="G249" s="260"/>
      <c r="H249" s="260"/>
      <c r="I249" s="260"/>
      <c r="J249" s="28"/>
      <c r="K249" s="28"/>
      <c r="L249" s="28"/>
      <c r="M249" s="28"/>
      <c r="N249" s="28"/>
      <c r="O249" s="28"/>
      <c r="P249" s="28"/>
      <c r="Q249" s="28"/>
    </row>
    <row r="250" spans="2:17" ht="15.6" x14ac:dyDescent="0.3">
      <c r="C250" s="406" t="s">
        <v>382</v>
      </c>
      <c r="D250" s="407"/>
      <c r="E250" s="408">
        <f>F240+F248</f>
        <v>5.6095742556826602</v>
      </c>
      <c r="F250" s="407" t="s">
        <v>383</v>
      </c>
      <c r="G250" s="407"/>
      <c r="H250" s="407"/>
      <c r="I250" s="409"/>
      <c r="J250" s="28"/>
      <c r="K250" s="28"/>
      <c r="L250" s="28"/>
      <c r="M250" s="28"/>
      <c r="N250" s="28"/>
      <c r="O250" s="28"/>
      <c r="P250" s="28"/>
      <c r="Q250" s="28"/>
    </row>
    <row r="251" spans="2:17" ht="15.6" x14ac:dyDescent="0.3">
      <c r="C251" s="410" t="s">
        <v>384</v>
      </c>
      <c r="D251" s="411"/>
      <c r="E251" s="412">
        <f>(H48/100)*(H49/100)*(H53/100)</f>
        <v>2.25</v>
      </c>
      <c r="F251" s="411" t="s">
        <v>385</v>
      </c>
      <c r="G251" s="411"/>
      <c r="H251" s="411"/>
      <c r="I251" s="413"/>
      <c r="J251" s="28"/>
      <c r="K251" s="28"/>
      <c r="L251" s="28"/>
      <c r="M251" s="28"/>
      <c r="N251" s="28"/>
      <c r="O251" s="28"/>
      <c r="P251" s="28"/>
      <c r="Q251" s="28"/>
    </row>
    <row r="252" spans="2:17" x14ac:dyDescent="0.3"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</row>
    <row r="253" spans="2:17" x14ac:dyDescent="0.3"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</row>
    <row r="254" spans="2:17" x14ac:dyDescent="0.3">
      <c r="C254" s="28" t="s">
        <v>386</v>
      </c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</row>
    <row r="255" spans="2:17" x14ac:dyDescent="0.3">
      <c r="C255" s="360" t="s">
        <v>185</v>
      </c>
      <c r="D255" s="200">
        <f>D47</f>
        <v>210</v>
      </c>
      <c r="E255" s="279" t="s">
        <v>387</v>
      </c>
      <c r="F255" s="28" t="s">
        <v>388</v>
      </c>
      <c r="G255" s="28"/>
      <c r="H255" s="28"/>
      <c r="I255" s="28"/>
      <c r="J255" s="168">
        <v>4000</v>
      </c>
      <c r="K255" s="28" t="s">
        <v>389</v>
      </c>
      <c r="L255" s="28"/>
      <c r="M255" s="28"/>
      <c r="N255" s="28"/>
      <c r="O255" s="28"/>
      <c r="P255" s="28"/>
      <c r="Q255" s="28"/>
    </row>
    <row r="256" spans="2:17" x14ac:dyDescent="0.3">
      <c r="C256" s="360" t="s">
        <v>186</v>
      </c>
      <c r="D256" s="200">
        <f>D48</f>
        <v>2810</v>
      </c>
      <c r="E256" s="279" t="s">
        <v>387</v>
      </c>
      <c r="F256" s="28" t="s">
        <v>390</v>
      </c>
      <c r="G256" s="28"/>
      <c r="H256" s="28"/>
      <c r="I256" s="28"/>
      <c r="J256" s="168">
        <v>40</v>
      </c>
      <c r="K256" s="28"/>
      <c r="L256" s="28"/>
      <c r="M256" s="28"/>
      <c r="N256" s="28"/>
      <c r="O256" s="28"/>
      <c r="P256" s="28"/>
      <c r="Q256" s="28"/>
    </row>
    <row r="257" spans="3:17" x14ac:dyDescent="0.3"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</row>
    <row r="258" spans="3:17" x14ac:dyDescent="0.3">
      <c r="C258" s="28" t="s">
        <v>391</v>
      </c>
      <c r="D258" s="28"/>
      <c r="E258" s="414">
        <f>J255</f>
        <v>4000</v>
      </c>
      <c r="F258" s="28" t="str">
        <f>K255</f>
        <v>PSI</v>
      </c>
      <c r="G258" s="168" t="s">
        <v>392</v>
      </c>
      <c r="H258" s="415">
        <v>1260</v>
      </c>
      <c r="I258" s="28" t="s">
        <v>393</v>
      </c>
      <c r="J258" s="28"/>
      <c r="K258" s="28" t="str">
        <f>IF(H258&gt;=0,"Ingresado ","aun no a ingresado un precio")</f>
        <v xml:space="preserve">Ingresado </v>
      </c>
      <c r="L258" s="28"/>
      <c r="M258" s="28"/>
      <c r="N258" s="28"/>
      <c r="O258" s="28"/>
      <c r="P258" s="28"/>
      <c r="Q258" s="28"/>
    </row>
    <row r="259" spans="3:17" x14ac:dyDescent="0.3">
      <c r="C259" s="28" t="s">
        <v>394</v>
      </c>
      <c r="D259" s="28"/>
      <c r="E259" s="414">
        <f>J256</f>
        <v>40</v>
      </c>
      <c r="F259" s="28"/>
      <c r="G259" s="168" t="s">
        <v>392</v>
      </c>
      <c r="H259" s="415">
        <v>490</v>
      </c>
      <c r="I259" s="28" t="s">
        <v>395</v>
      </c>
      <c r="J259" s="28"/>
      <c r="K259" s="28" t="str">
        <f>IF(H259&gt;=0,"Ingresado ","aun no a ingresado un precio")</f>
        <v xml:space="preserve">Ingresado </v>
      </c>
      <c r="L259" s="28"/>
      <c r="M259" s="28"/>
      <c r="N259" s="28"/>
      <c r="O259" s="28"/>
      <c r="P259" s="28"/>
      <c r="Q259" s="28"/>
    </row>
    <row r="260" spans="3:17" x14ac:dyDescent="0.3"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</row>
    <row r="261" spans="3:17" ht="18" x14ac:dyDescent="0.35">
      <c r="C261" s="416" t="s">
        <v>396</v>
      </c>
      <c r="D261" s="416"/>
      <c r="E261" s="416"/>
      <c r="F261" s="416"/>
      <c r="G261" s="416"/>
      <c r="H261" s="28"/>
      <c r="I261" s="28"/>
      <c r="J261" s="417">
        <f>H259*E250</f>
        <v>2748.6913852845037</v>
      </c>
      <c r="K261" s="28"/>
      <c r="L261" s="28"/>
      <c r="M261" s="28"/>
      <c r="N261" s="28"/>
      <c r="O261" s="28"/>
      <c r="P261" s="28"/>
      <c r="Q261" s="28"/>
    </row>
    <row r="262" spans="3:17" ht="18.600000000000001" thickBot="1" x14ac:dyDescent="0.4">
      <c r="C262" s="416" t="s">
        <v>397</v>
      </c>
      <c r="D262" s="416"/>
      <c r="E262" s="416"/>
      <c r="F262" s="416"/>
      <c r="G262" s="416"/>
      <c r="H262" s="28"/>
      <c r="I262" s="28"/>
      <c r="J262" s="418">
        <f>H258*E251</f>
        <v>2835</v>
      </c>
      <c r="K262" s="28"/>
      <c r="L262" s="28"/>
      <c r="M262" s="28"/>
      <c r="N262" s="28"/>
      <c r="O262" s="28"/>
      <c r="P262" s="28"/>
      <c r="Q262" s="28"/>
    </row>
    <row r="263" spans="3:17" ht="21.6" thickTop="1" x14ac:dyDescent="0.4">
      <c r="C263" s="416" t="s">
        <v>398</v>
      </c>
      <c r="D263" s="28"/>
      <c r="E263" s="28"/>
      <c r="F263" s="28"/>
      <c r="G263" s="28"/>
      <c r="H263" s="28"/>
      <c r="I263" s="28"/>
      <c r="J263" s="419">
        <f>SUM(J261:J262)</f>
        <v>5583.6913852845037</v>
      </c>
      <c r="K263" s="28"/>
      <c r="L263" s="28"/>
      <c r="M263" s="28"/>
      <c r="N263" s="28"/>
      <c r="O263" s="28"/>
      <c r="P263" s="28"/>
      <c r="Q263" s="28"/>
    </row>
  </sheetData>
  <mergeCells count="6">
    <mergeCell ref="C22:D22"/>
    <mergeCell ref="C3:F3"/>
    <mergeCell ref="G3:J3"/>
    <mergeCell ref="K3:N3"/>
    <mergeCell ref="B5:B15"/>
    <mergeCell ref="B16:B21"/>
  </mergeCells>
  <pageMargins left="0.7" right="0.7" top="0.75" bottom="0.75" header="0.3" footer="0.3"/>
  <pageSetup scale="53" fitToHeight="0" orientation="landscape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263"/>
  <sheetViews>
    <sheetView workbookViewId="0">
      <selection activeCell="F1" sqref="F1"/>
    </sheetView>
  </sheetViews>
  <sheetFormatPr baseColWidth="10" defaultRowHeight="14.4" x14ac:dyDescent="0.3"/>
  <cols>
    <col min="3" max="3" width="13.33203125" customWidth="1"/>
    <col min="4" max="4" width="14.44140625" customWidth="1"/>
    <col min="5" max="5" width="18.6640625" customWidth="1"/>
    <col min="6" max="6" width="21.88671875" customWidth="1"/>
  </cols>
  <sheetData>
    <row r="2" spans="2:15" ht="23.4" x14ac:dyDescent="0.45">
      <c r="F2" s="255" t="s">
        <v>164</v>
      </c>
    </row>
    <row r="3" spans="2:15" x14ac:dyDescent="0.3">
      <c r="C3" s="588"/>
      <c r="D3" s="588"/>
      <c r="E3" s="588"/>
      <c r="F3" s="588"/>
      <c r="G3" s="588"/>
      <c r="H3" s="588"/>
      <c r="I3" s="588"/>
      <c r="J3" s="588"/>
      <c r="K3" s="588"/>
      <c r="L3" s="588"/>
      <c r="M3" s="588"/>
      <c r="N3" s="588"/>
    </row>
    <row r="4" spans="2:15" ht="18.600000000000001" thickBot="1" x14ac:dyDescent="0.4">
      <c r="B4" s="207"/>
      <c r="C4" s="207"/>
      <c r="D4" s="207"/>
      <c r="E4" s="207"/>
      <c r="F4" s="207"/>
      <c r="G4" s="207"/>
      <c r="H4" s="514"/>
      <c r="I4" s="99"/>
      <c r="K4" s="256"/>
      <c r="M4" s="102"/>
      <c r="N4" s="256"/>
      <c r="O4" s="144"/>
    </row>
    <row r="5" spans="2:15" ht="18" x14ac:dyDescent="0.35">
      <c r="B5" s="566">
        <v>7.5</v>
      </c>
      <c r="C5" s="510" t="s">
        <v>165</v>
      </c>
      <c r="D5" s="490"/>
      <c r="E5" s="511" t="s">
        <v>166</v>
      </c>
      <c r="F5" s="511" t="s">
        <v>167</v>
      </c>
      <c r="G5" s="516" t="s">
        <v>168</v>
      </c>
      <c r="H5" s="209"/>
      <c r="I5" s="100"/>
    </row>
    <row r="6" spans="2:15" x14ac:dyDescent="0.3">
      <c r="B6" s="567"/>
      <c r="C6" s="486"/>
      <c r="D6" s="491"/>
      <c r="E6" s="496"/>
      <c r="F6" s="496"/>
      <c r="G6" s="479"/>
      <c r="H6" s="103"/>
      <c r="I6" s="103"/>
    </row>
    <row r="7" spans="2:15" x14ac:dyDescent="0.3">
      <c r="B7" s="567"/>
      <c r="C7" s="486"/>
      <c r="D7" s="491"/>
      <c r="E7" s="496"/>
      <c r="F7" s="496"/>
      <c r="G7" s="479"/>
      <c r="H7" s="103"/>
      <c r="I7" s="104"/>
    </row>
    <row r="8" spans="2:15" x14ac:dyDescent="0.3">
      <c r="B8" s="567"/>
      <c r="C8" s="486"/>
      <c r="D8" s="491"/>
      <c r="E8" s="496"/>
      <c r="F8" s="496"/>
      <c r="G8" s="479"/>
      <c r="H8" s="103"/>
      <c r="I8" s="103"/>
    </row>
    <row r="9" spans="2:15" ht="18" x14ac:dyDescent="0.35">
      <c r="B9" s="567"/>
      <c r="C9" s="486"/>
      <c r="D9" s="491"/>
      <c r="E9" s="496"/>
      <c r="F9" s="496"/>
      <c r="G9" s="479"/>
      <c r="H9" s="210"/>
      <c r="I9" s="103"/>
    </row>
    <row r="10" spans="2:15" x14ac:dyDescent="0.3">
      <c r="B10" s="567"/>
      <c r="C10" s="486"/>
      <c r="D10" s="491"/>
      <c r="E10" s="496"/>
      <c r="F10" s="496"/>
      <c r="G10" s="479"/>
      <c r="H10" s="103"/>
      <c r="I10" s="103"/>
      <c r="K10" s="102"/>
      <c r="O10" s="102"/>
    </row>
    <row r="11" spans="2:15" x14ac:dyDescent="0.3">
      <c r="B11" s="567"/>
      <c r="C11" s="486"/>
      <c r="D11" s="491"/>
      <c r="E11" s="496"/>
      <c r="F11" s="496"/>
      <c r="G11" s="479"/>
      <c r="H11" s="100"/>
      <c r="I11" s="100"/>
    </row>
    <row r="12" spans="2:15" x14ac:dyDescent="0.3">
      <c r="B12" s="567"/>
      <c r="C12" s="486"/>
      <c r="D12" s="491"/>
      <c r="E12" s="496"/>
      <c r="F12" s="496"/>
      <c r="G12" s="479"/>
      <c r="H12" s="103"/>
      <c r="I12" s="103"/>
    </row>
    <row r="13" spans="2:15" x14ac:dyDescent="0.3">
      <c r="B13" s="567"/>
      <c r="C13" s="486"/>
      <c r="D13" s="491"/>
      <c r="E13" s="496"/>
      <c r="F13" s="496"/>
      <c r="G13" s="479"/>
      <c r="H13" s="103"/>
      <c r="I13" s="103"/>
    </row>
    <row r="14" spans="2:15" ht="18" x14ac:dyDescent="0.35">
      <c r="B14" s="567"/>
      <c r="C14" s="486"/>
      <c r="D14" s="491"/>
      <c r="E14" s="496"/>
      <c r="F14" s="496"/>
      <c r="G14" s="479"/>
      <c r="H14" s="210"/>
      <c r="I14" s="103"/>
    </row>
    <row r="15" spans="2:15" ht="15" thickBot="1" x14ac:dyDescent="0.35">
      <c r="B15" s="568"/>
      <c r="C15" s="487" t="s">
        <v>169</v>
      </c>
      <c r="D15" s="492"/>
      <c r="E15" s="512" t="s">
        <v>170</v>
      </c>
      <c r="F15" s="512" t="s">
        <v>171</v>
      </c>
      <c r="G15" s="516" t="s">
        <v>172</v>
      </c>
      <c r="H15" s="103"/>
      <c r="I15" s="103"/>
    </row>
    <row r="16" spans="2:15" ht="18" x14ac:dyDescent="0.35">
      <c r="B16" s="566">
        <v>7.5</v>
      </c>
      <c r="C16" s="488"/>
      <c r="D16" s="493"/>
      <c r="E16" s="511"/>
      <c r="F16" s="511"/>
      <c r="G16" s="479"/>
      <c r="H16" s="103"/>
      <c r="I16" s="103"/>
      <c r="K16" s="256"/>
      <c r="N16" s="256"/>
      <c r="O16" s="144"/>
    </row>
    <row r="17" spans="2:15" x14ac:dyDescent="0.3">
      <c r="B17" s="567"/>
      <c r="C17" s="489"/>
      <c r="D17" s="494"/>
      <c r="E17" s="496"/>
      <c r="F17" s="496"/>
      <c r="G17" s="479"/>
      <c r="H17" s="103"/>
      <c r="I17" s="103"/>
      <c r="M17" s="102"/>
    </row>
    <row r="18" spans="2:15" x14ac:dyDescent="0.3">
      <c r="B18" s="567"/>
      <c r="C18" s="489"/>
      <c r="D18" s="494"/>
      <c r="E18" s="496"/>
      <c r="F18" s="496"/>
      <c r="G18" s="515"/>
      <c r="H18" s="100"/>
      <c r="I18" s="100"/>
    </row>
    <row r="19" spans="2:15" ht="18" x14ac:dyDescent="0.35">
      <c r="B19" s="567"/>
      <c r="C19" s="489"/>
      <c r="D19" s="494"/>
      <c r="E19" s="496"/>
      <c r="F19" s="496"/>
      <c r="G19" s="479"/>
      <c r="H19" s="210"/>
      <c r="I19" s="103"/>
    </row>
    <row r="20" spans="2:15" x14ac:dyDescent="0.3">
      <c r="B20" s="567"/>
      <c r="C20" s="489"/>
      <c r="D20" s="494"/>
      <c r="E20" s="496"/>
      <c r="F20" s="496"/>
      <c r="G20" s="479"/>
      <c r="H20" s="103"/>
      <c r="I20" s="103"/>
      <c r="K20" s="102"/>
      <c r="O20" s="102"/>
    </row>
    <row r="21" spans="2:15" ht="15" thickBot="1" x14ac:dyDescent="0.35">
      <c r="B21" s="568"/>
      <c r="C21" s="513" t="s">
        <v>173</v>
      </c>
      <c r="D21" s="495"/>
      <c r="E21" s="512" t="s">
        <v>174</v>
      </c>
      <c r="F21" s="512" t="s">
        <v>175</v>
      </c>
      <c r="G21" s="515" t="s">
        <v>176</v>
      </c>
      <c r="H21" s="103"/>
      <c r="I21" s="103"/>
    </row>
    <row r="22" spans="2:15" x14ac:dyDescent="0.3">
      <c r="B22" s="457"/>
      <c r="C22" s="569">
        <v>7.5</v>
      </c>
      <c r="D22" s="569"/>
      <c r="E22" s="458">
        <v>7.5</v>
      </c>
      <c r="F22" s="458">
        <v>7.5</v>
      </c>
      <c r="H22" s="103"/>
      <c r="I22" s="103"/>
    </row>
    <row r="23" spans="2:15" ht="18" x14ac:dyDescent="0.35">
      <c r="B23" s="457"/>
      <c r="C23" s="457"/>
      <c r="D23" s="457"/>
      <c r="E23" s="457"/>
      <c r="F23" s="457"/>
      <c r="G23" s="457"/>
      <c r="H23" s="103"/>
      <c r="I23" s="103"/>
      <c r="K23" s="256"/>
      <c r="N23" s="256"/>
      <c r="O23" s="144"/>
    </row>
    <row r="24" spans="2:15" ht="18" x14ac:dyDescent="0.35">
      <c r="B24" s="457"/>
      <c r="C24" s="457"/>
      <c r="D24" s="457"/>
      <c r="E24" s="457"/>
      <c r="F24" s="457"/>
      <c r="G24" s="457"/>
      <c r="H24" s="210"/>
      <c r="I24" s="103"/>
      <c r="K24" s="144"/>
      <c r="M24" s="102"/>
      <c r="N24" s="144"/>
      <c r="O24" s="144"/>
    </row>
    <row r="25" spans="2:15" ht="18" x14ac:dyDescent="0.35">
      <c r="B25" s="101"/>
      <c r="C25" s="507"/>
      <c r="D25" s="431"/>
      <c r="E25" s="506"/>
      <c r="F25" s="431"/>
      <c r="G25" s="506"/>
      <c r="H25" s="210"/>
      <c r="I25" s="100"/>
    </row>
    <row r="26" spans="2:15" x14ac:dyDescent="0.3">
      <c r="C26" s="61"/>
      <c r="D26" s="61"/>
      <c r="E26" s="61"/>
      <c r="F26" s="61"/>
      <c r="G26" s="61"/>
      <c r="H26" s="420"/>
      <c r="I26" s="10"/>
    </row>
    <row r="27" spans="2:15" x14ac:dyDescent="0.3">
      <c r="H27" s="138"/>
    </row>
    <row r="32" spans="2:15" ht="36.6" x14ac:dyDescent="0.7">
      <c r="C32" s="257"/>
    </row>
    <row r="34" spans="3:17" ht="37.200000000000003" thickBot="1" x14ac:dyDescent="0.75">
      <c r="C34" s="258" t="s">
        <v>177</v>
      </c>
      <c r="D34" s="259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</row>
    <row r="35" spans="3:17" x14ac:dyDescent="0.3">
      <c r="C35" s="260"/>
      <c r="D35" s="261" t="s">
        <v>178</v>
      </c>
      <c r="E35" s="262"/>
      <c r="F35" s="28"/>
      <c r="G35" s="261" t="s">
        <v>179</v>
      </c>
      <c r="H35" s="262"/>
      <c r="I35" s="28"/>
      <c r="J35" s="261" t="s">
        <v>180</v>
      </c>
      <c r="K35" s="262"/>
      <c r="L35" s="28"/>
      <c r="M35" s="28"/>
      <c r="N35" s="28"/>
      <c r="O35" s="28"/>
      <c r="P35" s="28"/>
      <c r="Q35" s="28"/>
    </row>
    <row r="36" spans="3:17" ht="15.6" x14ac:dyDescent="0.3">
      <c r="C36" s="260"/>
      <c r="D36" s="263" t="s">
        <v>181</v>
      </c>
      <c r="E36" s="264"/>
      <c r="F36" s="28"/>
      <c r="G36" s="265"/>
      <c r="H36" s="264"/>
      <c r="I36" s="28"/>
      <c r="J36" s="265"/>
      <c r="K36" s="264"/>
      <c r="L36" s="28"/>
      <c r="M36" s="28"/>
      <c r="N36" s="28"/>
      <c r="O36" s="28"/>
      <c r="P36" s="28"/>
      <c r="Q36" s="28"/>
    </row>
    <row r="37" spans="3:17" ht="15.6" x14ac:dyDescent="0.3">
      <c r="C37" s="260"/>
      <c r="D37" s="265"/>
      <c r="E37" s="264"/>
      <c r="F37" s="28"/>
      <c r="G37" s="265"/>
      <c r="H37" s="266">
        <f>H49</f>
        <v>75</v>
      </c>
      <c r="I37" s="28"/>
      <c r="J37" s="265"/>
      <c r="K37" s="266">
        <f>D51</f>
        <v>60</v>
      </c>
      <c r="L37" s="28"/>
      <c r="M37" s="28"/>
      <c r="N37" s="28"/>
      <c r="O37" s="28"/>
      <c r="P37" s="28"/>
      <c r="Q37" s="28"/>
    </row>
    <row r="38" spans="3:17" x14ac:dyDescent="0.3">
      <c r="C38" s="260"/>
      <c r="D38" s="265"/>
      <c r="E38" s="264"/>
      <c r="F38" s="28"/>
      <c r="G38" s="265"/>
      <c r="H38" s="264"/>
      <c r="I38" s="28"/>
      <c r="J38" s="265"/>
      <c r="K38" s="264"/>
      <c r="L38" s="28"/>
      <c r="M38" s="28"/>
      <c r="N38" s="28"/>
      <c r="O38" s="28"/>
      <c r="P38" s="28"/>
      <c r="Q38" s="28"/>
    </row>
    <row r="39" spans="3:17" ht="16.2" thickBot="1" x14ac:dyDescent="0.35">
      <c r="C39" s="260"/>
      <c r="D39" s="267"/>
      <c r="E39" s="268" t="s">
        <v>182</v>
      </c>
      <c r="F39" s="28"/>
      <c r="G39" s="265"/>
      <c r="H39" s="264"/>
      <c r="I39" s="28"/>
      <c r="J39" s="265"/>
      <c r="K39" s="264"/>
      <c r="L39" s="28"/>
      <c r="M39" s="28"/>
      <c r="N39" s="28"/>
      <c r="O39" s="28"/>
      <c r="P39" s="28"/>
      <c r="Q39" s="28"/>
    </row>
    <row r="40" spans="3:17" x14ac:dyDescent="0.3">
      <c r="C40" s="28"/>
      <c r="D40" s="28"/>
      <c r="E40" s="28"/>
      <c r="F40" s="28"/>
      <c r="G40" s="265"/>
      <c r="H40" s="264"/>
      <c r="I40" s="28"/>
      <c r="J40" s="265"/>
      <c r="K40" s="264"/>
      <c r="L40" s="28"/>
      <c r="M40" s="28"/>
      <c r="N40" s="28"/>
      <c r="O40" s="28"/>
      <c r="P40" s="28"/>
      <c r="Q40" s="28"/>
    </row>
    <row r="41" spans="3:17" ht="16.2" thickBot="1" x14ac:dyDescent="0.35">
      <c r="C41" s="28"/>
      <c r="D41" s="28"/>
      <c r="E41" s="28"/>
      <c r="F41" s="28"/>
      <c r="G41" s="269">
        <f>H48</f>
        <v>75</v>
      </c>
      <c r="H41" s="270"/>
      <c r="I41" s="28"/>
      <c r="J41" s="269">
        <f>D50</f>
        <v>40</v>
      </c>
      <c r="K41" s="270"/>
      <c r="L41" s="28"/>
      <c r="M41" s="28"/>
      <c r="N41" s="28"/>
      <c r="O41" s="28"/>
      <c r="P41" s="28"/>
      <c r="Q41" s="28"/>
    </row>
    <row r="42" spans="3:17" ht="36.6" x14ac:dyDescent="0.7">
      <c r="C42" s="28"/>
      <c r="D42" s="257" t="s">
        <v>519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</row>
    <row r="43" spans="3:17" x14ac:dyDescent="0.3"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</row>
    <row r="44" spans="3:17" x14ac:dyDescent="0.3"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</row>
    <row r="45" spans="3:17" x14ac:dyDescent="0.3"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</row>
    <row r="46" spans="3:17" x14ac:dyDescent="0.3">
      <c r="C46" s="271" t="s">
        <v>183</v>
      </c>
      <c r="D46" s="272"/>
      <c r="E46" s="273"/>
      <c r="F46" s="28"/>
      <c r="G46" s="271" t="s">
        <v>184</v>
      </c>
      <c r="H46" s="272"/>
      <c r="I46" s="273"/>
      <c r="J46" s="28"/>
      <c r="K46" s="28"/>
      <c r="L46" s="28"/>
      <c r="M46" s="28"/>
      <c r="N46" s="28"/>
      <c r="O46" s="28"/>
      <c r="P46" s="28"/>
      <c r="Q46" s="28"/>
    </row>
    <row r="47" spans="3:17" x14ac:dyDescent="0.3">
      <c r="C47" s="274" t="s">
        <v>185</v>
      </c>
      <c r="D47" s="260">
        <v>210</v>
      </c>
      <c r="E47" s="275" t="s">
        <v>116</v>
      </c>
      <c r="F47" s="28"/>
      <c r="G47" s="271"/>
      <c r="H47" s="272"/>
      <c r="I47" s="273"/>
      <c r="J47" s="28"/>
      <c r="K47" s="28"/>
      <c r="L47" s="28"/>
      <c r="M47" s="28"/>
      <c r="N47" s="28"/>
      <c r="O47" s="28"/>
      <c r="P47" s="28"/>
      <c r="Q47" s="28"/>
    </row>
    <row r="48" spans="3:17" x14ac:dyDescent="0.3">
      <c r="C48" s="274" t="s">
        <v>186</v>
      </c>
      <c r="D48" s="260">
        <v>2810</v>
      </c>
      <c r="E48" s="275" t="s">
        <v>116</v>
      </c>
      <c r="F48" s="28"/>
      <c r="G48" s="274" t="s">
        <v>187</v>
      </c>
      <c r="H48" s="260">
        <v>75</v>
      </c>
      <c r="I48" s="275" t="s">
        <v>188</v>
      </c>
      <c r="J48" s="28"/>
      <c r="K48" s="28"/>
      <c r="L48" s="28"/>
      <c r="M48" s="28"/>
      <c r="N48" s="28"/>
      <c r="O48" s="28"/>
      <c r="P48" s="28"/>
      <c r="Q48" s="28"/>
    </row>
    <row r="49" spans="3:17" x14ac:dyDescent="0.3">
      <c r="C49" s="274" t="s">
        <v>189</v>
      </c>
      <c r="D49" s="260"/>
      <c r="E49" s="275"/>
      <c r="F49" s="28"/>
      <c r="G49" s="276" t="s">
        <v>190</v>
      </c>
      <c r="H49" s="277">
        <v>75</v>
      </c>
      <c r="I49" s="278" t="s">
        <v>188</v>
      </c>
      <c r="J49" s="28"/>
      <c r="K49" s="28"/>
      <c r="L49" s="28"/>
      <c r="M49" s="28"/>
      <c r="N49" s="28"/>
      <c r="O49" s="28"/>
      <c r="P49" s="28"/>
      <c r="Q49" s="28"/>
    </row>
    <row r="50" spans="3:17" x14ac:dyDescent="0.3">
      <c r="C50" s="274" t="s">
        <v>187</v>
      </c>
      <c r="D50" s="260">
        <v>40</v>
      </c>
      <c r="E50" s="275" t="s">
        <v>188</v>
      </c>
      <c r="F50" s="28"/>
      <c r="G50" s="274" t="s">
        <v>191</v>
      </c>
      <c r="H50" s="279"/>
      <c r="I50" s="275"/>
      <c r="J50" s="28"/>
      <c r="K50" s="28"/>
      <c r="L50" s="28"/>
      <c r="M50" s="28"/>
      <c r="N50" s="28"/>
      <c r="O50" s="28"/>
      <c r="P50" s="28"/>
      <c r="Q50" s="28"/>
    </row>
    <row r="51" spans="3:17" x14ac:dyDescent="0.3">
      <c r="C51" s="274" t="s">
        <v>190</v>
      </c>
      <c r="D51" s="260">
        <v>60</v>
      </c>
      <c r="E51" s="275" t="s">
        <v>188</v>
      </c>
      <c r="F51" s="28"/>
      <c r="G51" s="276" t="s">
        <v>192</v>
      </c>
      <c r="H51" s="277">
        <v>400</v>
      </c>
      <c r="I51" s="278" t="s">
        <v>188</v>
      </c>
      <c r="J51" s="28"/>
      <c r="K51" s="28"/>
      <c r="L51" s="28"/>
      <c r="M51" s="28"/>
      <c r="N51" s="28"/>
      <c r="O51" s="28"/>
      <c r="P51" s="28"/>
      <c r="Q51" s="28"/>
    </row>
    <row r="52" spans="3:17" x14ac:dyDescent="0.3">
      <c r="C52" s="274" t="s">
        <v>193</v>
      </c>
      <c r="D52" s="280">
        <f>+-CROSS!H75</f>
        <v>2292.4152670202693</v>
      </c>
      <c r="E52" s="275" t="s">
        <v>194</v>
      </c>
      <c r="F52" s="28"/>
      <c r="G52" s="281" t="s">
        <v>195</v>
      </c>
      <c r="H52" s="281"/>
      <c r="I52" s="282"/>
      <c r="J52" s="28"/>
      <c r="K52" s="28"/>
      <c r="L52" s="28"/>
      <c r="M52" s="28"/>
      <c r="N52" s="28"/>
      <c r="O52" s="28"/>
      <c r="P52" s="28"/>
      <c r="Q52" s="28"/>
    </row>
    <row r="53" spans="3:17" x14ac:dyDescent="0.3">
      <c r="C53" s="274" t="s">
        <v>196</v>
      </c>
      <c r="D53" s="280">
        <f>+CROSS!V112</f>
        <v>10539.145002307701</v>
      </c>
      <c r="E53" s="275" t="s">
        <v>194</v>
      </c>
      <c r="F53" s="28"/>
      <c r="G53" s="283" t="s">
        <v>192</v>
      </c>
      <c r="H53" s="277">
        <v>400</v>
      </c>
      <c r="I53" s="278" t="s">
        <v>188</v>
      </c>
      <c r="J53" s="28"/>
      <c r="K53" s="28"/>
      <c r="L53" s="28"/>
      <c r="M53" s="28"/>
      <c r="N53" s="28"/>
      <c r="O53" s="28"/>
      <c r="P53" s="28"/>
      <c r="Q53" s="28"/>
    </row>
    <row r="54" spans="3:17" x14ac:dyDescent="0.3">
      <c r="C54" s="274" t="s">
        <v>30</v>
      </c>
      <c r="D54" s="280">
        <f>+'LOSA NERVURADA'!I58</f>
        <v>571.64538322040562</v>
      </c>
      <c r="E54" s="275" t="s">
        <v>197</v>
      </c>
      <c r="F54" s="28"/>
      <c r="G54" s="271" t="s">
        <v>198</v>
      </c>
      <c r="H54" s="281"/>
      <c r="I54" s="282"/>
      <c r="J54" s="28"/>
      <c r="K54" s="28"/>
      <c r="L54" s="28"/>
      <c r="M54" s="28"/>
      <c r="N54" s="28"/>
      <c r="O54" s="28"/>
      <c r="P54" s="28"/>
      <c r="Q54" s="28"/>
    </row>
    <row r="55" spans="3:17" x14ac:dyDescent="0.3">
      <c r="C55" s="274" t="s">
        <v>199</v>
      </c>
      <c r="D55" s="260">
        <v>300</v>
      </c>
      <c r="E55" s="275" t="s">
        <v>197</v>
      </c>
      <c r="F55" s="28"/>
      <c r="G55" s="276" t="s">
        <v>192</v>
      </c>
      <c r="H55" s="277">
        <v>400</v>
      </c>
      <c r="I55" s="278" t="s">
        <v>188</v>
      </c>
      <c r="J55" s="28"/>
      <c r="K55" s="28"/>
      <c r="L55" s="28"/>
      <c r="M55" s="28"/>
      <c r="N55" s="28"/>
      <c r="O55" s="28"/>
      <c r="P55" s="28"/>
      <c r="Q55" s="28"/>
    </row>
    <row r="56" spans="3:17" x14ac:dyDescent="0.3">
      <c r="C56" s="274" t="s">
        <v>200</v>
      </c>
      <c r="D56" s="260">
        <f>+(D54+D55)*D58</f>
        <v>20483.666505679532</v>
      </c>
      <c r="E56" s="275" t="s">
        <v>201</v>
      </c>
      <c r="F56" s="28"/>
      <c r="G56" s="27" t="s">
        <v>202</v>
      </c>
      <c r="H56" s="28"/>
      <c r="I56" s="28"/>
      <c r="J56" s="28"/>
      <c r="K56" s="28"/>
      <c r="L56" s="28"/>
      <c r="M56" s="28"/>
      <c r="N56" s="28"/>
      <c r="O56" s="28"/>
      <c r="P56" s="28"/>
      <c r="Q56" s="28"/>
    </row>
    <row r="57" spans="3:17" x14ac:dyDescent="0.3">
      <c r="C57" s="276" t="s">
        <v>192</v>
      </c>
      <c r="D57" s="277">
        <v>710</v>
      </c>
      <c r="E57" s="278" t="s">
        <v>188</v>
      </c>
      <c r="F57" s="28"/>
      <c r="G57" s="271" t="s">
        <v>203</v>
      </c>
      <c r="H57" s="281"/>
      <c r="I57" s="282"/>
      <c r="J57" s="271" t="s">
        <v>204</v>
      </c>
      <c r="K57" s="281"/>
      <c r="L57" s="282"/>
      <c r="M57" s="28"/>
      <c r="N57" s="28"/>
      <c r="O57" s="28"/>
      <c r="P57" s="28"/>
      <c r="Q57" s="28"/>
    </row>
    <row r="58" spans="3:17" x14ac:dyDescent="0.3">
      <c r="C58" s="284">
        <v>0</v>
      </c>
      <c r="D58" s="28">
        <v>23.5</v>
      </c>
      <c r="E58" s="275" t="s">
        <v>205</v>
      </c>
      <c r="F58" s="28"/>
      <c r="G58" s="276" t="s">
        <v>206</v>
      </c>
      <c r="H58" s="277">
        <v>750</v>
      </c>
      <c r="I58" s="278" t="s">
        <v>188</v>
      </c>
      <c r="J58" s="276" t="s">
        <v>206</v>
      </c>
      <c r="K58" s="277">
        <v>750</v>
      </c>
      <c r="L58" s="278" t="s">
        <v>188</v>
      </c>
      <c r="M58" s="28"/>
      <c r="N58" s="28"/>
      <c r="O58" s="28"/>
      <c r="P58" s="28"/>
      <c r="Q58" s="28"/>
    </row>
    <row r="59" spans="3:17" x14ac:dyDescent="0.3">
      <c r="C59" s="28"/>
      <c r="D59" s="28"/>
      <c r="E59" s="28"/>
      <c r="F59" s="28"/>
      <c r="G59" s="274"/>
      <c r="H59" s="279"/>
      <c r="I59" s="279"/>
      <c r="J59" s="279"/>
      <c r="K59" s="279"/>
      <c r="L59" s="275"/>
      <c r="M59" s="28"/>
      <c r="N59" s="28"/>
      <c r="O59" s="28"/>
      <c r="P59" s="28"/>
      <c r="Q59" s="28"/>
    </row>
    <row r="60" spans="3:17" x14ac:dyDescent="0.3">
      <c r="C60" s="28"/>
      <c r="D60" s="28"/>
      <c r="E60" s="28"/>
      <c r="F60" s="28"/>
      <c r="G60" s="271" t="s">
        <v>207</v>
      </c>
      <c r="H60" s="281"/>
      <c r="I60" s="282"/>
      <c r="J60" s="271" t="s">
        <v>208</v>
      </c>
      <c r="K60" s="281"/>
      <c r="L60" s="282"/>
      <c r="M60" s="28"/>
      <c r="N60" s="28"/>
      <c r="O60" s="28"/>
      <c r="P60" s="28"/>
      <c r="Q60" s="28"/>
    </row>
    <row r="61" spans="3:17" x14ac:dyDescent="0.3">
      <c r="C61" s="28"/>
      <c r="D61" s="28"/>
      <c r="E61" s="28"/>
      <c r="F61" s="28"/>
      <c r="G61" s="276" t="s">
        <v>206</v>
      </c>
      <c r="H61" s="277">
        <v>750</v>
      </c>
      <c r="I61" s="278" t="s">
        <v>188</v>
      </c>
      <c r="J61" s="276" t="s">
        <v>206</v>
      </c>
      <c r="K61" s="277">
        <v>750</v>
      </c>
      <c r="L61" s="278" t="s">
        <v>188</v>
      </c>
      <c r="M61" s="28"/>
      <c r="N61" s="28"/>
      <c r="O61" s="28"/>
      <c r="P61" s="28"/>
      <c r="Q61" s="28"/>
    </row>
    <row r="62" spans="3:17" x14ac:dyDescent="0.3"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</row>
    <row r="63" spans="3:17" x14ac:dyDescent="0.3"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</row>
    <row r="64" spans="3:17" x14ac:dyDescent="0.3"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</row>
    <row r="65" spans="3:17" x14ac:dyDescent="0.3"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</row>
    <row r="66" spans="3:17" x14ac:dyDescent="0.3">
      <c r="C66" s="285" t="s">
        <v>209</v>
      </c>
      <c r="D66" s="286"/>
      <c r="E66" s="286"/>
      <c r="F66" s="286"/>
      <c r="G66" s="286"/>
      <c r="H66" s="286"/>
      <c r="I66" s="287"/>
      <c r="J66" s="28"/>
      <c r="K66" s="271" t="s">
        <v>209</v>
      </c>
      <c r="L66" s="272"/>
      <c r="M66" s="272"/>
      <c r="N66" s="272"/>
      <c r="O66" s="272"/>
      <c r="P66" s="272"/>
      <c r="Q66" s="273"/>
    </row>
    <row r="67" spans="3:17" x14ac:dyDescent="0.3">
      <c r="C67" s="288"/>
      <c r="D67" s="260"/>
      <c r="E67" s="260"/>
      <c r="F67" s="260"/>
      <c r="G67" s="260"/>
      <c r="H67" s="260"/>
      <c r="I67" s="289"/>
      <c r="J67" s="28"/>
      <c r="K67" s="290"/>
      <c r="L67" s="272"/>
      <c r="M67" s="272"/>
      <c r="N67" s="272"/>
      <c r="O67" s="272"/>
      <c r="P67" s="272"/>
      <c r="Q67" s="273"/>
    </row>
    <row r="68" spans="3:17" x14ac:dyDescent="0.3">
      <c r="C68" s="274" t="s">
        <v>210</v>
      </c>
      <c r="D68" s="260"/>
      <c r="E68" s="260"/>
      <c r="F68" s="260"/>
      <c r="G68" s="260"/>
      <c r="H68" s="260"/>
      <c r="I68" s="289"/>
      <c r="J68" s="28"/>
      <c r="K68" s="274" t="s">
        <v>211</v>
      </c>
      <c r="L68" s="260"/>
      <c r="M68" s="260"/>
      <c r="N68" s="260"/>
      <c r="O68" s="260"/>
      <c r="P68" s="260"/>
      <c r="Q68" s="289"/>
    </row>
    <row r="69" spans="3:17" x14ac:dyDescent="0.3">
      <c r="C69" s="288"/>
      <c r="D69" s="260"/>
      <c r="E69" s="260"/>
      <c r="F69" s="260"/>
      <c r="G69" s="260"/>
      <c r="H69" s="260"/>
      <c r="I69" s="289"/>
      <c r="J69" s="28"/>
      <c r="K69" s="288"/>
      <c r="L69" s="260"/>
      <c r="M69" s="260"/>
      <c r="N69" s="260"/>
      <c r="O69" s="260"/>
      <c r="P69" s="260"/>
      <c r="Q69" s="289"/>
    </row>
    <row r="70" spans="3:17" x14ac:dyDescent="0.3">
      <c r="C70" s="274" t="s">
        <v>212</v>
      </c>
      <c r="D70" s="260"/>
      <c r="E70" s="260"/>
      <c r="F70" s="260"/>
      <c r="G70" s="260"/>
      <c r="H70" s="260"/>
      <c r="I70" s="289"/>
      <c r="J70" s="28"/>
      <c r="K70" s="274" t="s">
        <v>212</v>
      </c>
      <c r="L70" s="260"/>
      <c r="M70" s="260"/>
      <c r="N70" s="260"/>
      <c r="O70" s="260"/>
      <c r="P70" s="260"/>
      <c r="Q70" s="289"/>
    </row>
    <row r="71" spans="3:17" x14ac:dyDescent="0.3">
      <c r="C71" s="288" t="s">
        <v>213</v>
      </c>
      <c r="D71" s="260"/>
      <c r="E71" s="260" t="s">
        <v>214</v>
      </c>
      <c r="F71" s="280">
        <v>0</v>
      </c>
      <c r="G71" s="260" t="str">
        <f>IF(H51&lt;=0,"No existe columna (cielo)","SI existe columna Superior")</f>
        <v>SI existe columna Superior</v>
      </c>
      <c r="H71" s="260"/>
      <c r="I71" s="289"/>
      <c r="J71" s="28"/>
      <c r="K71" s="288" t="s">
        <v>213</v>
      </c>
      <c r="L71" s="260"/>
      <c r="M71" s="260" t="s">
        <v>214</v>
      </c>
      <c r="N71" s="280">
        <v>0</v>
      </c>
      <c r="O71" s="260" t="str">
        <f>IF(H51&lt;=0,"No existe columna (cielo)","SI existe columna Superior")</f>
        <v>SI existe columna Superior</v>
      </c>
      <c r="P71" s="260"/>
      <c r="Q71" s="289"/>
    </row>
    <row r="72" spans="3:17" x14ac:dyDescent="0.3">
      <c r="C72" s="288" t="s">
        <v>215</v>
      </c>
      <c r="D72" s="260"/>
      <c r="E72" s="260" t="s">
        <v>214</v>
      </c>
      <c r="F72" s="280">
        <f>((1/12)*(H49)*((H48)^3))/(H53)</f>
        <v>6591.796875</v>
      </c>
      <c r="G72" s="279" t="s">
        <v>216</v>
      </c>
      <c r="H72" s="260"/>
      <c r="I72" s="289"/>
      <c r="J72" s="28"/>
      <c r="K72" s="288" t="s">
        <v>215</v>
      </c>
      <c r="L72" s="260"/>
      <c r="M72" s="260" t="s">
        <v>214</v>
      </c>
      <c r="N72" s="280">
        <f>((1/12)*(H48)*((H49)^3))/(H53)</f>
        <v>6591.796875</v>
      </c>
      <c r="O72" s="279" t="s">
        <v>216</v>
      </c>
      <c r="P72" s="260"/>
      <c r="Q72" s="289"/>
    </row>
    <row r="73" spans="3:17" x14ac:dyDescent="0.3">
      <c r="C73" s="288" t="s">
        <v>217</v>
      </c>
      <c r="D73" s="260"/>
      <c r="E73" s="260" t="s">
        <v>214</v>
      </c>
      <c r="F73" s="280">
        <v>0</v>
      </c>
      <c r="G73" s="260" t="str">
        <f>IF(H55&lt;=0,"empotramiento en la base, aca NO EXISTE COLUMNA INFERIOR, rigidez del suelo","SI existe columna inferior")</f>
        <v>SI existe columna inferior</v>
      </c>
      <c r="H73" s="260"/>
      <c r="I73" s="289"/>
      <c r="J73" s="28"/>
      <c r="K73" s="288" t="s">
        <v>217</v>
      </c>
      <c r="L73" s="260"/>
      <c r="M73" s="260" t="s">
        <v>214</v>
      </c>
      <c r="N73" s="280">
        <v>0</v>
      </c>
      <c r="O73" s="260" t="str">
        <f>IF(H55&lt;=0,"empotramiento en la base, aca NO EXISTE COLUMNA INFERIOR, rigidez del suelo","SI existe columna inferior")</f>
        <v>SI existe columna inferior</v>
      </c>
      <c r="P73" s="260"/>
      <c r="Q73" s="289"/>
    </row>
    <row r="74" spans="3:17" x14ac:dyDescent="0.3">
      <c r="C74" s="288"/>
      <c r="D74" s="260"/>
      <c r="E74" s="260"/>
      <c r="F74" s="260"/>
      <c r="G74" s="260"/>
      <c r="H74" s="260"/>
      <c r="I74" s="289"/>
      <c r="J74" s="28"/>
      <c r="K74" s="288"/>
      <c r="L74" s="260"/>
      <c r="M74" s="260"/>
      <c r="N74" s="260"/>
      <c r="O74" s="260"/>
      <c r="P74" s="260"/>
      <c r="Q74" s="289"/>
    </row>
    <row r="75" spans="3:17" x14ac:dyDescent="0.3">
      <c r="C75" s="274" t="s">
        <v>218</v>
      </c>
      <c r="D75" s="260"/>
      <c r="E75" s="260"/>
      <c r="F75" s="260"/>
      <c r="G75" s="260"/>
      <c r="H75" s="260"/>
      <c r="I75" s="289"/>
      <c r="J75" s="28"/>
      <c r="K75" s="274" t="s">
        <v>218</v>
      </c>
      <c r="L75" s="260"/>
      <c r="M75" s="260"/>
      <c r="N75" s="260"/>
      <c r="O75" s="260"/>
      <c r="P75" s="260"/>
      <c r="Q75" s="289"/>
    </row>
    <row r="76" spans="3:17" x14ac:dyDescent="0.3">
      <c r="C76" s="288" t="s">
        <v>219</v>
      </c>
      <c r="D76" s="260"/>
      <c r="E76" s="260"/>
      <c r="F76" s="280">
        <f>((1/12)*(D50)*((D51)^3))/(K58)</f>
        <v>959.99999999999989</v>
      </c>
      <c r="G76" s="260"/>
      <c r="H76" s="260"/>
      <c r="I76" s="289"/>
      <c r="J76" s="28"/>
      <c r="K76" s="288" t="s">
        <v>220</v>
      </c>
      <c r="L76" s="260"/>
      <c r="M76" s="260"/>
      <c r="N76" s="280">
        <f>((1/12)*(D50)*((D51)^3))/(K61)</f>
        <v>959.99999999999989</v>
      </c>
      <c r="O76" s="260"/>
      <c r="P76" s="260"/>
      <c r="Q76" s="289"/>
    </row>
    <row r="77" spans="3:17" x14ac:dyDescent="0.3">
      <c r="C77" s="288" t="s">
        <v>221</v>
      </c>
      <c r="D77" s="260"/>
      <c r="E77" s="260"/>
      <c r="F77" s="280">
        <f>((1/12)*(D50)*((D51)^3))/(H58)</f>
        <v>959.99999999999989</v>
      </c>
      <c r="G77" s="260"/>
      <c r="H77" s="260"/>
      <c r="I77" s="289"/>
      <c r="J77" s="28"/>
      <c r="K77" s="288" t="s">
        <v>222</v>
      </c>
      <c r="L77" s="260"/>
      <c r="M77" s="260"/>
      <c r="N77" s="280">
        <f>((1/12)*(D50)*((D51)^3))/(H61)</f>
        <v>959.99999999999989</v>
      </c>
      <c r="O77" s="260"/>
      <c r="P77" s="260"/>
      <c r="Q77" s="289"/>
    </row>
    <row r="78" spans="3:17" x14ac:dyDescent="0.3">
      <c r="C78" s="288"/>
      <c r="D78" s="260"/>
      <c r="E78" s="260"/>
      <c r="F78" s="260"/>
      <c r="G78" s="260"/>
      <c r="H78" s="260"/>
      <c r="I78" s="289"/>
      <c r="J78" s="28"/>
      <c r="K78" s="288"/>
      <c r="L78" s="260"/>
      <c r="M78" s="260"/>
      <c r="N78" s="260"/>
      <c r="O78" s="260"/>
      <c r="P78" s="260"/>
      <c r="Q78" s="289"/>
    </row>
    <row r="79" spans="3:17" x14ac:dyDescent="0.3">
      <c r="C79" s="274" t="s">
        <v>223</v>
      </c>
      <c r="D79" s="260"/>
      <c r="E79" s="260"/>
      <c r="F79" s="260"/>
      <c r="G79" s="260"/>
      <c r="H79" s="260"/>
      <c r="I79" s="289"/>
      <c r="J79" s="28"/>
      <c r="K79" s="274" t="s">
        <v>223</v>
      </c>
      <c r="L79" s="260"/>
      <c r="M79" s="260"/>
      <c r="N79" s="260"/>
      <c r="O79" s="260"/>
      <c r="P79" s="260"/>
      <c r="Q79" s="289"/>
    </row>
    <row r="80" spans="3:17" ht="15.6" x14ac:dyDescent="0.3">
      <c r="C80" s="291" t="s">
        <v>224</v>
      </c>
      <c r="D80" s="280">
        <f>(F71+F72)/(F76+F77)</f>
        <v>3.4332275390625004</v>
      </c>
      <c r="E80" s="260"/>
      <c r="F80" s="260"/>
      <c r="G80" s="260"/>
      <c r="H80" s="260"/>
      <c r="I80" s="289"/>
      <c r="J80" s="28"/>
      <c r="K80" s="291" t="s">
        <v>224</v>
      </c>
      <c r="L80" s="280">
        <f>(N71+N72)/(N76+N77)</f>
        <v>3.4332275390625004</v>
      </c>
      <c r="M80" s="260"/>
      <c r="N80" s="260"/>
      <c r="O80" s="260"/>
      <c r="P80" s="260"/>
      <c r="Q80" s="289"/>
    </row>
    <row r="81" spans="3:17" ht="15.6" x14ac:dyDescent="0.3">
      <c r="C81" s="291" t="s">
        <v>225</v>
      </c>
      <c r="D81" s="280">
        <f>(F72+F73)/(F76+F77)</f>
        <v>3.4332275390625004</v>
      </c>
      <c r="E81" s="260"/>
      <c r="F81" s="260"/>
      <c r="G81" s="260"/>
      <c r="H81" s="260"/>
      <c r="I81" s="289"/>
      <c r="J81" s="28"/>
      <c r="K81" s="291" t="s">
        <v>225</v>
      </c>
      <c r="L81" s="280">
        <f>(N72+N73)/(N76+N77)</f>
        <v>3.4332275390625004</v>
      </c>
      <c r="M81" s="260"/>
      <c r="N81" s="260"/>
      <c r="O81" s="260"/>
      <c r="P81" s="260"/>
      <c r="Q81" s="289"/>
    </row>
    <row r="82" spans="3:17" x14ac:dyDescent="0.3">
      <c r="C82" s="288"/>
      <c r="D82" s="260"/>
      <c r="E82" s="260"/>
      <c r="F82" s="260"/>
      <c r="G82" s="260"/>
      <c r="H82" s="260"/>
      <c r="I82" s="289"/>
      <c r="J82" s="28"/>
      <c r="K82" s="288"/>
      <c r="L82" s="260"/>
      <c r="M82" s="260"/>
      <c r="N82" s="260"/>
      <c r="O82" s="260"/>
      <c r="P82" s="260"/>
      <c r="Q82" s="289"/>
    </row>
    <row r="83" spans="3:17" x14ac:dyDescent="0.3">
      <c r="C83" s="276" t="s">
        <v>226</v>
      </c>
      <c r="D83" s="292">
        <f>(D80+D81)/2</f>
        <v>3.4332275390625004</v>
      </c>
      <c r="E83" s="277"/>
      <c r="F83" s="277"/>
      <c r="G83" s="277"/>
      <c r="H83" s="277"/>
      <c r="I83" s="293"/>
      <c r="J83" s="28"/>
      <c r="K83" s="276" t="s">
        <v>226</v>
      </c>
      <c r="L83" s="292">
        <f>(L80+L81)/2</f>
        <v>3.4332275390625004</v>
      </c>
      <c r="M83" s="277"/>
      <c r="N83" s="277"/>
      <c r="O83" s="277"/>
      <c r="P83" s="277"/>
      <c r="Q83" s="293"/>
    </row>
    <row r="84" spans="3:17" x14ac:dyDescent="0.3"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</row>
    <row r="85" spans="3:17" x14ac:dyDescent="0.3">
      <c r="C85" s="271" t="s">
        <v>227</v>
      </c>
      <c r="D85" s="281"/>
      <c r="E85" s="281"/>
      <c r="F85" s="281"/>
      <c r="G85" s="272"/>
      <c r="H85" s="272"/>
      <c r="I85" s="273"/>
      <c r="J85" s="28"/>
      <c r="K85" s="271" t="s">
        <v>227</v>
      </c>
      <c r="L85" s="281"/>
      <c r="M85" s="281"/>
      <c r="N85" s="281"/>
      <c r="O85" s="272"/>
      <c r="P85" s="272"/>
      <c r="Q85" s="273"/>
    </row>
    <row r="86" spans="3:17" x14ac:dyDescent="0.3">
      <c r="C86" s="274" t="s">
        <v>228</v>
      </c>
      <c r="D86" s="279"/>
      <c r="E86" s="279"/>
      <c r="F86" s="279"/>
      <c r="G86" s="260" t="s">
        <v>229</v>
      </c>
      <c r="H86" s="260" t="s">
        <v>230</v>
      </c>
      <c r="I86" s="289"/>
      <c r="J86" s="28"/>
      <c r="K86" s="274" t="s">
        <v>228</v>
      </c>
      <c r="L86" s="279"/>
      <c r="M86" s="279"/>
      <c r="N86" s="279"/>
      <c r="O86" s="260" t="s">
        <v>229</v>
      </c>
      <c r="P86" s="260" t="s">
        <v>230</v>
      </c>
      <c r="Q86" s="289"/>
    </row>
    <row r="87" spans="3:17" x14ac:dyDescent="0.3">
      <c r="C87" s="274" t="s">
        <v>231</v>
      </c>
      <c r="D87" s="279"/>
      <c r="E87" s="279"/>
      <c r="F87" s="279"/>
      <c r="G87" s="260"/>
      <c r="H87" s="260"/>
      <c r="I87" s="289"/>
      <c r="J87" s="28"/>
      <c r="K87" s="274" t="s">
        <v>231</v>
      </c>
      <c r="L87" s="279"/>
      <c r="M87" s="279"/>
      <c r="N87" s="279"/>
      <c r="O87" s="260"/>
      <c r="P87" s="260"/>
      <c r="Q87" s="289"/>
    </row>
    <row r="88" spans="3:17" x14ac:dyDescent="0.3">
      <c r="C88" s="294"/>
      <c r="D88" s="260"/>
      <c r="E88" s="260"/>
      <c r="F88" s="260"/>
      <c r="G88" s="260"/>
      <c r="H88" s="260"/>
      <c r="I88" s="289"/>
      <c r="J88" s="28"/>
      <c r="K88" s="294"/>
      <c r="L88" s="260"/>
      <c r="M88" s="260"/>
      <c r="N88" s="260"/>
      <c r="O88" s="260"/>
      <c r="P88" s="260"/>
      <c r="Q88" s="289"/>
    </row>
    <row r="89" spans="3:17" x14ac:dyDescent="0.3">
      <c r="C89" s="274" t="s">
        <v>232</v>
      </c>
      <c r="D89" s="260"/>
      <c r="E89" s="260"/>
      <c r="F89" s="260"/>
      <c r="G89" s="260"/>
      <c r="H89" s="260"/>
      <c r="I89" s="289"/>
      <c r="J89" s="28"/>
      <c r="K89" s="274" t="s">
        <v>232</v>
      </c>
      <c r="L89" s="260"/>
      <c r="M89" s="260"/>
      <c r="N89" s="260"/>
      <c r="O89" s="260"/>
      <c r="P89" s="260"/>
      <c r="Q89" s="289"/>
    </row>
    <row r="90" spans="3:17" x14ac:dyDescent="0.3">
      <c r="C90" s="274" t="s">
        <v>233</v>
      </c>
      <c r="D90" s="260"/>
      <c r="E90" s="295" t="s">
        <v>234</v>
      </c>
      <c r="F90" s="280">
        <f>((20-D83)/20)*((1+D83)^(1/2))</f>
        <v>1.7440861082856389</v>
      </c>
      <c r="G90" s="260"/>
      <c r="H90" s="260"/>
      <c r="I90" s="289"/>
      <c r="J90" s="28"/>
      <c r="K90" s="274" t="s">
        <v>233</v>
      </c>
      <c r="L90" s="260"/>
      <c r="M90" s="295" t="s">
        <v>234</v>
      </c>
      <c r="N90" s="280">
        <f>((20-L83)/20)*((1+L83)^(1/2))</f>
        <v>1.7440861082856389</v>
      </c>
      <c r="O90" s="260"/>
      <c r="P90" s="260"/>
      <c r="Q90" s="289"/>
    </row>
    <row r="91" spans="3:17" x14ac:dyDescent="0.3">
      <c r="C91" s="274" t="s">
        <v>235</v>
      </c>
      <c r="D91" s="260"/>
      <c r="E91" s="295" t="s">
        <v>234</v>
      </c>
      <c r="F91" s="280">
        <f>((0.9)*(1+D83)^(1/2))</f>
        <v>1.8949707930837945</v>
      </c>
      <c r="G91" s="260"/>
      <c r="H91" s="260"/>
      <c r="I91" s="289"/>
      <c r="J91" s="28"/>
      <c r="K91" s="274" t="s">
        <v>235</v>
      </c>
      <c r="L91" s="260"/>
      <c r="M91" s="295" t="s">
        <v>234</v>
      </c>
      <c r="N91" s="280">
        <f>((0.9)*(1+L83)^(1/2))</f>
        <v>1.8949707930837945</v>
      </c>
      <c r="O91" s="260"/>
      <c r="P91" s="260"/>
      <c r="Q91" s="289"/>
    </row>
    <row r="92" spans="3:17" x14ac:dyDescent="0.3">
      <c r="C92" s="288"/>
      <c r="D92" s="260"/>
      <c r="E92" s="260"/>
      <c r="F92" s="260"/>
      <c r="G92" s="260"/>
      <c r="H92" s="260"/>
      <c r="I92" s="289"/>
      <c r="J92" s="28"/>
      <c r="K92" s="288"/>
      <c r="L92" s="260"/>
      <c r="M92" s="260"/>
      <c r="N92" s="260"/>
      <c r="O92" s="260"/>
      <c r="P92" s="260"/>
      <c r="Q92" s="289"/>
    </row>
    <row r="93" spans="3:17" x14ac:dyDescent="0.3">
      <c r="C93" s="296" t="s">
        <v>236</v>
      </c>
      <c r="D93" s="277"/>
      <c r="E93" s="277"/>
      <c r="F93" s="292">
        <f>IF(D83&lt;2,F90,F91)</f>
        <v>1.8949707930837945</v>
      </c>
      <c r="G93" s="277"/>
      <c r="H93" s="277"/>
      <c r="I93" s="293"/>
      <c r="J93" s="28"/>
      <c r="K93" s="296" t="s">
        <v>236</v>
      </c>
      <c r="L93" s="277"/>
      <c r="M93" s="277"/>
      <c r="N93" s="292">
        <f>IF(L83&lt;2,N90,N91)</f>
        <v>1.8949707930837945</v>
      </c>
      <c r="O93" s="277"/>
      <c r="P93" s="277"/>
      <c r="Q93" s="293"/>
    </row>
    <row r="94" spans="3:17" x14ac:dyDescent="0.3"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3:17" x14ac:dyDescent="0.3">
      <c r="C95" s="297" t="s">
        <v>237</v>
      </c>
      <c r="D95" s="272"/>
      <c r="E95" s="272"/>
      <c r="F95" s="272"/>
      <c r="G95" s="272"/>
      <c r="H95" s="272"/>
      <c r="I95" s="273"/>
      <c r="J95" s="28"/>
      <c r="K95" s="297" t="s">
        <v>237</v>
      </c>
      <c r="L95" s="272"/>
      <c r="M95" s="272"/>
      <c r="N95" s="272"/>
      <c r="O95" s="272"/>
      <c r="P95" s="272"/>
      <c r="Q95" s="273"/>
    </row>
    <row r="96" spans="3:17" x14ac:dyDescent="0.3">
      <c r="C96" s="288" t="s">
        <v>238</v>
      </c>
      <c r="D96" s="260"/>
      <c r="E96" s="260">
        <f>0.3*(H48/100)</f>
        <v>0.22499999999999998</v>
      </c>
      <c r="F96" s="260"/>
      <c r="G96" s="260"/>
      <c r="H96" s="260"/>
      <c r="I96" s="289"/>
      <c r="J96" s="28"/>
      <c r="K96" s="288" t="s">
        <v>238</v>
      </c>
      <c r="L96" s="260"/>
      <c r="M96" s="260">
        <f>0.3*(H49/100)</f>
        <v>0.22499999999999998</v>
      </c>
      <c r="N96" s="260"/>
      <c r="O96" s="260"/>
      <c r="P96" s="260"/>
      <c r="Q96" s="289"/>
    </row>
    <row r="97" spans="3:17" x14ac:dyDescent="0.3">
      <c r="C97" s="298" t="s">
        <v>239</v>
      </c>
      <c r="D97" s="299">
        <f>(F93*(H53/100))/E96</f>
        <v>33.688369654823013</v>
      </c>
      <c r="E97" s="279" t="str">
        <f>IF(D97&lt;22,"La columna es corta y no se magnifica","Se tiene que chequear la magnificacion")</f>
        <v>Se tiene que chequear la magnificacion</v>
      </c>
      <c r="F97" s="260"/>
      <c r="G97" s="260"/>
      <c r="H97" s="260"/>
      <c r="I97" s="289"/>
      <c r="J97" s="28"/>
      <c r="K97" s="298" t="s">
        <v>239</v>
      </c>
      <c r="L97" s="299">
        <f>(N93*(H53/100))/M96</f>
        <v>33.688369654823013</v>
      </c>
      <c r="M97" s="279" t="str">
        <f>IF(L97&lt;22,"La columna es corta y no se magnifica","Se tiene que chequear la magnificacion")</f>
        <v>Se tiene que chequear la magnificacion</v>
      </c>
      <c r="N97" s="260"/>
      <c r="O97" s="260"/>
      <c r="P97" s="260"/>
      <c r="Q97" s="289"/>
    </row>
    <row r="98" spans="3:17" x14ac:dyDescent="0.3">
      <c r="C98" s="288"/>
      <c r="D98" s="260"/>
      <c r="E98" s="279" t="str">
        <f>IF( (D97&lt;100),"La columna es esbelta y necesita chequeos de esbeltez para magnificarla","La columna es larga y no es conveniente construirla")</f>
        <v>La columna es esbelta y necesita chequeos de esbeltez para magnificarla</v>
      </c>
      <c r="F98" s="260"/>
      <c r="G98" s="260"/>
      <c r="H98" s="260"/>
      <c r="I98" s="289"/>
      <c r="J98" s="28"/>
      <c r="K98" s="288"/>
      <c r="L98" s="260"/>
      <c r="M98" s="279" t="str">
        <f>IF( (L97&lt;100),"La columna es esbelta y necesita chequeos de esbeltez para magnificarla","La columna es larga y no es conveniente construirla")</f>
        <v>La columna es esbelta y necesita chequeos de esbeltez para magnificarla</v>
      </c>
      <c r="N98" s="260"/>
      <c r="O98" s="260"/>
      <c r="P98" s="260"/>
      <c r="Q98" s="289"/>
    </row>
    <row r="99" spans="3:17" x14ac:dyDescent="0.3">
      <c r="C99" s="300"/>
      <c r="D99" s="277"/>
      <c r="E99" s="283" t="str">
        <f>IF(D97&gt;100,"Pero La columna es larga y no es conveniente construirla","YA se puede comenzar a diseñar")</f>
        <v>YA se puede comenzar a diseñar</v>
      </c>
      <c r="F99" s="277"/>
      <c r="G99" s="277"/>
      <c r="H99" s="277"/>
      <c r="I99" s="293"/>
      <c r="J99" s="28"/>
      <c r="K99" s="300"/>
      <c r="L99" s="277"/>
      <c r="M99" s="283" t="str">
        <f>IF(L97&gt;100,"Pero La columna es larga y no es conveniente construirla","YA se puede comenzar a diseñar")</f>
        <v>YA se puede comenzar a diseñar</v>
      </c>
      <c r="N99" s="277"/>
      <c r="O99" s="277"/>
      <c r="P99" s="277"/>
      <c r="Q99" s="293"/>
    </row>
    <row r="100" spans="3:17" x14ac:dyDescent="0.3"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</row>
    <row r="101" spans="3:17" x14ac:dyDescent="0.3">
      <c r="C101" s="290" t="s">
        <v>240</v>
      </c>
      <c r="D101" s="272"/>
      <c r="E101" s="272"/>
      <c r="F101" s="272" t="s">
        <v>241</v>
      </c>
      <c r="G101" s="272"/>
      <c r="H101" s="272"/>
      <c r="I101" s="273"/>
      <c r="J101" s="28"/>
      <c r="K101" s="290" t="s">
        <v>240</v>
      </c>
      <c r="L101" s="272"/>
      <c r="M101" s="272"/>
      <c r="N101" s="272" t="s">
        <v>241</v>
      </c>
      <c r="O101" s="272"/>
      <c r="P101" s="272"/>
      <c r="Q101" s="273"/>
    </row>
    <row r="102" spans="3:17" x14ac:dyDescent="0.3">
      <c r="C102" s="301" t="s">
        <v>242</v>
      </c>
      <c r="D102" s="280">
        <f>(1.2*D54)/(1.2*D54+1.6*D55)</f>
        <v>0.58832717480296515</v>
      </c>
      <c r="E102" s="260"/>
      <c r="F102" s="260"/>
      <c r="G102" s="260"/>
      <c r="H102" s="260"/>
      <c r="I102" s="289"/>
      <c r="J102" s="28"/>
      <c r="K102" s="301" t="s">
        <v>242</v>
      </c>
      <c r="L102" s="280">
        <f>(1.2*D54)/(1.2*D54+1.6*D55)</f>
        <v>0.58832717480296515</v>
      </c>
      <c r="M102" s="260"/>
      <c r="N102" s="260"/>
      <c r="O102" s="260"/>
      <c r="P102" s="260"/>
      <c r="Q102" s="289"/>
    </row>
    <row r="103" spans="3:17" x14ac:dyDescent="0.3">
      <c r="C103" s="288"/>
      <c r="D103" s="260"/>
      <c r="E103" s="260"/>
      <c r="F103" s="260"/>
      <c r="G103" s="260"/>
      <c r="H103" s="260"/>
      <c r="I103" s="289"/>
      <c r="J103" s="28"/>
      <c r="K103" s="288"/>
      <c r="L103" s="260"/>
      <c r="M103" s="260"/>
      <c r="N103" s="260"/>
      <c r="O103" s="260"/>
      <c r="P103" s="260"/>
      <c r="Q103" s="289"/>
    </row>
    <row r="104" spans="3:17" x14ac:dyDescent="0.3">
      <c r="C104" s="274" t="s">
        <v>243</v>
      </c>
      <c r="D104" s="260">
        <f>(15100*((D47)^(1/2))*(1/12)*(H49)*(H48^3))/(2.5*(1+D102))</f>
        <v>145301610230.13364</v>
      </c>
      <c r="E104" s="260" t="s">
        <v>244</v>
      </c>
      <c r="F104" s="260"/>
      <c r="G104" s="260"/>
      <c r="H104" s="260"/>
      <c r="I104" s="289"/>
      <c r="J104" s="28"/>
      <c r="K104" s="274" t="s">
        <v>243</v>
      </c>
      <c r="L104" s="260">
        <f>(15100*((D47)^(1/2))*(1/12)*(H48)*(H49^3))/(2.5*(1+L102))</f>
        <v>145301610230.13364</v>
      </c>
      <c r="M104" s="260" t="s">
        <v>244</v>
      </c>
      <c r="N104" s="260"/>
      <c r="O104" s="260"/>
      <c r="P104" s="260"/>
      <c r="Q104" s="289"/>
    </row>
    <row r="105" spans="3:17" x14ac:dyDescent="0.3">
      <c r="C105" s="300"/>
      <c r="D105" s="277">
        <f>D104/(10000000)</f>
        <v>14530.161023013363</v>
      </c>
      <c r="E105" s="277" t="s">
        <v>245</v>
      </c>
      <c r="F105" s="277"/>
      <c r="G105" s="277"/>
      <c r="H105" s="277"/>
      <c r="I105" s="293"/>
      <c r="J105" s="28"/>
      <c r="K105" s="300"/>
      <c r="L105" s="277">
        <f>L104/(10000000)</f>
        <v>14530.161023013363</v>
      </c>
      <c r="M105" s="277" t="s">
        <v>245</v>
      </c>
      <c r="N105" s="277"/>
      <c r="O105" s="277"/>
      <c r="P105" s="277"/>
      <c r="Q105" s="293"/>
    </row>
    <row r="106" spans="3:17" x14ac:dyDescent="0.3"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</row>
    <row r="107" spans="3:17" x14ac:dyDescent="0.3">
      <c r="C107" s="271" t="s">
        <v>246</v>
      </c>
      <c r="D107" s="272"/>
      <c r="E107" s="272"/>
      <c r="F107" s="272"/>
      <c r="G107" s="272"/>
      <c r="H107" s="272"/>
      <c r="I107" s="273"/>
      <c r="J107" s="28"/>
      <c r="K107" s="271" t="s">
        <v>246</v>
      </c>
      <c r="L107" s="272"/>
      <c r="M107" s="272"/>
      <c r="N107" s="272"/>
      <c r="O107" s="272"/>
      <c r="P107" s="272"/>
      <c r="Q107" s="273"/>
    </row>
    <row r="108" spans="3:17" x14ac:dyDescent="0.3">
      <c r="C108" s="301" t="s">
        <v>247</v>
      </c>
      <c r="D108" s="260">
        <f>((3.1416^2)*D105)/((F93*(H53/100))^2)</f>
        <v>2496.014935744784</v>
      </c>
      <c r="E108" s="279" t="s">
        <v>248</v>
      </c>
      <c r="F108" s="279" t="s">
        <v>249</v>
      </c>
      <c r="G108" s="260"/>
      <c r="H108" s="260"/>
      <c r="I108" s="289"/>
      <c r="J108" s="28"/>
      <c r="K108" s="301" t="s">
        <v>247</v>
      </c>
      <c r="L108" s="260">
        <f>((3.1416^2)*L105)/((N93*(H53/100))^2)</f>
        <v>2496.014935744784</v>
      </c>
      <c r="M108" s="279" t="s">
        <v>248</v>
      </c>
      <c r="N108" s="279" t="s">
        <v>249</v>
      </c>
      <c r="O108" s="260"/>
      <c r="P108" s="260"/>
      <c r="Q108" s="289"/>
    </row>
    <row r="109" spans="3:17" x14ac:dyDescent="0.3">
      <c r="C109" s="300"/>
      <c r="D109" s="277"/>
      <c r="E109" s="277"/>
      <c r="F109" s="283" t="s">
        <v>250</v>
      </c>
      <c r="G109" s="277"/>
      <c r="H109" s="277"/>
      <c r="I109" s="293"/>
      <c r="J109" s="28"/>
      <c r="K109" s="300"/>
      <c r="L109" s="277"/>
      <c r="M109" s="277"/>
      <c r="N109" s="283" t="s">
        <v>250</v>
      </c>
      <c r="O109" s="277"/>
      <c r="P109" s="277"/>
      <c r="Q109" s="293"/>
    </row>
    <row r="110" spans="3:17" x14ac:dyDescent="0.3"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</row>
    <row r="111" spans="3:17" x14ac:dyDescent="0.3">
      <c r="C111" s="271" t="s">
        <v>251</v>
      </c>
      <c r="D111" s="272"/>
      <c r="E111" s="272"/>
      <c r="F111" s="272" t="s">
        <v>252</v>
      </c>
      <c r="G111" s="272"/>
      <c r="H111" s="272"/>
      <c r="I111" s="302">
        <v>0.7</v>
      </c>
      <c r="J111" s="28"/>
      <c r="K111" s="271" t="s">
        <v>253</v>
      </c>
      <c r="L111" s="272"/>
      <c r="M111" s="272"/>
      <c r="N111" s="272" t="s">
        <v>252</v>
      </c>
      <c r="O111" s="272"/>
      <c r="P111" s="272"/>
      <c r="Q111" s="302">
        <v>0.7</v>
      </c>
    </row>
    <row r="112" spans="3:17" x14ac:dyDescent="0.3">
      <c r="C112" s="303" t="s">
        <v>254</v>
      </c>
      <c r="D112" s="304">
        <f>(1)/(1-((D56/1000)/(I111*D108)))</f>
        <v>1.0118627142648826</v>
      </c>
      <c r="E112" s="260"/>
      <c r="F112" s="260" t="s">
        <v>255</v>
      </c>
      <c r="G112" s="260"/>
      <c r="H112" s="260"/>
      <c r="I112" s="289"/>
      <c r="J112" s="28"/>
      <c r="K112" s="303" t="s">
        <v>256</v>
      </c>
      <c r="L112" s="304">
        <f>(1)/(1-((D56/1000)/(Q111*L108)))</f>
        <v>1.0118627142648826</v>
      </c>
      <c r="M112" s="260"/>
      <c r="N112" s="260" t="s">
        <v>255</v>
      </c>
      <c r="O112" s="260"/>
      <c r="P112" s="260"/>
      <c r="Q112" s="289"/>
    </row>
    <row r="113" spans="3:17" x14ac:dyDescent="0.3">
      <c r="C113" s="300"/>
      <c r="D113" s="277"/>
      <c r="E113" s="277"/>
      <c r="F113" s="277" t="s">
        <v>257</v>
      </c>
      <c r="G113" s="277"/>
      <c r="H113" s="277"/>
      <c r="I113" s="293"/>
      <c r="J113" s="28"/>
      <c r="K113" s="300"/>
      <c r="L113" s="277"/>
      <c r="M113" s="277"/>
      <c r="N113" s="277" t="s">
        <v>257</v>
      </c>
      <c r="O113" s="277"/>
      <c r="P113" s="277"/>
      <c r="Q113" s="293"/>
    </row>
    <row r="114" spans="3:17" x14ac:dyDescent="0.3"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</row>
    <row r="115" spans="3:17" x14ac:dyDescent="0.3">
      <c r="C115" s="271" t="s">
        <v>258</v>
      </c>
      <c r="D115" s="272"/>
      <c r="E115" s="272"/>
      <c r="F115" s="272"/>
      <c r="G115" s="272"/>
      <c r="H115" s="272"/>
      <c r="I115" s="273"/>
      <c r="J115" s="28"/>
      <c r="K115" s="271" t="s">
        <v>258</v>
      </c>
      <c r="L115" s="272"/>
      <c r="M115" s="272"/>
      <c r="N115" s="272"/>
      <c r="O115" s="272"/>
      <c r="P115" s="272"/>
      <c r="Q115" s="273"/>
    </row>
    <row r="116" spans="3:17" x14ac:dyDescent="0.3">
      <c r="C116" s="305" t="s">
        <v>259</v>
      </c>
      <c r="D116" s="277">
        <f>D112*D52</f>
        <v>2319.6095343093853</v>
      </c>
      <c r="E116" s="283" t="s">
        <v>260</v>
      </c>
      <c r="F116" s="277"/>
      <c r="G116" s="277"/>
      <c r="H116" s="277"/>
      <c r="I116" s="293"/>
      <c r="J116" s="28"/>
      <c r="K116" s="305" t="s">
        <v>261</v>
      </c>
      <c r="L116" s="277">
        <f>L112*D53</f>
        <v>10664.167868066243</v>
      </c>
      <c r="M116" s="283" t="s">
        <v>260</v>
      </c>
      <c r="N116" s="277"/>
      <c r="O116" s="277"/>
      <c r="P116" s="277"/>
      <c r="Q116" s="293"/>
    </row>
    <row r="117" spans="3:17" ht="15" thickBot="1" x14ac:dyDescent="0.35"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</row>
    <row r="118" spans="3:17" x14ac:dyDescent="0.3">
      <c r="C118" s="306" t="s">
        <v>262</v>
      </c>
      <c r="D118" s="307"/>
      <c r="E118" s="308"/>
      <c r="F118" s="28"/>
      <c r="G118" s="28"/>
      <c r="H118" s="28"/>
      <c r="I118" s="28"/>
      <c r="J118" s="28"/>
      <c r="K118" s="309" t="s">
        <v>263</v>
      </c>
      <c r="L118" s="310" t="s">
        <v>264</v>
      </c>
      <c r="M118" s="310" t="s">
        <v>265</v>
      </c>
      <c r="N118" s="310" t="s">
        <v>266</v>
      </c>
      <c r="O118" s="310" t="s">
        <v>267</v>
      </c>
      <c r="P118" s="311" t="s">
        <v>267</v>
      </c>
      <c r="Q118" s="28"/>
    </row>
    <row r="119" spans="3:17" x14ac:dyDescent="0.3">
      <c r="C119" s="312" t="s">
        <v>200</v>
      </c>
      <c r="D119" s="313">
        <f>D56</f>
        <v>20483.666505679532</v>
      </c>
      <c r="E119" s="314" t="s">
        <v>268</v>
      </c>
      <c r="F119" s="28"/>
      <c r="G119" s="28"/>
      <c r="H119" s="28"/>
      <c r="I119" s="28"/>
      <c r="J119" s="28"/>
      <c r="K119" s="315" t="s">
        <v>269</v>
      </c>
      <c r="L119" s="316">
        <v>2</v>
      </c>
      <c r="M119" s="316">
        <v>0.31</v>
      </c>
      <c r="N119" s="316" t="s">
        <v>270</v>
      </c>
      <c r="O119" s="316">
        <v>30</v>
      </c>
      <c r="P119" s="317"/>
      <c r="Q119" s="28"/>
    </row>
    <row r="120" spans="3:17" x14ac:dyDescent="0.3">
      <c r="C120" s="312" t="s">
        <v>259</v>
      </c>
      <c r="D120" s="318">
        <f>D116</f>
        <v>2319.6095343093853</v>
      </c>
      <c r="E120" s="314" t="s">
        <v>260</v>
      </c>
      <c r="F120" s="28"/>
      <c r="G120" s="28"/>
      <c r="H120" s="28"/>
      <c r="I120" s="28"/>
      <c r="J120" s="28"/>
      <c r="K120" s="315" t="s">
        <v>271</v>
      </c>
      <c r="L120" s="316">
        <v>3</v>
      </c>
      <c r="M120" s="316">
        <v>0.71</v>
      </c>
      <c r="N120" s="316" t="s">
        <v>272</v>
      </c>
      <c r="O120" s="316">
        <v>13</v>
      </c>
      <c r="P120" s="317"/>
      <c r="Q120" s="28"/>
    </row>
    <row r="121" spans="3:17" ht="15" thickBot="1" x14ac:dyDescent="0.35">
      <c r="C121" s="319" t="s">
        <v>261</v>
      </c>
      <c r="D121" s="320">
        <f>L116</f>
        <v>10664.167868066243</v>
      </c>
      <c r="E121" s="321" t="s">
        <v>260</v>
      </c>
      <c r="F121" s="28"/>
      <c r="G121" s="28"/>
      <c r="H121" s="28"/>
      <c r="I121" s="28"/>
      <c r="J121" s="28"/>
      <c r="K121" s="315" t="s">
        <v>273</v>
      </c>
      <c r="L121" s="316">
        <v>4</v>
      </c>
      <c r="M121" s="316">
        <v>1.29</v>
      </c>
      <c r="N121" s="316" t="s">
        <v>272</v>
      </c>
      <c r="O121" s="316">
        <v>7.5</v>
      </c>
      <c r="P121" s="322">
        <v>7.5</v>
      </c>
      <c r="Q121" s="28"/>
    </row>
    <row r="122" spans="3:17" x14ac:dyDescent="0.3">
      <c r="C122" s="28"/>
      <c r="D122" s="28"/>
      <c r="E122" s="28"/>
      <c r="F122" s="28"/>
      <c r="G122" s="28"/>
      <c r="H122" s="28"/>
      <c r="I122" s="28"/>
      <c r="J122" s="28"/>
      <c r="K122" s="315" t="s">
        <v>274</v>
      </c>
      <c r="L122" s="316">
        <v>5</v>
      </c>
      <c r="M122" s="316">
        <v>2</v>
      </c>
      <c r="N122" s="316" t="s">
        <v>272</v>
      </c>
      <c r="O122" s="316">
        <v>4.6500000000000004</v>
      </c>
      <c r="P122" s="322">
        <v>4.75</v>
      </c>
      <c r="Q122" s="28"/>
    </row>
    <row r="123" spans="3:17" ht="15" thickBot="1" x14ac:dyDescent="0.35">
      <c r="C123" s="28"/>
      <c r="D123" s="28"/>
      <c r="E123" s="28"/>
      <c r="F123" s="28"/>
      <c r="G123" s="28"/>
      <c r="H123" s="28"/>
      <c r="I123" s="28"/>
      <c r="J123" s="28"/>
      <c r="K123" s="315" t="s">
        <v>275</v>
      </c>
      <c r="L123" s="316">
        <v>6</v>
      </c>
      <c r="M123" s="316">
        <v>2.84</v>
      </c>
      <c r="N123" s="316" t="s">
        <v>272</v>
      </c>
      <c r="O123" s="316">
        <v>3.27</v>
      </c>
      <c r="P123" s="322">
        <v>3.25</v>
      </c>
      <c r="Q123" s="28"/>
    </row>
    <row r="124" spans="3:17" x14ac:dyDescent="0.3">
      <c r="C124" s="323" t="s">
        <v>276</v>
      </c>
      <c r="D124" s="324"/>
      <c r="E124" s="324"/>
      <c r="F124" s="325"/>
      <c r="G124" s="28"/>
      <c r="H124" s="28"/>
      <c r="I124" s="28"/>
      <c r="J124" s="28"/>
      <c r="K124" s="315" t="s">
        <v>277</v>
      </c>
      <c r="L124" s="316">
        <v>7</v>
      </c>
      <c r="M124" s="316">
        <v>3.87</v>
      </c>
      <c r="N124" s="316" t="s">
        <v>272</v>
      </c>
      <c r="O124" s="316">
        <v>2.4</v>
      </c>
      <c r="P124" s="322">
        <v>2.5</v>
      </c>
      <c r="Q124" s="28"/>
    </row>
    <row r="125" spans="3:17" x14ac:dyDescent="0.3">
      <c r="C125" s="326" t="s">
        <v>278</v>
      </c>
      <c r="D125" s="260">
        <f>0.01*H48*H49</f>
        <v>56.25</v>
      </c>
      <c r="E125" s="260" t="s">
        <v>279</v>
      </c>
      <c r="F125" s="327"/>
      <c r="G125" s="28"/>
      <c r="H125" s="28"/>
      <c r="I125" s="28"/>
      <c r="J125" s="28"/>
      <c r="K125" s="328">
        <v>1</v>
      </c>
      <c r="L125" s="316">
        <v>8</v>
      </c>
      <c r="M125" s="316">
        <v>5.0999999999999996</v>
      </c>
      <c r="N125" s="316" t="s">
        <v>272</v>
      </c>
      <c r="O125" s="316">
        <v>1.82</v>
      </c>
      <c r="P125" s="322">
        <v>2</v>
      </c>
      <c r="Q125" s="28"/>
    </row>
    <row r="126" spans="3:17" ht="15" thickBot="1" x14ac:dyDescent="0.35">
      <c r="C126" s="329" t="s">
        <v>280</v>
      </c>
      <c r="D126" s="330">
        <f>0.06*H48*H49</f>
        <v>337.5</v>
      </c>
      <c r="E126" s="330" t="s">
        <v>279</v>
      </c>
      <c r="F126" s="331"/>
      <c r="G126" s="28"/>
      <c r="H126" s="28"/>
      <c r="I126" s="28"/>
      <c r="J126" s="28"/>
      <c r="K126" s="315" t="s">
        <v>281</v>
      </c>
      <c r="L126" s="316">
        <v>9</v>
      </c>
      <c r="M126" s="316">
        <v>6.45</v>
      </c>
      <c r="N126" s="316" t="s">
        <v>272</v>
      </c>
      <c r="O126" s="316">
        <v>1.44</v>
      </c>
      <c r="P126" s="322">
        <v>1.5</v>
      </c>
      <c r="Q126" s="28"/>
    </row>
    <row r="127" spans="3:17" x14ac:dyDescent="0.3">
      <c r="C127" s="28"/>
      <c r="D127" s="28"/>
      <c r="E127" s="28"/>
      <c r="F127" s="28"/>
      <c r="G127" s="28"/>
      <c r="H127" s="28"/>
      <c r="I127" s="28"/>
      <c r="J127" s="28"/>
      <c r="K127" s="315" t="s">
        <v>282</v>
      </c>
      <c r="L127" s="316">
        <v>10</v>
      </c>
      <c r="M127" s="316">
        <v>7.92</v>
      </c>
      <c r="N127" s="316" t="s">
        <v>272</v>
      </c>
      <c r="O127" s="313"/>
      <c r="P127" s="332"/>
      <c r="Q127" s="28"/>
    </row>
    <row r="128" spans="3:17" ht="15" thickBot="1" x14ac:dyDescent="0.35">
      <c r="C128" s="28"/>
      <c r="D128" s="28"/>
      <c r="E128" s="28"/>
      <c r="F128" s="28"/>
      <c r="G128" s="28"/>
      <c r="H128" s="28"/>
      <c r="I128" s="28"/>
      <c r="J128" s="28"/>
      <c r="K128" s="315" t="s">
        <v>283</v>
      </c>
      <c r="L128" s="316">
        <v>11</v>
      </c>
      <c r="M128" s="316">
        <v>9.58</v>
      </c>
      <c r="N128" s="316" t="s">
        <v>272</v>
      </c>
      <c r="O128" s="313"/>
      <c r="P128" s="332"/>
      <c r="Q128" s="28"/>
    </row>
    <row r="129" spans="3:17" ht="15" thickBot="1" x14ac:dyDescent="0.35">
      <c r="C129" s="333" t="s">
        <v>284</v>
      </c>
      <c r="D129" s="324"/>
      <c r="E129" s="324"/>
      <c r="F129" s="324"/>
      <c r="G129" s="324"/>
      <c r="H129" s="325"/>
      <c r="I129" s="28"/>
      <c r="J129" s="28"/>
      <c r="K129" s="334" t="s">
        <v>285</v>
      </c>
      <c r="L129" s="335">
        <v>12</v>
      </c>
      <c r="M129" s="335">
        <v>11.4</v>
      </c>
      <c r="N129" s="335" t="s">
        <v>272</v>
      </c>
      <c r="O129" s="336"/>
      <c r="P129" s="337"/>
      <c r="Q129" s="28"/>
    </row>
    <row r="130" spans="3:17" x14ac:dyDescent="0.3">
      <c r="C130" s="338" t="s">
        <v>286</v>
      </c>
      <c r="D130" s="260"/>
      <c r="E130" s="260"/>
      <c r="F130" s="279" t="s">
        <v>287</v>
      </c>
      <c r="G130" s="260"/>
      <c r="H130" s="339" t="s">
        <v>265</v>
      </c>
      <c r="I130" s="28"/>
      <c r="J130" s="28"/>
      <c r="K130" s="340"/>
      <c r="L130" s="28"/>
      <c r="M130" s="28"/>
      <c r="N130" s="28"/>
      <c r="O130" s="28"/>
      <c r="P130" s="28"/>
      <c r="Q130" s="28"/>
    </row>
    <row r="131" spans="3:17" x14ac:dyDescent="0.3">
      <c r="C131" s="341">
        <v>4</v>
      </c>
      <c r="D131" s="277"/>
      <c r="E131" s="277"/>
      <c r="F131" s="342">
        <v>6</v>
      </c>
      <c r="G131" s="277"/>
      <c r="H131" s="343">
        <f>LOOKUP(F131,L119:M129)</f>
        <v>2.84</v>
      </c>
      <c r="I131" s="28"/>
      <c r="J131" s="28"/>
      <c r="K131" s="28"/>
      <c r="L131" s="28"/>
      <c r="M131" s="28"/>
      <c r="N131" s="28"/>
      <c r="O131" s="28"/>
      <c r="P131" s="28"/>
      <c r="Q131" s="28"/>
    </row>
    <row r="132" spans="3:17" x14ac:dyDescent="0.3">
      <c r="C132" s="344">
        <v>6</v>
      </c>
      <c r="D132" s="260"/>
      <c r="E132" s="260"/>
      <c r="F132" s="200">
        <v>4</v>
      </c>
      <c r="G132" s="260"/>
      <c r="H132" s="343">
        <f>LOOKUP(F132,L119:M129)</f>
        <v>1.29</v>
      </c>
      <c r="I132" s="28"/>
      <c r="J132" s="28"/>
      <c r="K132" s="28"/>
      <c r="L132" s="28"/>
      <c r="M132" s="28"/>
      <c r="N132" s="28"/>
      <c r="O132" s="28"/>
      <c r="P132" s="28"/>
      <c r="Q132" s="28"/>
    </row>
    <row r="133" spans="3:17" ht="15" thickBot="1" x14ac:dyDescent="0.35">
      <c r="C133" s="345" t="s">
        <v>288</v>
      </c>
      <c r="D133" s="346"/>
      <c r="E133" s="347">
        <f>(C131*H131)+(C132*H132)</f>
        <v>19.100000000000001</v>
      </c>
      <c r="F133" s="346"/>
      <c r="G133" s="346"/>
      <c r="H133" s="348"/>
      <c r="I133" s="28"/>
      <c r="J133" s="28"/>
      <c r="K133" s="28"/>
      <c r="L133">
        <f>5*2.54/8</f>
        <v>1.5874999999999999</v>
      </c>
      <c r="N133" s="200"/>
      <c r="O133" s="101"/>
      <c r="P133" s="200"/>
      <c r="Q133" s="28"/>
    </row>
    <row r="134" spans="3:17" x14ac:dyDescent="0.3">
      <c r="C134" s="28"/>
      <c r="D134" s="28"/>
      <c r="E134" s="28"/>
      <c r="F134" s="28"/>
      <c r="G134" s="28"/>
      <c r="H134" s="28"/>
      <c r="I134" s="28"/>
      <c r="J134" s="28"/>
      <c r="K134" s="28"/>
      <c r="L134">
        <f>+L133/2</f>
        <v>0.79374999999999996</v>
      </c>
      <c r="N134" s="200">
        <f>4*M124</f>
        <v>15.48</v>
      </c>
      <c r="O134" s="101"/>
      <c r="P134" s="200"/>
      <c r="Q134" s="28"/>
    </row>
    <row r="135" spans="3:17" ht="15" thickBot="1" x14ac:dyDescent="0.35">
      <c r="C135" s="28"/>
      <c r="D135" s="28"/>
      <c r="E135" s="28"/>
      <c r="F135" s="28"/>
      <c r="G135" s="28"/>
      <c r="H135" s="28"/>
      <c r="I135" s="28"/>
      <c r="J135" s="28"/>
      <c r="K135" s="28"/>
      <c r="N135" s="200"/>
      <c r="O135" s="101"/>
      <c r="P135" s="200"/>
      <c r="Q135" s="28"/>
    </row>
    <row r="136" spans="3:17" x14ac:dyDescent="0.3">
      <c r="C136" s="349" t="s">
        <v>289</v>
      </c>
      <c r="D136" s="350">
        <v>0.7</v>
      </c>
      <c r="E136" s="324" t="s">
        <v>290</v>
      </c>
      <c r="F136" s="324"/>
      <c r="G136" s="324"/>
      <c r="H136" s="324"/>
      <c r="I136" s="325"/>
      <c r="J136" s="28"/>
      <c r="K136" s="28"/>
      <c r="N136" s="200"/>
      <c r="O136" s="101"/>
      <c r="P136" s="351"/>
      <c r="Q136" s="28"/>
    </row>
    <row r="137" spans="3:17" x14ac:dyDescent="0.3">
      <c r="C137" s="352" t="s">
        <v>291</v>
      </c>
      <c r="D137" s="200">
        <f>H48*H49</f>
        <v>5625</v>
      </c>
      <c r="E137" s="260" t="s">
        <v>188</v>
      </c>
      <c r="F137" s="260"/>
      <c r="G137" s="260"/>
      <c r="H137" s="260"/>
      <c r="I137" s="327"/>
      <c r="J137" s="28"/>
      <c r="K137" s="28"/>
      <c r="N137" s="200"/>
      <c r="O137" s="101"/>
      <c r="P137" s="351"/>
      <c r="Q137" s="28"/>
    </row>
    <row r="138" spans="3:17" x14ac:dyDescent="0.3">
      <c r="C138" s="352" t="s">
        <v>292</v>
      </c>
      <c r="D138" s="175">
        <f>E133</f>
        <v>19.100000000000001</v>
      </c>
      <c r="E138" s="260"/>
      <c r="F138" s="260"/>
      <c r="G138" s="260"/>
      <c r="H138" s="260"/>
      <c r="I138" s="327"/>
      <c r="J138" s="28"/>
      <c r="K138" s="28"/>
      <c r="N138" s="200"/>
      <c r="O138" s="101"/>
      <c r="P138" s="351"/>
      <c r="Q138" s="28"/>
    </row>
    <row r="139" spans="3:17" ht="15" thickBot="1" x14ac:dyDescent="0.35">
      <c r="C139" s="329"/>
      <c r="D139" s="330"/>
      <c r="E139" s="330"/>
      <c r="F139" s="330"/>
      <c r="G139" s="330"/>
      <c r="H139" s="330"/>
      <c r="I139" s="331"/>
      <c r="J139" s="28"/>
      <c r="K139" s="28"/>
      <c r="N139" s="200"/>
      <c r="O139" s="101"/>
      <c r="P139" s="351"/>
      <c r="Q139" s="28"/>
    </row>
    <row r="140" spans="3:17" ht="15" thickBot="1" x14ac:dyDescent="0.35">
      <c r="C140" s="353" t="s">
        <v>293</v>
      </c>
      <c r="D140" s="354">
        <f>D136*(0.85*D47*(D137-D138)+D138*D48)</f>
        <v>738026.90499999991</v>
      </c>
      <c r="E140" s="354"/>
      <c r="F140" s="354"/>
      <c r="G140" s="354"/>
      <c r="H140" s="354"/>
      <c r="I140" s="355"/>
      <c r="J140" s="28"/>
      <c r="K140" s="28"/>
      <c r="N140" s="200"/>
      <c r="O140" s="101"/>
      <c r="P140" s="351"/>
      <c r="Q140" s="28"/>
    </row>
    <row r="141" spans="3:17" ht="15" thickBot="1" x14ac:dyDescent="0.35">
      <c r="C141" s="28"/>
      <c r="D141" s="28"/>
      <c r="E141" s="28"/>
      <c r="F141" s="28"/>
      <c r="G141" s="28"/>
      <c r="H141" s="28"/>
      <c r="I141" s="28"/>
      <c r="J141" s="28"/>
      <c r="K141" s="28"/>
      <c r="N141" s="200"/>
      <c r="O141" s="101"/>
      <c r="P141" s="351"/>
      <c r="Q141" s="28"/>
    </row>
    <row r="142" spans="3:17" x14ac:dyDescent="0.3">
      <c r="C142" s="323" t="s">
        <v>294</v>
      </c>
      <c r="D142" s="324"/>
      <c r="E142" s="325"/>
      <c r="F142" s="28"/>
      <c r="G142" s="28"/>
      <c r="H142" s="28"/>
      <c r="I142" s="28"/>
      <c r="J142" s="28"/>
      <c r="K142" s="28"/>
      <c r="N142" s="200"/>
      <c r="O142" s="101"/>
      <c r="P142" s="260"/>
      <c r="Q142" s="28"/>
    </row>
    <row r="143" spans="3:17" x14ac:dyDescent="0.3">
      <c r="C143" s="326"/>
      <c r="D143" s="260"/>
      <c r="E143" s="327"/>
      <c r="F143" s="28"/>
      <c r="G143" s="28"/>
      <c r="H143" s="28"/>
      <c r="I143" s="28"/>
      <c r="J143" s="28"/>
      <c r="K143" s="28"/>
      <c r="N143" s="200"/>
      <c r="O143" s="101"/>
      <c r="P143" s="260"/>
      <c r="Q143" s="28"/>
    </row>
    <row r="144" spans="3:17" x14ac:dyDescent="0.3">
      <c r="C144" s="356" t="s">
        <v>295</v>
      </c>
      <c r="D144" s="357">
        <f>D116/D56</f>
        <v>0.11324191075197521</v>
      </c>
      <c r="E144" s="327"/>
      <c r="F144" s="28"/>
      <c r="G144" s="28"/>
      <c r="H144" s="28"/>
      <c r="I144" s="28"/>
      <c r="J144" s="28"/>
      <c r="K144" s="28"/>
      <c r="N144" s="200"/>
      <c r="O144" s="260"/>
      <c r="P144" s="260"/>
      <c r="Q144" s="28"/>
    </row>
    <row r="145" spans="3:17" ht="15" thickBot="1" x14ac:dyDescent="0.35">
      <c r="C145" s="358" t="s">
        <v>296</v>
      </c>
      <c r="D145" s="359">
        <f>L116/D56</f>
        <v>0.52061811615168485</v>
      </c>
      <c r="E145" s="331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</row>
    <row r="146" spans="3:17" ht="15" thickBot="1" x14ac:dyDescent="0.35"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</row>
    <row r="147" spans="3:17" x14ac:dyDescent="0.3">
      <c r="C147" s="333" t="s">
        <v>297</v>
      </c>
      <c r="D147" s="324"/>
      <c r="E147" s="325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</row>
    <row r="148" spans="3:17" x14ac:dyDescent="0.3">
      <c r="C148" s="356" t="s">
        <v>298</v>
      </c>
      <c r="D148" s="357">
        <f>D144/(H48/100)</f>
        <v>0.15098921433596693</v>
      </c>
      <c r="E148" s="327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</row>
    <row r="149" spans="3:17" ht="15" thickBot="1" x14ac:dyDescent="0.35">
      <c r="C149" s="358" t="s">
        <v>299</v>
      </c>
      <c r="D149" s="359">
        <f>D145/(H49/100)</f>
        <v>0.69415748820224643</v>
      </c>
      <c r="E149" s="331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</row>
    <row r="150" spans="3:17" x14ac:dyDescent="0.3">
      <c r="C150" s="360"/>
      <c r="D150" s="357"/>
      <c r="E150" s="260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</row>
    <row r="151" spans="3:17" x14ac:dyDescent="0.3">
      <c r="C151" s="360"/>
      <c r="D151" s="357"/>
      <c r="E151" s="260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</row>
    <row r="152" spans="3:17" x14ac:dyDescent="0.3">
      <c r="C152" s="360"/>
      <c r="D152" s="357"/>
      <c r="E152" s="260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</row>
    <row r="153" spans="3:17" x14ac:dyDescent="0.3">
      <c r="C153" s="360"/>
      <c r="D153" s="357"/>
      <c r="E153" s="260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</row>
    <row r="154" spans="3:17" ht="15" thickBot="1" x14ac:dyDescent="0.35">
      <c r="C154" s="260"/>
      <c r="D154" s="260"/>
      <c r="E154" s="260"/>
      <c r="F154" s="260"/>
      <c r="G154" s="260"/>
      <c r="H154" s="260"/>
      <c r="I154" s="260"/>
      <c r="J154" s="260"/>
      <c r="K154" s="28"/>
      <c r="L154" s="28"/>
      <c r="M154" s="28"/>
      <c r="N154" s="28"/>
      <c r="O154" s="28"/>
      <c r="P154" s="28"/>
      <c r="Q154" s="28"/>
    </row>
    <row r="155" spans="3:17" x14ac:dyDescent="0.3">
      <c r="C155" s="361"/>
      <c r="D155" s="324"/>
      <c r="E155" s="324"/>
      <c r="F155" s="333" t="s">
        <v>300</v>
      </c>
      <c r="G155" s="324"/>
      <c r="H155" s="324"/>
      <c r="I155" s="325"/>
      <c r="J155" s="324"/>
      <c r="K155" s="324"/>
      <c r="L155" s="325"/>
      <c r="M155" s="28"/>
      <c r="N155" s="28"/>
      <c r="O155" s="28"/>
      <c r="P155" s="28"/>
      <c r="Q155" s="28"/>
    </row>
    <row r="156" spans="3:17" x14ac:dyDescent="0.3">
      <c r="C156" s="338" t="s">
        <v>301</v>
      </c>
      <c r="D156" s="295"/>
      <c r="E156" s="362">
        <v>0.05</v>
      </c>
      <c r="F156" s="363" t="s">
        <v>302</v>
      </c>
      <c r="G156" s="279" t="s">
        <v>303</v>
      </c>
      <c r="H156" s="280">
        <f>((H48/100)-(2*E156))/(H48/100)</f>
        <v>0.8666666666666667</v>
      </c>
      <c r="I156" s="327" t="s">
        <v>304</v>
      </c>
      <c r="J156" s="360" t="s">
        <v>305</v>
      </c>
      <c r="K156" s="364" t="s">
        <v>306</v>
      </c>
      <c r="L156" s="327"/>
      <c r="M156" s="28"/>
      <c r="N156" s="28"/>
      <c r="O156" s="28"/>
      <c r="P156" s="28"/>
      <c r="Q156" s="28"/>
    </row>
    <row r="157" spans="3:17" ht="15" thickBot="1" x14ac:dyDescent="0.35">
      <c r="C157" s="338" t="s">
        <v>301</v>
      </c>
      <c r="D157" s="295"/>
      <c r="E157" s="362">
        <v>0.05</v>
      </c>
      <c r="F157" s="365" t="s">
        <v>307</v>
      </c>
      <c r="G157" s="366" t="s">
        <v>308</v>
      </c>
      <c r="H157" s="367">
        <f>((H49/100)-(2*E157))/(H49/100)</f>
        <v>0.8666666666666667</v>
      </c>
      <c r="I157" s="331" t="s">
        <v>304</v>
      </c>
      <c r="J157" s="360" t="s">
        <v>305</v>
      </c>
      <c r="K157" s="364" t="s">
        <v>309</v>
      </c>
      <c r="L157" s="327"/>
      <c r="M157" s="28"/>
      <c r="N157" s="28"/>
      <c r="O157" s="28"/>
      <c r="P157" s="28"/>
      <c r="Q157" s="28"/>
    </row>
    <row r="158" spans="3:17" x14ac:dyDescent="0.3">
      <c r="C158" s="326"/>
      <c r="D158" s="260"/>
      <c r="E158" s="260"/>
      <c r="F158" s="260"/>
      <c r="G158" s="260"/>
      <c r="H158" s="260"/>
      <c r="I158" s="260"/>
      <c r="J158" s="260"/>
      <c r="K158" s="260"/>
      <c r="L158" s="327"/>
      <c r="M158" s="28"/>
      <c r="N158" s="28"/>
      <c r="O158" s="28"/>
      <c r="P158" s="28"/>
      <c r="Q158" s="28"/>
    </row>
    <row r="159" spans="3:17" ht="15" thickBot="1" x14ac:dyDescent="0.35">
      <c r="C159" s="329" t="s">
        <v>310</v>
      </c>
      <c r="D159" s="330"/>
      <c r="E159" s="330"/>
      <c r="F159" s="330"/>
      <c r="G159" s="330"/>
      <c r="H159" s="330"/>
      <c r="I159" s="330"/>
      <c r="J159" s="368" t="s">
        <v>311</v>
      </c>
      <c r="K159" s="369">
        <f>(H48-2*(E156*100))*(H49-2*(E157*100))</f>
        <v>4225</v>
      </c>
      <c r="L159" s="331" t="s">
        <v>312</v>
      </c>
      <c r="M159" s="28"/>
      <c r="N159" s="28"/>
      <c r="O159" s="28"/>
      <c r="P159" s="28"/>
      <c r="Q159" s="28"/>
    </row>
    <row r="160" spans="3:17" ht="15" thickBot="1" x14ac:dyDescent="0.35"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</row>
    <row r="161" spans="3:17" x14ac:dyDescent="0.3">
      <c r="C161" s="333" t="s">
        <v>313</v>
      </c>
      <c r="D161" s="324"/>
      <c r="E161" s="325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</row>
    <row r="162" spans="3:17" ht="15" thickBot="1" x14ac:dyDescent="0.35">
      <c r="C162" s="370" t="s">
        <v>314</v>
      </c>
      <c r="D162" s="367">
        <f>(D138*D48)/(0.85*D47*D137)</f>
        <v>5.3453843759726123E-2</v>
      </c>
      <c r="E162" s="371" t="s">
        <v>188</v>
      </c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</row>
    <row r="163" spans="3:17" ht="15" thickBot="1" x14ac:dyDescent="0.35"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</row>
    <row r="164" spans="3:17" x14ac:dyDescent="0.3">
      <c r="C164" s="333" t="s">
        <v>315</v>
      </c>
      <c r="D164" s="324"/>
      <c r="E164" s="324"/>
      <c r="F164" s="324"/>
      <c r="G164" s="324"/>
      <c r="H164" s="325"/>
      <c r="I164" s="28"/>
      <c r="J164" s="28"/>
      <c r="K164" s="28"/>
      <c r="L164" s="28"/>
      <c r="M164" s="28"/>
      <c r="N164" s="28"/>
      <c r="O164" s="28"/>
      <c r="P164" s="28"/>
      <c r="Q164" s="28"/>
    </row>
    <row r="165" spans="3:17" x14ac:dyDescent="0.3">
      <c r="C165" s="356" t="s">
        <v>298</v>
      </c>
      <c r="D165" s="357">
        <f>D148</f>
        <v>0.15098921433596693</v>
      </c>
      <c r="E165" s="360" t="s">
        <v>299</v>
      </c>
      <c r="F165" s="357">
        <f>D149</f>
        <v>0.69415748820224643</v>
      </c>
      <c r="G165" s="260"/>
      <c r="H165" s="327"/>
      <c r="I165" s="28"/>
      <c r="J165" s="28"/>
      <c r="K165" s="28"/>
      <c r="L165" s="28"/>
      <c r="M165" s="28"/>
      <c r="N165" s="28"/>
      <c r="O165" s="28"/>
      <c r="P165" s="28"/>
      <c r="Q165" s="28"/>
    </row>
    <row r="166" spans="3:17" x14ac:dyDescent="0.3">
      <c r="C166" s="363" t="s">
        <v>302</v>
      </c>
      <c r="D166" s="357">
        <f>H156</f>
        <v>0.8666666666666667</v>
      </c>
      <c r="E166" s="372" t="s">
        <v>307</v>
      </c>
      <c r="F166" s="357">
        <f>H157</f>
        <v>0.8666666666666667</v>
      </c>
      <c r="G166" s="260"/>
      <c r="H166" s="327"/>
      <c r="I166" s="28"/>
      <c r="J166" s="28"/>
      <c r="K166" s="28"/>
      <c r="L166" s="28"/>
      <c r="M166" s="28"/>
      <c r="N166" s="28"/>
      <c r="O166" s="28"/>
      <c r="P166" s="28"/>
      <c r="Q166" s="28"/>
    </row>
    <row r="167" spans="3:17" x14ac:dyDescent="0.3">
      <c r="C167" s="363" t="s">
        <v>314</v>
      </c>
      <c r="D167" s="357">
        <f>D162</f>
        <v>5.3453843759726123E-2</v>
      </c>
      <c r="E167" s="373" t="s">
        <v>314</v>
      </c>
      <c r="F167" s="357">
        <f>D162</f>
        <v>5.3453843759726123E-2</v>
      </c>
      <c r="G167" s="260"/>
      <c r="H167" s="327"/>
      <c r="I167" s="28"/>
      <c r="J167" s="28"/>
      <c r="K167" s="28"/>
      <c r="L167" s="28"/>
      <c r="M167" s="28"/>
      <c r="N167" s="28"/>
      <c r="O167" s="28"/>
      <c r="P167" s="28"/>
      <c r="Q167" s="28"/>
    </row>
    <row r="168" spans="3:17" x14ac:dyDescent="0.3">
      <c r="C168" s="374" t="s">
        <v>316</v>
      </c>
      <c r="D168" s="279"/>
      <c r="E168" s="279"/>
      <c r="F168" s="260"/>
      <c r="G168" s="260"/>
      <c r="H168" s="327"/>
      <c r="I168" s="28"/>
      <c r="J168" s="28"/>
      <c r="K168" s="28"/>
      <c r="L168" s="28"/>
      <c r="M168" s="28"/>
      <c r="N168" s="28"/>
      <c r="O168" s="28"/>
      <c r="P168" s="28"/>
      <c r="Q168" s="28"/>
    </row>
    <row r="169" spans="3:17" ht="15" thickBot="1" x14ac:dyDescent="0.35">
      <c r="C169" s="365" t="s">
        <v>317</v>
      </c>
      <c r="D169" s="369">
        <v>0.8</v>
      </c>
      <c r="E169" s="375" t="s">
        <v>318</v>
      </c>
      <c r="F169" s="369">
        <v>0.35</v>
      </c>
      <c r="G169" s="330"/>
      <c r="H169" s="331"/>
      <c r="I169" s="28"/>
      <c r="J169" s="28"/>
      <c r="K169" s="28"/>
      <c r="L169" s="28"/>
      <c r="M169" s="28"/>
      <c r="N169" s="28"/>
      <c r="O169" s="28"/>
      <c r="P169" s="28"/>
      <c r="Q169" s="28"/>
    </row>
    <row r="170" spans="3:17" ht="15" thickBot="1" x14ac:dyDescent="0.35"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</row>
    <row r="171" spans="3:17" x14ac:dyDescent="0.3">
      <c r="C171" s="376" t="s">
        <v>319</v>
      </c>
      <c r="D171" s="324"/>
      <c r="E171" s="325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</row>
    <row r="172" spans="3:17" x14ac:dyDescent="0.3">
      <c r="C172" s="356" t="s">
        <v>320</v>
      </c>
      <c r="D172" s="362">
        <f>D169*D47*H48*H49</f>
        <v>945000</v>
      </c>
      <c r="E172" s="339" t="s">
        <v>321</v>
      </c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</row>
    <row r="173" spans="3:17" ht="15" thickBot="1" x14ac:dyDescent="0.35">
      <c r="C173" s="358" t="s">
        <v>322</v>
      </c>
      <c r="D173" s="369">
        <f>F169*D47*H48*H49</f>
        <v>413437.5</v>
      </c>
      <c r="E173" s="371" t="s">
        <v>321</v>
      </c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</row>
    <row r="174" spans="3:17" ht="15" thickBot="1" x14ac:dyDescent="0.35"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</row>
    <row r="175" spans="3:17" x14ac:dyDescent="0.3">
      <c r="C175" s="333" t="s">
        <v>323</v>
      </c>
      <c r="D175" s="324"/>
      <c r="E175" s="325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</row>
    <row r="176" spans="3:17" x14ac:dyDescent="0.3">
      <c r="C176" s="377" t="s">
        <v>324</v>
      </c>
      <c r="D176" s="362">
        <f>(1/D172)+(1/D173)-(1/D140)</f>
        <v>2.1219821813934297E-6</v>
      </c>
      <c r="E176" s="327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</row>
    <row r="177" spans="3:17" x14ac:dyDescent="0.3">
      <c r="C177" s="377" t="s">
        <v>325</v>
      </c>
      <c r="D177" s="260"/>
      <c r="E177" s="327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</row>
    <row r="178" spans="3:17" ht="15" thickBot="1" x14ac:dyDescent="0.35">
      <c r="C178" s="358" t="s">
        <v>326</v>
      </c>
      <c r="D178" s="359">
        <f>1/D176</f>
        <v>471257.49158898962</v>
      </c>
      <c r="E178" s="331" t="s">
        <v>268</v>
      </c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</row>
    <row r="179" spans="3:17" ht="15" thickBot="1" x14ac:dyDescent="0.35"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</row>
    <row r="180" spans="3:17" x14ac:dyDescent="0.3">
      <c r="C180" s="333" t="s">
        <v>327</v>
      </c>
      <c r="D180" s="378"/>
      <c r="E180" s="378"/>
      <c r="F180" s="325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</row>
    <row r="181" spans="3:17" x14ac:dyDescent="0.3">
      <c r="C181" s="338" t="s">
        <v>328</v>
      </c>
      <c r="D181" s="279"/>
      <c r="E181" s="279"/>
      <c r="F181" s="327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</row>
    <row r="182" spans="3:17" x14ac:dyDescent="0.3">
      <c r="C182" s="338" t="str">
        <f>IF(D178&lt;D56,"  No Chequea, Es Necesario Incrementar el Area de Acero","CHEQUEA, se puede seguir diseñando")</f>
        <v>CHEQUEA, se puede seguir diseñando</v>
      </c>
      <c r="D182" s="279"/>
      <c r="E182" s="279"/>
      <c r="F182" s="327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</row>
    <row r="183" spans="3:17" ht="15.6" x14ac:dyDescent="0.3">
      <c r="C183" s="379">
        <f>D178</f>
        <v>471257.49158898962</v>
      </c>
      <c r="D183" s="380" t="str">
        <f>IF(D178&lt;D56," &lt; ","&gt;")</f>
        <v>&gt;</v>
      </c>
      <c r="E183" s="362">
        <f>D56</f>
        <v>20483.666505679532</v>
      </c>
      <c r="F183" s="327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</row>
    <row r="184" spans="3:17" ht="15" thickBot="1" x14ac:dyDescent="0.35">
      <c r="C184" s="381" t="str">
        <f>IF(D178&lt;D56,"P'u &lt; Pu","P'u &gt; Pu")</f>
        <v>P'u &gt; Pu</v>
      </c>
      <c r="D184" s="330"/>
      <c r="E184" s="330"/>
      <c r="F184" s="331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</row>
    <row r="185" spans="3:17" ht="15" thickBot="1" x14ac:dyDescent="0.35"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</row>
    <row r="186" spans="3:17" ht="15" thickBot="1" x14ac:dyDescent="0.35">
      <c r="C186" s="333" t="s">
        <v>329</v>
      </c>
      <c r="D186" s="324"/>
      <c r="E186" s="324"/>
      <c r="F186" s="324"/>
      <c r="G186" s="324"/>
      <c r="H186" s="324"/>
      <c r="I186" s="325"/>
      <c r="J186" s="28"/>
      <c r="K186" s="28"/>
      <c r="L186" s="28"/>
      <c r="M186" s="28"/>
      <c r="N186" s="28"/>
      <c r="O186" s="28"/>
      <c r="P186" s="28"/>
      <c r="Q186" s="28"/>
    </row>
    <row r="187" spans="3:17" x14ac:dyDescent="0.3">
      <c r="C187" s="361"/>
      <c r="D187" s="382" t="s">
        <v>330</v>
      </c>
      <c r="E187" s="324"/>
      <c r="F187" s="383"/>
      <c r="G187" s="324"/>
      <c r="H187" s="324"/>
      <c r="I187" s="325"/>
      <c r="J187" s="28"/>
      <c r="K187" s="28"/>
      <c r="L187" s="28"/>
      <c r="M187" s="28"/>
      <c r="N187" s="28"/>
      <c r="O187" s="28"/>
      <c r="P187" s="28"/>
      <c r="Q187" s="28"/>
    </row>
    <row r="188" spans="3:17" x14ac:dyDescent="0.3">
      <c r="C188" s="356" t="s">
        <v>331</v>
      </c>
      <c r="D188" s="288" t="s">
        <v>332</v>
      </c>
      <c r="E188" s="260" t="s">
        <v>333</v>
      </c>
      <c r="F188" s="289"/>
      <c r="G188" s="279" t="s">
        <v>334</v>
      </c>
      <c r="H188" s="260"/>
      <c r="I188" s="327"/>
      <c r="J188" s="28"/>
      <c r="K188" s="28"/>
      <c r="L188" s="28"/>
      <c r="M188" s="28"/>
      <c r="N188" s="28"/>
      <c r="O188" s="28"/>
      <c r="P188" s="28"/>
      <c r="Q188" s="28"/>
    </row>
    <row r="189" spans="3:17" ht="15" thickBot="1" x14ac:dyDescent="0.35">
      <c r="C189" s="329"/>
      <c r="D189" s="384" t="s">
        <v>335</v>
      </c>
      <c r="E189" s="330"/>
      <c r="F189" s="385"/>
      <c r="G189" s="330"/>
      <c r="H189" s="330"/>
      <c r="I189" s="331"/>
      <c r="J189" s="28"/>
      <c r="K189" s="28"/>
      <c r="L189" s="28"/>
      <c r="M189" s="28"/>
      <c r="N189" s="28"/>
      <c r="O189" s="28"/>
      <c r="P189" s="28"/>
      <c r="Q189" s="28"/>
    </row>
    <row r="190" spans="3:17" ht="15" thickBot="1" x14ac:dyDescent="0.35">
      <c r="C190" s="326" t="s">
        <v>336</v>
      </c>
      <c r="D190" s="260"/>
      <c r="E190" s="260"/>
      <c r="F190" s="260"/>
      <c r="G190" s="260"/>
      <c r="H190" s="260"/>
      <c r="I190" s="327"/>
      <c r="J190" s="28"/>
      <c r="K190" s="28"/>
      <c r="L190" s="28"/>
      <c r="M190" s="28"/>
      <c r="N190" s="28"/>
      <c r="O190" s="28"/>
      <c r="P190" s="28"/>
      <c r="Q190" s="28"/>
    </row>
    <row r="191" spans="3:17" x14ac:dyDescent="0.3">
      <c r="C191" s="361"/>
      <c r="D191" s="382">
        <f>H53/6</f>
        <v>66.666666666666671</v>
      </c>
      <c r="E191" s="324" t="s">
        <v>188</v>
      </c>
      <c r="F191" s="383"/>
      <c r="G191" s="324"/>
      <c r="H191" s="324"/>
      <c r="I191" s="325"/>
      <c r="J191" s="28"/>
      <c r="K191" s="28"/>
      <c r="L191" s="28"/>
      <c r="M191" s="28"/>
      <c r="N191" s="28"/>
      <c r="O191" s="28"/>
      <c r="P191" s="28"/>
      <c r="Q191" s="28"/>
    </row>
    <row r="192" spans="3:17" x14ac:dyDescent="0.3">
      <c r="C192" s="356" t="s">
        <v>331</v>
      </c>
      <c r="D192" s="288">
        <v>45</v>
      </c>
      <c r="E192" s="260" t="s">
        <v>188</v>
      </c>
      <c r="F192" s="289"/>
      <c r="G192" s="360" t="s">
        <v>337</v>
      </c>
      <c r="H192" s="386">
        <f>MAX(D191,D192,D193)</f>
        <v>75</v>
      </c>
      <c r="I192" s="327" t="s">
        <v>188</v>
      </c>
      <c r="J192" s="28"/>
      <c r="K192" s="28"/>
      <c r="L192" s="28"/>
      <c r="M192" s="28"/>
      <c r="N192" s="28"/>
      <c r="O192" s="28"/>
      <c r="P192" s="28"/>
      <c r="Q192" s="28"/>
    </row>
    <row r="193" spans="3:17" ht="15" thickBot="1" x14ac:dyDescent="0.35">
      <c r="C193" s="329"/>
      <c r="D193" s="384">
        <f>MAX(H48,H49)</f>
        <v>75</v>
      </c>
      <c r="E193" s="330" t="s">
        <v>188</v>
      </c>
      <c r="F193" s="385"/>
      <c r="G193" s="330"/>
      <c r="H193" s="330"/>
      <c r="I193" s="331"/>
      <c r="J193" s="28"/>
      <c r="K193" s="28"/>
      <c r="L193" s="28"/>
      <c r="M193" s="28"/>
      <c r="N193" s="28"/>
      <c r="O193" s="28"/>
      <c r="P193" s="28"/>
      <c r="Q193" s="28"/>
    </row>
    <row r="194" spans="3:17" x14ac:dyDescent="0.3"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</row>
    <row r="195" spans="3:17" ht="15" thickBot="1" x14ac:dyDescent="0.35"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</row>
    <row r="196" spans="3:17" x14ac:dyDescent="0.3">
      <c r="C196" s="333" t="s">
        <v>338</v>
      </c>
      <c r="D196" s="324"/>
      <c r="E196" s="324"/>
      <c r="F196" s="324"/>
      <c r="G196" s="324"/>
      <c r="H196" s="324"/>
      <c r="I196" s="325"/>
      <c r="J196" s="28"/>
      <c r="K196" s="28"/>
      <c r="L196" s="28"/>
      <c r="M196" s="28"/>
      <c r="N196" s="28"/>
      <c r="O196" s="28"/>
      <c r="P196" s="28"/>
      <c r="Q196" s="28"/>
    </row>
    <row r="197" spans="3:17" x14ac:dyDescent="0.3">
      <c r="C197" s="356" t="s">
        <v>339</v>
      </c>
      <c r="D197" s="260" t="s">
        <v>340</v>
      </c>
      <c r="E197" s="260"/>
      <c r="F197" s="260"/>
      <c r="G197" s="260"/>
      <c r="H197" s="260"/>
      <c r="I197" s="327"/>
      <c r="J197" s="28"/>
      <c r="K197" s="28"/>
      <c r="L197" s="28"/>
      <c r="M197" s="28"/>
      <c r="N197" s="28"/>
      <c r="O197" s="28"/>
      <c r="P197" s="28"/>
      <c r="Q197" s="28"/>
    </row>
    <row r="198" spans="3:17" x14ac:dyDescent="0.3">
      <c r="C198" s="356" t="s">
        <v>341</v>
      </c>
      <c r="D198" s="260" t="s">
        <v>342</v>
      </c>
      <c r="E198" s="260"/>
      <c r="F198" s="260"/>
      <c r="G198" s="260"/>
      <c r="H198" s="260"/>
      <c r="I198" s="327"/>
      <c r="J198" s="28"/>
      <c r="K198" s="28"/>
      <c r="L198" s="28"/>
      <c r="M198" s="28"/>
      <c r="N198" s="28"/>
      <c r="O198" s="28"/>
      <c r="P198" s="28"/>
      <c r="Q198" s="28"/>
    </row>
    <row r="199" spans="3:17" x14ac:dyDescent="0.3">
      <c r="C199" s="356" t="s">
        <v>343</v>
      </c>
      <c r="D199" s="260" t="s">
        <v>344</v>
      </c>
      <c r="E199" s="260"/>
      <c r="F199" s="260"/>
      <c r="G199" s="260"/>
      <c r="H199" s="260"/>
      <c r="I199" s="327"/>
      <c r="J199" s="28"/>
      <c r="K199" s="28"/>
      <c r="L199" s="28"/>
      <c r="M199" s="28"/>
      <c r="N199" s="28"/>
      <c r="O199" s="28"/>
      <c r="P199" s="28"/>
      <c r="Q199" s="28"/>
    </row>
    <row r="200" spans="3:17" x14ac:dyDescent="0.3">
      <c r="C200" s="326"/>
      <c r="D200" s="260"/>
      <c r="E200" s="260"/>
      <c r="F200" s="260"/>
      <c r="G200" s="260"/>
      <c r="H200" s="260"/>
      <c r="I200" s="327"/>
      <c r="J200" s="28"/>
      <c r="K200" s="28"/>
      <c r="L200" s="28"/>
      <c r="M200" s="28"/>
      <c r="N200" s="28"/>
      <c r="O200" s="28"/>
      <c r="P200" s="28"/>
      <c r="Q200" s="28"/>
    </row>
    <row r="201" spans="3:17" x14ac:dyDescent="0.3">
      <c r="C201" s="387" t="s">
        <v>345</v>
      </c>
      <c r="D201" s="260"/>
      <c r="E201" s="260"/>
      <c r="F201" s="260"/>
      <c r="G201" s="260"/>
      <c r="H201" s="260"/>
      <c r="I201" s="327"/>
      <c r="J201" s="28"/>
      <c r="K201" s="28"/>
      <c r="L201" s="28"/>
      <c r="M201" s="28"/>
      <c r="N201" s="28"/>
      <c r="O201" s="28"/>
      <c r="P201" s="28"/>
      <c r="Q201" s="28"/>
    </row>
    <row r="202" spans="3:17" x14ac:dyDescent="0.3">
      <c r="C202" s="356" t="s">
        <v>346</v>
      </c>
      <c r="D202" s="362">
        <v>3</v>
      </c>
      <c r="E202" s="260"/>
      <c r="F202" s="260"/>
      <c r="G202" s="260"/>
      <c r="H202" s="260"/>
      <c r="I202" s="327"/>
      <c r="J202" s="28"/>
      <c r="K202" s="28"/>
      <c r="L202" s="28"/>
      <c r="M202" s="28"/>
      <c r="N202" s="28"/>
      <c r="O202" s="28"/>
      <c r="P202" s="28"/>
      <c r="Q202" s="28"/>
    </row>
    <row r="203" spans="3:17" x14ac:dyDescent="0.3">
      <c r="C203" s="356" t="s">
        <v>339</v>
      </c>
      <c r="D203" s="362">
        <f>0.0792*(D202^2)</f>
        <v>0.7128000000000001</v>
      </c>
      <c r="E203" s="279" t="s">
        <v>347</v>
      </c>
      <c r="F203" s="260"/>
      <c r="G203" s="260"/>
      <c r="H203" s="260"/>
      <c r="I203" s="327"/>
      <c r="J203" s="28"/>
      <c r="K203" s="28"/>
      <c r="L203" s="28"/>
      <c r="M203" s="28"/>
      <c r="N203" s="28"/>
      <c r="O203" s="28"/>
      <c r="P203" s="28"/>
      <c r="Q203" s="28"/>
    </row>
    <row r="204" spans="3:17" x14ac:dyDescent="0.3">
      <c r="C204" s="326"/>
      <c r="D204" s="260"/>
      <c r="E204" s="260"/>
      <c r="F204" s="260"/>
      <c r="G204" s="260"/>
      <c r="H204" s="260"/>
      <c r="I204" s="327"/>
      <c r="J204" s="28"/>
      <c r="K204" s="28"/>
      <c r="L204" s="28"/>
      <c r="M204" s="28"/>
      <c r="N204" s="28"/>
      <c r="O204" s="28"/>
      <c r="P204" s="28"/>
      <c r="Q204" s="28"/>
    </row>
    <row r="205" spans="3:17" x14ac:dyDescent="0.3">
      <c r="C205" s="338" t="s">
        <v>348</v>
      </c>
      <c r="D205" s="260"/>
      <c r="E205" s="260"/>
      <c r="F205" s="260"/>
      <c r="G205" s="260"/>
      <c r="H205" s="260"/>
      <c r="I205" s="327"/>
      <c r="J205" s="28"/>
      <c r="K205" s="28"/>
      <c r="L205" s="28"/>
      <c r="M205" s="28"/>
      <c r="N205" s="28"/>
      <c r="O205" s="28"/>
      <c r="P205" s="28"/>
      <c r="Q205" s="28"/>
    </row>
    <row r="206" spans="3:17" x14ac:dyDescent="0.3">
      <c r="C206" s="356" t="s">
        <v>341</v>
      </c>
      <c r="D206" s="362">
        <v>12</v>
      </c>
      <c r="E206" s="260" t="str">
        <f>IF(D206&gt;0,"Ingresado ","aun no a ingresado una longitud")</f>
        <v xml:space="preserve">Ingresado </v>
      </c>
      <c r="F206" s="260"/>
      <c r="G206" s="260"/>
      <c r="H206" s="260"/>
      <c r="I206" s="327"/>
      <c r="J206" s="28"/>
      <c r="K206" s="28"/>
      <c r="L206" s="28"/>
      <c r="M206" s="28"/>
      <c r="N206" s="28"/>
      <c r="O206" s="28"/>
      <c r="P206" s="28"/>
      <c r="Q206" s="28"/>
    </row>
    <row r="207" spans="3:17" x14ac:dyDescent="0.3">
      <c r="C207" s="326"/>
      <c r="D207" s="260"/>
      <c r="E207" s="260"/>
      <c r="F207" s="260"/>
      <c r="G207" s="260"/>
      <c r="H207" s="260"/>
      <c r="I207" s="327"/>
      <c r="J207" s="28"/>
      <c r="K207" s="28"/>
      <c r="L207" s="28"/>
      <c r="M207" s="28"/>
      <c r="N207" s="28"/>
      <c r="O207" s="28"/>
      <c r="P207" s="28"/>
      <c r="Q207" s="28"/>
    </row>
    <row r="208" spans="3:17" x14ac:dyDescent="0.3">
      <c r="C208" s="338" t="s">
        <v>349</v>
      </c>
      <c r="D208" s="260"/>
      <c r="E208" s="260"/>
      <c r="F208" s="260"/>
      <c r="G208" s="260"/>
      <c r="H208" s="260"/>
      <c r="I208" s="327"/>
      <c r="J208" s="28"/>
      <c r="K208" s="28"/>
      <c r="L208" s="28"/>
      <c r="M208" s="28"/>
      <c r="N208" s="28"/>
      <c r="O208" s="28"/>
      <c r="P208" s="28"/>
      <c r="Q208" s="28"/>
    </row>
    <row r="209" spans="1:17" x14ac:dyDescent="0.3">
      <c r="C209" s="356" t="s">
        <v>343</v>
      </c>
      <c r="D209" s="260">
        <f>0.85*(0.45*(D47/D48)*((D137/K159-1)))</f>
        <v>9.4720882730737616E-3</v>
      </c>
      <c r="E209" s="260"/>
      <c r="F209" s="260"/>
      <c r="G209" s="260"/>
      <c r="H209" s="260"/>
      <c r="I209" s="327"/>
      <c r="J209" s="28"/>
      <c r="K209" s="28"/>
      <c r="L209" s="28"/>
      <c r="M209" s="28"/>
      <c r="N209" s="28"/>
      <c r="O209" s="28"/>
      <c r="P209" s="28"/>
      <c r="Q209" s="28"/>
    </row>
    <row r="210" spans="1:17" x14ac:dyDescent="0.3">
      <c r="C210" s="326"/>
      <c r="D210" s="260"/>
      <c r="E210" s="260"/>
      <c r="F210" s="260"/>
      <c r="G210" s="260"/>
      <c r="H210" s="260"/>
      <c r="I210" s="327"/>
      <c r="J210" s="28"/>
      <c r="K210" s="28"/>
      <c r="L210" s="28"/>
      <c r="M210" s="28"/>
      <c r="N210" s="28"/>
      <c r="O210" s="28"/>
      <c r="P210" s="28"/>
      <c r="Q210" s="28"/>
    </row>
    <row r="211" spans="1:17" ht="15" thickBot="1" x14ac:dyDescent="0.35">
      <c r="C211" s="326"/>
      <c r="D211" s="260"/>
      <c r="E211" s="260"/>
      <c r="F211" s="260"/>
      <c r="G211" s="260"/>
      <c r="H211" s="260"/>
      <c r="I211" s="327"/>
      <c r="J211" s="28"/>
      <c r="K211" s="28"/>
      <c r="L211" s="28"/>
      <c r="M211" s="28"/>
      <c r="N211" s="28"/>
      <c r="O211" s="28"/>
      <c r="P211" s="28"/>
      <c r="Q211" s="28"/>
    </row>
    <row r="212" spans="1:17" x14ac:dyDescent="0.3">
      <c r="C212" s="333" t="s">
        <v>350</v>
      </c>
      <c r="D212" s="324"/>
      <c r="E212" s="324"/>
      <c r="F212" s="324"/>
      <c r="G212" s="324"/>
      <c r="H212" s="324"/>
      <c r="I212" s="325"/>
      <c r="J212" s="28"/>
      <c r="K212" s="28"/>
      <c r="L212" s="28"/>
      <c r="M212" s="28"/>
      <c r="N212" s="28"/>
      <c r="O212" s="28"/>
      <c r="P212" s="28"/>
      <c r="Q212" s="28"/>
    </row>
    <row r="213" spans="1:17" x14ac:dyDescent="0.3">
      <c r="C213" s="356" t="s">
        <v>351</v>
      </c>
      <c r="D213" s="357">
        <f>(2*D203)/(D206*D209)</f>
        <v>12.54211284513806</v>
      </c>
      <c r="E213" s="260" t="s">
        <v>312</v>
      </c>
      <c r="F213" s="260"/>
      <c r="G213" s="260"/>
      <c r="H213" s="260"/>
      <c r="I213" s="327"/>
      <c r="J213" s="28"/>
      <c r="K213" s="28"/>
      <c r="L213" s="28"/>
      <c r="M213" s="28"/>
      <c r="N213" s="28"/>
      <c r="O213" s="28"/>
      <c r="P213" s="28"/>
      <c r="Q213" s="28"/>
    </row>
    <row r="214" spans="1:17" x14ac:dyDescent="0.3">
      <c r="C214" s="338" t="str">
        <f>IF(D213&lt;5,"  Es   necesario   disminuir    Ln   porque "," So  es la separacion maxima entre estribos ya que")</f>
        <v xml:space="preserve"> So  es la separacion maxima entre estribos ya que</v>
      </c>
      <c r="D214" s="260"/>
      <c r="E214" s="260"/>
      <c r="F214" s="260"/>
      <c r="G214" s="280">
        <f>D213</f>
        <v>12.54211284513806</v>
      </c>
      <c r="H214" s="388" t="str">
        <f>IF(D213&lt;5,"  &lt; "," &gt;")</f>
        <v xml:space="preserve"> &gt;</v>
      </c>
      <c r="I214" s="389">
        <v>5</v>
      </c>
      <c r="J214" s="28"/>
      <c r="K214" s="28"/>
      <c r="L214" s="28"/>
      <c r="M214" s="28"/>
      <c r="N214" s="28"/>
      <c r="O214" s="28"/>
      <c r="P214" s="28"/>
      <c r="Q214" s="28"/>
    </row>
    <row r="215" spans="1:17" x14ac:dyDescent="0.3">
      <c r="C215" s="326" t="s">
        <v>352</v>
      </c>
      <c r="D215" s="260"/>
      <c r="E215" s="260"/>
      <c r="F215" s="260"/>
      <c r="G215" s="260"/>
      <c r="H215" s="260"/>
      <c r="I215" s="327"/>
      <c r="J215" s="28"/>
      <c r="K215" s="28"/>
      <c r="L215" s="28"/>
      <c r="M215" s="28"/>
      <c r="N215" s="28"/>
      <c r="O215" s="28"/>
      <c r="P215" s="28"/>
      <c r="Q215" s="28"/>
    </row>
    <row r="216" spans="1:17" ht="15" thickBot="1" x14ac:dyDescent="0.35">
      <c r="C216" s="329" t="str">
        <f>IF(G214&lt;10," y si podemos utilizar este dato porque es menor a 10 "," pero no podemos usar este dato porque es mayor a 10, vuelva a verificar  Ln")</f>
        <v xml:space="preserve"> pero no podemos usar este dato porque es mayor a 10, vuelva a verificar  Ln</v>
      </c>
      <c r="D216" s="330"/>
      <c r="E216" s="330"/>
      <c r="F216" s="330"/>
      <c r="G216" s="330"/>
      <c r="H216" s="330"/>
      <c r="I216" s="331"/>
      <c r="J216" s="28"/>
      <c r="K216" s="28"/>
      <c r="L216" s="28"/>
      <c r="M216" s="28"/>
      <c r="N216" s="28"/>
      <c r="O216" s="28"/>
      <c r="P216" s="28"/>
      <c r="Q216" s="28"/>
    </row>
    <row r="217" spans="1:17" ht="15" thickBot="1" x14ac:dyDescent="0.35">
      <c r="C217" s="326"/>
      <c r="D217" s="260"/>
      <c r="E217" s="260"/>
      <c r="F217" s="260"/>
      <c r="G217" s="260"/>
      <c r="H217" s="260"/>
      <c r="I217" s="327"/>
      <c r="J217" s="28"/>
      <c r="K217" s="28"/>
      <c r="L217" s="28"/>
      <c r="M217" s="28"/>
      <c r="N217" s="28"/>
      <c r="O217" s="28"/>
      <c r="P217" s="28"/>
      <c r="Q217" s="28"/>
    </row>
    <row r="218" spans="1:17" x14ac:dyDescent="0.3">
      <c r="C218" s="333" t="s">
        <v>350</v>
      </c>
      <c r="D218" s="324"/>
      <c r="E218" s="324"/>
      <c r="F218" s="324"/>
      <c r="G218" s="324"/>
      <c r="H218" s="324"/>
      <c r="I218" s="325"/>
      <c r="J218" s="28"/>
      <c r="K218" s="28"/>
      <c r="L218" s="28"/>
      <c r="M218" s="28"/>
      <c r="N218" s="28"/>
      <c r="O218" s="28"/>
      <c r="P218" s="28"/>
      <c r="Q218" s="28"/>
    </row>
    <row r="219" spans="1:17" x14ac:dyDescent="0.3">
      <c r="C219" s="377" t="s">
        <v>353</v>
      </c>
      <c r="D219" s="362">
        <f>(MIN(H48,H49))/2</f>
        <v>37.5</v>
      </c>
      <c r="E219" s="260" t="s">
        <v>312</v>
      </c>
      <c r="F219" s="260"/>
      <c r="G219" s="260"/>
      <c r="H219" s="260"/>
      <c r="I219" s="327"/>
      <c r="J219" s="28"/>
      <c r="K219" s="28"/>
      <c r="L219" s="28"/>
      <c r="M219" s="28"/>
      <c r="N219" s="28"/>
      <c r="O219" s="28"/>
      <c r="P219" s="28"/>
      <c r="Q219" s="28"/>
    </row>
    <row r="220" spans="1:17" ht="15" thickBot="1" x14ac:dyDescent="0.35">
      <c r="A220">
        <f>40/3</f>
        <v>13.333333333333334</v>
      </c>
      <c r="C220" s="381" t="s">
        <v>354</v>
      </c>
      <c r="D220" s="330"/>
      <c r="E220" s="330"/>
      <c r="F220" s="330"/>
      <c r="G220" s="330"/>
      <c r="H220" s="330"/>
      <c r="I220" s="331"/>
      <c r="J220" s="28"/>
      <c r="K220" s="28"/>
      <c r="L220" s="28"/>
      <c r="M220" s="28"/>
      <c r="N220" s="28"/>
      <c r="O220" s="28"/>
      <c r="P220" s="28"/>
      <c r="Q220" s="28"/>
    </row>
    <row r="221" spans="1:17" x14ac:dyDescent="0.3"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</row>
    <row r="222" spans="1:17" x14ac:dyDescent="0.3"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</row>
    <row r="223" spans="1:17" x14ac:dyDescent="0.3"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</row>
    <row r="224" spans="1:17" x14ac:dyDescent="0.3">
      <c r="C224" s="290" t="s">
        <v>355</v>
      </c>
      <c r="D224" s="272"/>
      <c r="E224" s="272"/>
      <c r="F224" s="272"/>
      <c r="G224" s="272"/>
      <c r="H224" s="272"/>
      <c r="I224" s="272"/>
      <c r="J224" s="272"/>
      <c r="K224" s="272"/>
      <c r="L224" s="272"/>
      <c r="M224" s="272"/>
      <c r="N224" s="273"/>
      <c r="O224" s="28"/>
      <c r="P224" s="28"/>
      <c r="Q224" s="28"/>
    </row>
    <row r="225" spans="3:17" x14ac:dyDescent="0.3">
      <c r="C225" s="288" t="s">
        <v>356</v>
      </c>
      <c r="D225" s="260"/>
      <c r="E225" s="260"/>
      <c r="F225" s="260"/>
      <c r="G225" s="260"/>
      <c r="H225" s="390">
        <f>+G214</f>
        <v>12.54211284513806</v>
      </c>
      <c r="I225" s="260" t="s">
        <v>312</v>
      </c>
      <c r="J225" s="260" t="str">
        <f>IF(H225&gt;0,"Ingresado ","aun no hay una dato exacto")</f>
        <v xml:space="preserve">Ingresado </v>
      </c>
      <c r="K225" s="260"/>
      <c r="L225" s="260"/>
      <c r="M225" s="260">
        <f>+H53</f>
        <v>400</v>
      </c>
      <c r="N225" s="289" t="s">
        <v>120</v>
      </c>
      <c r="O225" s="28"/>
      <c r="P225" s="28"/>
      <c r="Q225" s="28"/>
    </row>
    <row r="226" spans="3:17" x14ac:dyDescent="0.3">
      <c r="C226" s="288" t="s">
        <v>357</v>
      </c>
      <c r="D226" s="260"/>
      <c r="E226" s="260"/>
      <c r="F226" s="260"/>
      <c r="G226" s="260"/>
      <c r="H226" s="295">
        <f>+D219</f>
        <v>37.5</v>
      </c>
      <c r="I226" s="260" t="s">
        <v>312</v>
      </c>
      <c r="J226" s="260" t="str">
        <f>IF(H225&gt;0,"Ingresado ","aun no hay una dato exacto")</f>
        <v xml:space="preserve">Ingresado </v>
      </c>
      <c r="K226" s="260"/>
      <c r="L226" s="260"/>
      <c r="M226" s="260">
        <f>+H192</f>
        <v>75</v>
      </c>
      <c r="N226" s="289" t="s">
        <v>120</v>
      </c>
      <c r="O226" s="28"/>
      <c r="P226" s="28"/>
      <c r="Q226" s="28"/>
    </row>
    <row r="227" spans="3:17" x14ac:dyDescent="0.3">
      <c r="C227" s="288"/>
      <c r="D227" s="260"/>
      <c r="E227" s="260"/>
      <c r="F227" s="260"/>
      <c r="G227" s="260"/>
      <c r="H227" s="260"/>
      <c r="I227" s="260"/>
      <c r="J227" s="260"/>
      <c r="K227" s="260"/>
      <c r="L227" s="260"/>
      <c r="M227" s="260"/>
      <c r="N227" s="289"/>
      <c r="O227" s="28"/>
      <c r="P227" s="28"/>
      <c r="Q227" s="28"/>
    </row>
    <row r="228" spans="3:17" x14ac:dyDescent="0.3">
      <c r="C228" s="391" t="s">
        <v>358</v>
      </c>
      <c r="D228" s="272">
        <f>(H48)-(2*100*E156)</f>
        <v>65</v>
      </c>
      <c r="E228" s="273" t="s">
        <v>359</v>
      </c>
      <c r="F228" s="260"/>
      <c r="G228" s="260"/>
      <c r="H228" s="260"/>
      <c r="I228" s="260"/>
      <c r="J228" s="260"/>
      <c r="K228" s="260"/>
      <c r="L228" s="260"/>
      <c r="M228" s="260"/>
      <c r="N228" s="289"/>
      <c r="O228" s="28"/>
      <c r="P228" s="28"/>
      <c r="Q228" s="28"/>
    </row>
    <row r="229" spans="3:17" x14ac:dyDescent="0.3">
      <c r="C229" s="392" t="s">
        <v>360</v>
      </c>
      <c r="D229" s="277">
        <f>(H49)-(2*100*E157)</f>
        <v>65</v>
      </c>
      <c r="E229" s="293" t="s">
        <v>359</v>
      </c>
      <c r="F229" s="260"/>
      <c r="G229" s="260"/>
      <c r="H229" s="260"/>
      <c r="I229" s="260">
        <f>+H226*G232</f>
        <v>212.5</v>
      </c>
      <c r="J229" s="260"/>
      <c r="K229" s="260"/>
      <c r="L229" s="260"/>
      <c r="M229" s="260"/>
      <c r="N229" s="289"/>
      <c r="O229" s="28"/>
      <c r="P229" s="28"/>
      <c r="Q229" s="28"/>
    </row>
    <row r="230" spans="3:17" x14ac:dyDescent="0.3">
      <c r="C230" s="288"/>
      <c r="D230" s="260"/>
      <c r="E230" s="260"/>
      <c r="F230" s="260"/>
      <c r="G230" s="260"/>
      <c r="H230" s="260"/>
      <c r="I230" s="260"/>
      <c r="J230" s="260"/>
      <c r="K230" s="260"/>
      <c r="L230" s="260"/>
      <c r="M230" s="260"/>
      <c r="N230" s="289"/>
      <c r="O230" s="28"/>
      <c r="P230" s="28"/>
      <c r="Q230" s="28"/>
    </row>
    <row r="231" spans="3:17" x14ac:dyDescent="0.3">
      <c r="C231" s="288" t="s">
        <v>361</v>
      </c>
      <c r="D231" s="260"/>
      <c r="E231" s="260"/>
      <c r="F231" s="260"/>
      <c r="G231" s="393">
        <f>+M226/H225+1</f>
        <v>6.9798537077485863</v>
      </c>
      <c r="H231" s="260" t="s">
        <v>362</v>
      </c>
      <c r="I231" s="260"/>
      <c r="J231" s="394">
        <f>2*G231</f>
        <v>13.959707415497173</v>
      </c>
      <c r="K231" s="260" t="s">
        <v>363</v>
      </c>
      <c r="L231" s="260"/>
      <c r="M231" s="260"/>
      <c r="N231" s="289"/>
      <c r="O231" s="28"/>
      <c r="P231" s="28"/>
      <c r="Q231" s="28"/>
    </row>
    <row r="232" spans="3:17" x14ac:dyDescent="0.3">
      <c r="C232" s="288" t="s">
        <v>364</v>
      </c>
      <c r="D232" s="260"/>
      <c r="E232" s="260"/>
      <c r="F232" s="260"/>
      <c r="G232" s="393">
        <f>+(M225-2*M226)/H226 -1</f>
        <v>5.666666666666667</v>
      </c>
      <c r="H232" s="260" t="s">
        <v>362</v>
      </c>
      <c r="I232" s="260"/>
      <c r="J232" s="395">
        <f>G232</f>
        <v>5.666666666666667</v>
      </c>
      <c r="K232" s="260" t="s">
        <v>363</v>
      </c>
      <c r="L232" s="260"/>
      <c r="M232" s="260"/>
      <c r="N232" s="289"/>
      <c r="O232" s="28"/>
      <c r="P232" s="28"/>
      <c r="Q232" s="28"/>
    </row>
    <row r="233" spans="3:17" x14ac:dyDescent="0.3">
      <c r="C233" s="300"/>
      <c r="D233" s="277"/>
      <c r="E233" s="277"/>
      <c r="F233" s="277"/>
      <c r="G233" s="277"/>
      <c r="H233" s="277"/>
      <c r="I233" s="277"/>
      <c r="J233" s="395">
        <f>SUM(J231:J232)</f>
        <v>19.626374082163839</v>
      </c>
      <c r="K233" s="277" t="s">
        <v>365</v>
      </c>
      <c r="L233" s="277"/>
      <c r="M233" s="277"/>
      <c r="N233" s="293"/>
      <c r="O233" s="28"/>
      <c r="P233" s="28"/>
      <c r="Q233" s="28"/>
    </row>
    <row r="234" spans="3:17" ht="15" thickBot="1" x14ac:dyDescent="0.35"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</row>
    <row r="235" spans="3:17" x14ac:dyDescent="0.3">
      <c r="C235" s="290" t="s">
        <v>366</v>
      </c>
      <c r="D235" s="272"/>
      <c r="E235" s="272"/>
      <c r="F235" s="396">
        <f>2*(D228/100)+2*(D229/100)+(7*D203/100)</f>
        <v>2.649896</v>
      </c>
      <c r="G235" s="272" t="s">
        <v>304</v>
      </c>
      <c r="H235" s="272"/>
      <c r="I235" s="272"/>
      <c r="J235" s="272"/>
      <c r="K235" s="273"/>
      <c r="L235" s="28"/>
      <c r="M235" s="309" t="s">
        <v>264</v>
      </c>
      <c r="N235" s="311" t="s">
        <v>267</v>
      </c>
      <c r="O235" s="28"/>
      <c r="P235" s="28"/>
      <c r="Q235" s="28"/>
    </row>
    <row r="236" spans="3:17" x14ac:dyDescent="0.3">
      <c r="C236" s="288" t="s">
        <v>367</v>
      </c>
      <c r="D236" s="175">
        <f>F235*J233</f>
        <v>52.007850174829628</v>
      </c>
      <c r="E236" s="260" t="s">
        <v>368</v>
      </c>
      <c r="F236" s="260"/>
      <c r="G236" s="260"/>
      <c r="H236" s="260"/>
      <c r="I236" s="260"/>
      <c r="J236" s="260"/>
      <c r="K236" s="289"/>
      <c r="L236" s="28"/>
      <c r="M236" s="397">
        <v>2</v>
      </c>
      <c r="N236" s="317">
        <v>30</v>
      </c>
      <c r="O236" s="28"/>
      <c r="P236" s="28"/>
      <c r="Q236" s="28"/>
    </row>
    <row r="237" spans="3:17" x14ac:dyDescent="0.3">
      <c r="C237" s="274" t="s">
        <v>369</v>
      </c>
      <c r="D237" s="260"/>
      <c r="E237" s="260"/>
      <c r="F237" s="260"/>
      <c r="G237" s="260"/>
      <c r="H237" s="398">
        <f>(J233*F235)/6</f>
        <v>8.6679750291382707</v>
      </c>
      <c r="I237" s="260" t="s">
        <v>370</v>
      </c>
      <c r="J237" s="260"/>
      <c r="K237" s="399">
        <f>D202</f>
        <v>3</v>
      </c>
      <c r="L237" s="28"/>
      <c r="M237" s="397">
        <v>3</v>
      </c>
      <c r="N237" s="317">
        <v>13</v>
      </c>
      <c r="O237" s="28"/>
      <c r="P237" s="28"/>
      <c r="Q237" s="28"/>
    </row>
    <row r="238" spans="3:17" x14ac:dyDescent="0.3">
      <c r="C238" s="288"/>
      <c r="D238" s="260"/>
      <c r="E238" s="260"/>
      <c r="F238" s="260"/>
      <c r="G238" s="260"/>
      <c r="H238" s="260"/>
      <c r="I238" s="260"/>
      <c r="J238" s="260"/>
      <c r="K238" s="289"/>
      <c r="L238" s="28"/>
      <c r="M238" s="397">
        <v>4</v>
      </c>
      <c r="N238" s="317">
        <v>7.5</v>
      </c>
      <c r="O238" s="28"/>
      <c r="P238" s="28"/>
      <c r="Q238" s="28"/>
    </row>
    <row r="239" spans="3:17" x14ac:dyDescent="0.3">
      <c r="C239" s="288" t="s">
        <v>371</v>
      </c>
      <c r="D239" s="260"/>
      <c r="E239" s="200"/>
      <c r="F239" s="260"/>
      <c r="G239" s="362">
        <f>K237</f>
        <v>3</v>
      </c>
      <c r="H239" s="400">
        <v>13</v>
      </c>
      <c r="I239" s="260" t="str">
        <f>IF(H239&gt;0,"Ingresado ","aun no a ingresado un numero de varillas/qq")</f>
        <v xml:space="preserve">Ingresado </v>
      </c>
      <c r="J239" s="260"/>
      <c r="K239" s="289"/>
      <c r="L239" s="28"/>
      <c r="M239" s="397">
        <v>5</v>
      </c>
      <c r="N239" s="317">
        <v>4.6500000000000004</v>
      </c>
      <c r="O239" s="28"/>
      <c r="P239" s="28"/>
      <c r="Q239" s="28"/>
    </row>
    <row r="240" spans="3:17" x14ac:dyDescent="0.3">
      <c r="C240" s="300" t="s">
        <v>372</v>
      </c>
      <c r="D240" s="277"/>
      <c r="E240" s="342"/>
      <c r="F240" s="401">
        <f>H237/H239</f>
        <v>0.66676730993371314</v>
      </c>
      <c r="G240" s="277" t="s">
        <v>373</v>
      </c>
      <c r="H240" s="277"/>
      <c r="I240" s="277"/>
      <c r="J240" s="277"/>
      <c r="K240" s="293"/>
      <c r="L240" s="28"/>
      <c r="M240" s="397">
        <v>6</v>
      </c>
      <c r="N240" s="317">
        <v>3.27</v>
      </c>
      <c r="O240" s="28"/>
      <c r="P240" s="28"/>
      <c r="Q240" s="28"/>
    </row>
    <row r="241" spans="2:17" x14ac:dyDescent="0.3">
      <c r="C241" s="290"/>
      <c r="D241" s="272"/>
      <c r="E241" s="272"/>
      <c r="F241" s="272"/>
      <c r="G241" s="272"/>
      <c r="H241" s="272"/>
      <c r="I241" s="272"/>
      <c r="J241" s="272"/>
      <c r="K241" s="273"/>
      <c r="L241" s="28"/>
      <c r="M241" s="397">
        <v>7</v>
      </c>
      <c r="N241" s="317">
        <v>2.4</v>
      </c>
      <c r="O241" s="28"/>
      <c r="P241" s="28"/>
      <c r="Q241" s="28"/>
    </row>
    <row r="242" spans="2:17" x14ac:dyDescent="0.3">
      <c r="C242" s="290" t="s">
        <v>374</v>
      </c>
      <c r="D242" s="272"/>
      <c r="E242" s="272"/>
      <c r="F242" s="402">
        <f>H53/100</f>
        <v>4</v>
      </c>
      <c r="G242" s="272" t="s">
        <v>304</v>
      </c>
      <c r="H242" s="272"/>
      <c r="I242" s="272"/>
      <c r="J242" s="272"/>
      <c r="K242" s="273"/>
      <c r="L242" s="28"/>
      <c r="M242" s="397">
        <v>8</v>
      </c>
      <c r="N242" s="317">
        <v>1.82</v>
      </c>
      <c r="O242" s="28"/>
      <c r="P242" s="28"/>
      <c r="Q242" s="28"/>
    </row>
    <row r="243" spans="2:17" x14ac:dyDescent="0.3">
      <c r="B243">
        <f>+F243/6</f>
        <v>6.666666666666667</v>
      </c>
      <c r="C243" s="288" t="s">
        <v>375</v>
      </c>
      <c r="D243" s="260"/>
      <c r="E243" s="260"/>
      <c r="F243" s="200">
        <f>(F242*C131)+(F242*C132)</f>
        <v>40</v>
      </c>
      <c r="G243" s="260" t="s">
        <v>376</v>
      </c>
      <c r="H243" s="260"/>
      <c r="I243" s="260"/>
      <c r="J243" s="260"/>
      <c r="K243" s="289"/>
      <c r="L243" s="28"/>
      <c r="M243" s="397">
        <v>9</v>
      </c>
      <c r="N243" s="317">
        <v>1.44</v>
      </c>
      <c r="O243" s="28"/>
      <c r="P243" s="28"/>
      <c r="Q243" s="28"/>
    </row>
    <row r="244" spans="2:17" x14ac:dyDescent="0.3">
      <c r="B244">
        <f>+B243/10</f>
        <v>0.66666666666666674</v>
      </c>
      <c r="C244" s="288" t="s">
        <v>377</v>
      </c>
      <c r="D244" s="260"/>
      <c r="E244" s="260"/>
      <c r="F244" s="398">
        <f>+B245</f>
        <v>2.666666666666667</v>
      </c>
      <c r="G244" s="260" t="s">
        <v>378</v>
      </c>
      <c r="H244" s="260"/>
      <c r="I244" s="403">
        <f>F131</f>
        <v>6</v>
      </c>
      <c r="J244" s="260" t="s">
        <v>379</v>
      </c>
      <c r="K244" s="289"/>
      <c r="L244" s="28"/>
      <c r="M244" s="397">
        <v>10</v>
      </c>
      <c r="N244" s="332"/>
      <c r="O244" s="28"/>
      <c r="P244" s="28"/>
      <c r="Q244" s="28"/>
    </row>
    <row r="245" spans="2:17" x14ac:dyDescent="0.3">
      <c r="B245">
        <f>+B244*4</f>
        <v>2.666666666666667</v>
      </c>
      <c r="C245" s="288"/>
      <c r="D245" s="260"/>
      <c r="E245" s="260"/>
      <c r="F245" s="398">
        <f>+B246</f>
        <v>4</v>
      </c>
      <c r="G245" s="260" t="s">
        <v>378</v>
      </c>
      <c r="H245" s="260"/>
      <c r="I245" s="403">
        <f>F132</f>
        <v>4</v>
      </c>
      <c r="J245" s="260"/>
      <c r="K245" s="289"/>
      <c r="L245" s="28"/>
      <c r="M245" s="397">
        <v>11</v>
      </c>
      <c r="N245" s="332"/>
      <c r="O245" s="28"/>
      <c r="P245" s="28"/>
      <c r="Q245" s="28"/>
    </row>
    <row r="246" spans="2:17" ht="15" thickBot="1" x14ac:dyDescent="0.35">
      <c r="B246" s="232">
        <f>+B243-B245</f>
        <v>4</v>
      </c>
      <c r="C246" s="288" t="s">
        <v>380</v>
      </c>
      <c r="D246" s="260"/>
      <c r="E246" s="260"/>
      <c r="F246" s="260"/>
      <c r="G246" s="362">
        <f>I244</f>
        <v>6</v>
      </c>
      <c r="H246" s="400">
        <f>LOOKUP(G246,M236:N246)</f>
        <v>3.27</v>
      </c>
      <c r="I246" s="260" t="str">
        <f>IF(H246&gt;0,"Ingresado ","aun no a ingresado un numero de varillas/qq")</f>
        <v xml:space="preserve">Ingresado </v>
      </c>
      <c r="J246" s="260"/>
      <c r="K246" s="289"/>
      <c r="L246" s="28"/>
      <c r="M246" s="404">
        <v>12</v>
      </c>
      <c r="N246" s="405"/>
      <c r="O246" s="28"/>
      <c r="P246" s="28"/>
      <c r="Q246" s="28"/>
    </row>
    <row r="247" spans="2:17" x14ac:dyDescent="0.3">
      <c r="C247" s="288" t="s">
        <v>380</v>
      </c>
      <c r="D247" s="260"/>
      <c r="E247" s="260"/>
      <c r="F247" s="260"/>
      <c r="G247" s="362">
        <f>I245</f>
        <v>4</v>
      </c>
      <c r="H247" s="400">
        <f>LOOKUP(G247,M236:N246)</f>
        <v>7.5</v>
      </c>
      <c r="I247" s="260" t="str">
        <f>IF(H247&gt;0,"Ingresado ","aun no a ingresado un numero de varillas/qq")</f>
        <v xml:space="preserve">Ingresado </v>
      </c>
      <c r="J247" s="260"/>
      <c r="K247" s="289"/>
      <c r="L247" s="28"/>
      <c r="M247" s="28"/>
      <c r="N247" s="28"/>
      <c r="O247" s="28"/>
      <c r="P247" s="28"/>
      <c r="Q247" s="28"/>
    </row>
    <row r="248" spans="2:17" x14ac:dyDescent="0.3">
      <c r="C248" s="300" t="s">
        <v>372</v>
      </c>
      <c r="D248" s="277"/>
      <c r="E248" s="277"/>
      <c r="F248" s="401">
        <f>(F244/H246)+(F245/H247)</f>
        <v>1.3488277268093782</v>
      </c>
      <c r="G248" s="277" t="s">
        <v>381</v>
      </c>
      <c r="H248" s="277"/>
      <c r="I248" s="277"/>
      <c r="J248" s="277"/>
      <c r="K248" s="293"/>
      <c r="L248" s="28"/>
      <c r="M248" s="28"/>
      <c r="N248" s="28"/>
      <c r="O248" s="28"/>
      <c r="P248" s="28"/>
      <c r="Q248" s="28"/>
    </row>
    <row r="249" spans="2:17" x14ac:dyDescent="0.3">
      <c r="C249" s="260"/>
      <c r="D249" s="260"/>
      <c r="E249" s="260"/>
      <c r="F249" s="260"/>
      <c r="G249" s="260"/>
      <c r="H249" s="260"/>
      <c r="I249" s="260"/>
      <c r="J249" s="28"/>
      <c r="K249" s="28"/>
      <c r="L249" s="28"/>
      <c r="M249" s="28"/>
      <c r="N249" s="28"/>
      <c r="O249" s="28"/>
      <c r="P249" s="28"/>
      <c r="Q249" s="28"/>
    </row>
    <row r="250" spans="2:17" ht="15.6" x14ac:dyDescent="0.3">
      <c r="C250" s="406" t="s">
        <v>382</v>
      </c>
      <c r="D250" s="407"/>
      <c r="E250" s="408">
        <f>F240+F248</f>
        <v>2.0155950367430915</v>
      </c>
      <c r="F250" s="407" t="s">
        <v>383</v>
      </c>
      <c r="G250" s="407"/>
      <c r="H250" s="407"/>
      <c r="I250" s="409"/>
      <c r="J250" s="28"/>
      <c r="K250" s="28"/>
      <c r="L250" s="28"/>
      <c r="M250" s="28"/>
      <c r="N250" s="28"/>
      <c r="O250" s="28"/>
      <c r="P250" s="28"/>
      <c r="Q250" s="28"/>
    </row>
    <row r="251" spans="2:17" ht="15.6" x14ac:dyDescent="0.3">
      <c r="C251" s="410" t="s">
        <v>384</v>
      </c>
      <c r="D251" s="411"/>
      <c r="E251" s="412">
        <f>(H48/100)*(H49/100)*(H53/100)</f>
        <v>2.25</v>
      </c>
      <c r="F251" s="411" t="s">
        <v>385</v>
      </c>
      <c r="G251" s="411"/>
      <c r="H251" s="411"/>
      <c r="I251" s="413"/>
      <c r="J251" s="28"/>
      <c r="K251" s="28"/>
      <c r="L251" s="28"/>
      <c r="M251" s="28"/>
      <c r="N251" s="28"/>
      <c r="O251" s="28"/>
      <c r="P251" s="28"/>
      <c r="Q251" s="28"/>
    </row>
    <row r="252" spans="2:17" x14ac:dyDescent="0.3"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</row>
    <row r="253" spans="2:17" x14ac:dyDescent="0.3"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</row>
    <row r="254" spans="2:17" x14ac:dyDescent="0.3">
      <c r="C254" s="28" t="s">
        <v>386</v>
      </c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</row>
    <row r="255" spans="2:17" x14ac:dyDescent="0.3">
      <c r="C255" s="360" t="s">
        <v>185</v>
      </c>
      <c r="D255" s="200">
        <f>D47</f>
        <v>210</v>
      </c>
      <c r="E255" s="279" t="s">
        <v>387</v>
      </c>
      <c r="F255" s="28" t="s">
        <v>388</v>
      </c>
      <c r="G255" s="28"/>
      <c r="H255" s="28"/>
      <c r="I255" s="28"/>
      <c r="J255" s="168">
        <v>4000</v>
      </c>
      <c r="K255" s="28" t="s">
        <v>389</v>
      </c>
      <c r="L255" s="28"/>
      <c r="M255" s="28"/>
      <c r="N255" s="28"/>
      <c r="O255" s="28"/>
      <c r="P255" s="28"/>
      <c r="Q255" s="28"/>
    </row>
    <row r="256" spans="2:17" x14ac:dyDescent="0.3">
      <c r="C256" s="360" t="s">
        <v>186</v>
      </c>
      <c r="D256" s="200">
        <f>D48</f>
        <v>2810</v>
      </c>
      <c r="E256" s="279" t="s">
        <v>387</v>
      </c>
      <c r="F256" s="28" t="s">
        <v>390</v>
      </c>
      <c r="G256" s="28"/>
      <c r="H256" s="28"/>
      <c r="I256" s="28"/>
      <c r="J256" s="168">
        <v>40</v>
      </c>
      <c r="K256" s="28"/>
      <c r="L256" s="28"/>
      <c r="M256" s="28"/>
      <c r="N256" s="28"/>
      <c r="O256" s="28"/>
      <c r="P256" s="28"/>
      <c r="Q256" s="28"/>
    </row>
    <row r="257" spans="3:17" x14ac:dyDescent="0.3"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</row>
    <row r="258" spans="3:17" x14ac:dyDescent="0.3">
      <c r="C258" s="28" t="s">
        <v>391</v>
      </c>
      <c r="D258" s="28"/>
      <c r="E258" s="414">
        <f>J255</f>
        <v>4000</v>
      </c>
      <c r="F258" s="28" t="str">
        <f>K255</f>
        <v>PSI</v>
      </c>
      <c r="G258" s="168" t="s">
        <v>392</v>
      </c>
      <c r="H258" s="415">
        <v>1260</v>
      </c>
      <c r="I258" s="28" t="s">
        <v>393</v>
      </c>
      <c r="J258" s="28"/>
      <c r="K258" s="28" t="str">
        <f>IF(H258&gt;=0,"Ingresado ","aun no a ingresado un precio")</f>
        <v xml:space="preserve">Ingresado </v>
      </c>
      <c r="L258" s="28"/>
      <c r="M258" s="28"/>
      <c r="N258" s="28"/>
      <c r="O258" s="28"/>
      <c r="P258" s="28"/>
      <c r="Q258" s="28"/>
    </row>
    <row r="259" spans="3:17" x14ac:dyDescent="0.3">
      <c r="C259" s="28" t="s">
        <v>394</v>
      </c>
      <c r="D259" s="28"/>
      <c r="E259" s="414">
        <f>J256</f>
        <v>40</v>
      </c>
      <c r="F259" s="28"/>
      <c r="G259" s="168" t="s">
        <v>392</v>
      </c>
      <c r="H259" s="415">
        <v>490</v>
      </c>
      <c r="I259" s="28" t="s">
        <v>395</v>
      </c>
      <c r="J259" s="28"/>
      <c r="K259" s="28" t="str">
        <f>IF(H259&gt;=0,"Ingresado ","aun no a ingresado un precio")</f>
        <v xml:space="preserve">Ingresado </v>
      </c>
      <c r="L259" s="28"/>
      <c r="M259" s="28"/>
      <c r="N259" s="28"/>
      <c r="O259" s="28"/>
      <c r="P259" s="28"/>
      <c r="Q259" s="28"/>
    </row>
    <row r="260" spans="3:17" x14ac:dyDescent="0.3"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</row>
    <row r="261" spans="3:17" ht="18" x14ac:dyDescent="0.35">
      <c r="C261" s="416" t="s">
        <v>396</v>
      </c>
      <c r="D261" s="416"/>
      <c r="E261" s="416"/>
      <c r="F261" s="416"/>
      <c r="G261" s="416"/>
      <c r="H261" s="28"/>
      <c r="I261" s="28"/>
      <c r="J261" s="417">
        <f>H259*E250</f>
        <v>987.64156800411479</v>
      </c>
      <c r="K261" s="28"/>
      <c r="L261" s="28"/>
      <c r="M261" s="28"/>
      <c r="N261" s="28"/>
      <c r="O261" s="28"/>
      <c r="P261" s="28"/>
      <c r="Q261" s="28"/>
    </row>
    <row r="262" spans="3:17" ht="18.600000000000001" thickBot="1" x14ac:dyDescent="0.4">
      <c r="C262" s="416" t="s">
        <v>397</v>
      </c>
      <c r="D262" s="416"/>
      <c r="E262" s="416"/>
      <c r="F262" s="416"/>
      <c r="G262" s="416"/>
      <c r="H262" s="28"/>
      <c r="I262" s="28"/>
      <c r="J262" s="418">
        <f>H258*E251</f>
        <v>2835</v>
      </c>
      <c r="K262" s="28"/>
      <c r="L262" s="28"/>
      <c r="M262" s="28"/>
      <c r="N262" s="28"/>
      <c r="O262" s="28"/>
      <c r="P262" s="28"/>
      <c r="Q262" s="28"/>
    </row>
    <row r="263" spans="3:17" ht="21.6" thickTop="1" x14ac:dyDescent="0.4">
      <c r="C263" s="416" t="s">
        <v>398</v>
      </c>
      <c r="D263" s="28"/>
      <c r="E263" s="28"/>
      <c r="F263" s="28"/>
      <c r="G263" s="28"/>
      <c r="H263" s="28"/>
      <c r="I263" s="28"/>
      <c r="J263" s="419">
        <f>SUM(J261:J262)</f>
        <v>3822.6415680041146</v>
      </c>
      <c r="K263" s="28"/>
      <c r="L263" s="28"/>
      <c r="M263" s="28"/>
      <c r="N263" s="28"/>
      <c r="O263" s="28"/>
      <c r="P263" s="28"/>
      <c r="Q263" s="28"/>
    </row>
  </sheetData>
  <mergeCells count="6">
    <mergeCell ref="C22:D22"/>
    <mergeCell ref="C3:F3"/>
    <mergeCell ref="G3:J3"/>
    <mergeCell ref="K3:N3"/>
    <mergeCell ref="B5:B15"/>
    <mergeCell ref="B16:B2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AK122"/>
  <sheetViews>
    <sheetView topLeftCell="A13" workbookViewId="0">
      <selection activeCell="I4" sqref="I4:K4"/>
    </sheetView>
  </sheetViews>
  <sheetFormatPr baseColWidth="10" defaultRowHeight="14.4" x14ac:dyDescent="0.3"/>
  <cols>
    <col min="2" max="40" width="3.33203125" customWidth="1"/>
  </cols>
  <sheetData>
    <row r="1" spans="2:31" ht="15" thickBot="1" x14ac:dyDescent="0.35"/>
    <row r="2" spans="2:31" ht="31.8" thickBot="1" x14ac:dyDescent="0.65">
      <c r="E2" s="694" t="s">
        <v>400</v>
      </c>
      <c r="F2" s="695"/>
      <c r="G2" s="695"/>
      <c r="H2" s="695"/>
      <c r="I2" s="695"/>
      <c r="J2" s="695"/>
      <c r="K2" s="695"/>
      <c r="L2" s="695"/>
      <c r="M2" s="695"/>
      <c r="N2" s="695"/>
      <c r="O2" s="695"/>
      <c r="P2" s="695"/>
      <c r="Q2" s="695"/>
      <c r="R2" s="695"/>
      <c r="S2" s="695"/>
      <c r="T2" s="695"/>
      <c r="U2" s="695"/>
      <c r="V2" s="695"/>
      <c r="W2" s="695"/>
      <c r="X2" s="695"/>
      <c r="Y2" s="695"/>
      <c r="Z2" s="695"/>
      <c r="AA2" s="695"/>
      <c r="AB2" s="695"/>
      <c r="AC2" s="695"/>
      <c r="AD2" s="695"/>
      <c r="AE2" s="696"/>
    </row>
    <row r="3" spans="2:31" ht="15" thickBot="1" x14ac:dyDescent="0.35"/>
    <row r="4" spans="2:31" ht="15" thickBot="1" x14ac:dyDescent="0.35">
      <c r="I4" s="697">
        <f>+'COLUMNA 1'!D56/1000</f>
        <v>49.030052806147815</v>
      </c>
      <c r="J4" s="698"/>
      <c r="K4" s="699"/>
      <c r="L4" s="49" t="s">
        <v>248</v>
      </c>
      <c r="T4" s="220"/>
      <c r="U4" s="423"/>
      <c r="V4" s="423"/>
      <c r="W4" s="423"/>
      <c r="X4" s="215"/>
    </row>
    <row r="5" spans="2:31" x14ac:dyDescent="0.3">
      <c r="F5" s="61"/>
      <c r="G5" s="101"/>
      <c r="H5" s="101"/>
      <c r="I5" s="636"/>
      <c r="J5" s="101"/>
      <c r="K5" s="101"/>
      <c r="L5" s="101"/>
      <c r="M5" s="101"/>
      <c r="N5" s="101"/>
      <c r="T5" s="701">
        <v>0.75</v>
      </c>
      <c r="U5" s="702"/>
      <c r="V5" s="702"/>
      <c r="W5" s="703"/>
      <c r="X5" s="215"/>
    </row>
    <row r="6" spans="2:31" ht="15" thickBot="1" x14ac:dyDescent="0.35">
      <c r="B6" s="424"/>
      <c r="C6" s="424"/>
      <c r="D6" s="424"/>
      <c r="E6" s="424"/>
      <c r="F6" s="61"/>
      <c r="G6" s="424"/>
      <c r="H6" s="424"/>
      <c r="I6" s="637"/>
      <c r="J6" s="424"/>
      <c r="K6" s="424"/>
      <c r="L6" s="424"/>
      <c r="M6" s="424"/>
      <c r="N6" s="424"/>
      <c r="T6" s="425"/>
      <c r="U6" s="425"/>
      <c r="V6" s="425"/>
      <c r="W6" s="425"/>
    </row>
    <row r="7" spans="2:31" ht="15" thickTop="1" x14ac:dyDescent="0.3">
      <c r="D7" s="426"/>
      <c r="F7" s="61"/>
      <c r="G7" s="101"/>
      <c r="I7" s="637"/>
      <c r="Q7" s="213"/>
      <c r="R7" s="214"/>
      <c r="T7" s="671" t="s">
        <v>401</v>
      </c>
      <c r="U7" s="672"/>
      <c r="V7" s="672"/>
      <c r="W7" s="673"/>
    </row>
    <row r="8" spans="2:31" x14ac:dyDescent="0.3">
      <c r="D8" s="215"/>
      <c r="F8" s="659" t="s">
        <v>402</v>
      </c>
      <c r="G8" s="659"/>
      <c r="I8" s="637"/>
      <c r="J8" s="427"/>
      <c r="K8" s="427"/>
      <c r="Q8" s="704">
        <v>0.75</v>
      </c>
      <c r="R8" s="215"/>
      <c r="T8" s="674"/>
      <c r="U8" s="675"/>
      <c r="V8" s="675"/>
      <c r="W8" s="676"/>
    </row>
    <row r="9" spans="2:31" x14ac:dyDescent="0.3">
      <c r="C9" s="692">
        <v>2</v>
      </c>
      <c r="D9" s="692"/>
      <c r="F9" s="61"/>
      <c r="G9" s="101"/>
      <c r="I9" s="637"/>
      <c r="Q9" s="704"/>
      <c r="R9" s="215"/>
      <c r="T9" s="674"/>
      <c r="U9" s="675"/>
      <c r="V9" s="675"/>
      <c r="W9" s="676"/>
    </row>
    <row r="10" spans="2:31" ht="15" thickBot="1" x14ac:dyDescent="0.35">
      <c r="D10" s="215"/>
      <c r="F10" s="61"/>
      <c r="G10" s="101"/>
      <c r="I10" s="700"/>
      <c r="R10" s="220"/>
      <c r="T10" s="677"/>
      <c r="U10" s="678"/>
      <c r="V10" s="678"/>
      <c r="W10" s="679"/>
    </row>
    <row r="11" spans="2:31" ht="15" thickBot="1" x14ac:dyDescent="0.35">
      <c r="D11" s="215"/>
      <c r="F11" s="591"/>
      <c r="G11" s="647"/>
      <c r="H11" s="647"/>
      <c r="I11" s="647"/>
      <c r="J11" s="647"/>
      <c r="K11" s="647"/>
      <c r="L11" s="592"/>
      <c r="M11" s="101"/>
      <c r="Q11" s="213"/>
      <c r="R11" s="213"/>
    </row>
    <row r="12" spans="2:31" ht="15" thickBot="1" x14ac:dyDescent="0.35">
      <c r="C12" s="213"/>
      <c r="D12" s="213"/>
      <c r="F12" s="101"/>
      <c r="G12" s="101"/>
      <c r="H12" s="101"/>
      <c r="I12" s="101"/>
      <c r="J12" s="101"/>
      <c r="K12" s="101"/>
      <c r="L12" s="101"/>
      <c r="S12" s="659" t="s">
        <v>403</v>
      </c>
      <c r="T12" s="659"/>
      <c r="U12" s="659"/>
      <c r="V12" s="659"/>
      <c r="W12" s="659"/>
      <c r="X12" s="659"/>
    </row>
    <row r="13" spans="2:31" ht="15" thickBot="1" x14ac:dyDescent="0.35">
      <c r="E13" t="s">
        <v>404</v>
      </c>
      <c r="H13" s="686">
        <f>+'COLUMNA 1'!D52/1000</f>
        <v>2.2924152670202691</v>
      </c>
      <c r="I13" s="687"/>
      <c r="J13" s="688"/>
      <c r="K13" s="649" t="s">
        <v>405</v>
      </c>
      <c r="L13" s="650"/>
      <c r="M13" s="650"/>
      <c r="T13" s="693">
        <v>4</v>
      </c>
      <c r="U13" s="693"/>
      <c r="V13" s="693"/>
      <c r="W13" s="693"/>
    </row>
    <row r="14" spans="2:31" ht="15" thickBot="1" x14ac:dyDescent="0.35">
      <c r="E14" t="s">
        <v>406</v>
      </c>
      <c r="H14" s="686">
        <f>+'COLUMNA 1'!D53/1000</f>
        <v>3.7211822671885484</v>
      </c>
      <c r="I14" s="687"/>
      <c r="J14" s="688"/>
      <c r="K14" s="649" t="s">
        <v>405</v>
      </c>
      <c r="L14" s="650"/>
      <c r="M14" s="650"/>
    </row>
    <row r="15" spans="2:31" ht="15" thickBot="1" x14ac:dyDescent="0.35">
      <c r="H15" s="190"/>
      <c r="I15" s="190"/>
      <c r="J15" s="190"/>
      <c r="K15" s="103"/>
      <c r="L15" s="104"/>
      <c r="M15" s="104"/>
    </row>
    <row r="16" spans="2:31" x14ac:dyDescent="0.3">
      <c r="F16" s="671" t="s">
        <v>407</v>
      </c>
      <c r="G16" s="672"/>
      <c r="H16" s="672"/>
      <c r="I16" s="672"/>
      <c r="J16" s="672"/>
      <c r="K16" s="672"/>
      <c r="L16" s="672"/>
      <c r="M16" s="673"/>
    </row>
    <row r="17" spans="2:14" x14ac:dyDescent="0.3">
      <c r="F17" s="674"/>
      <c r="G17" s="675"/>
      <c r="H17" s="675"/>
      <c r="I17" s="675"/>
      <c r="J17" s="675"/>
      <c r="K17" s="675"/>
      <c r="L17" s="675"/>
      <c r="M17" s="676"/>
    </row>
    <row r="18" spans="2:14" x14ac:dyDescent="0.3">
      <c r="D18" t="s">
        <v>406</v>
      </c>
      <c r="F18" s="674"/>
      <c r="G18" s="675"/>
      <c r="H18" s="675"/>
      <c r="I18" s="675"/>
      <c r="J18" s="675"/>
      <c r="K18" s="675"/>
      <c r="L18" s="675"/>
      <c r="M18" s="676"/>
    </row>
    <row r="19" spans="2:14" x14ac:dyDescent="0.3">
      <c r="F19" s="674"/>
      <c r="G19" s="675"/>
      <c r="H19" s="675"/>
      <c r="I19" s="675"/>
      <c r="J19" s="675"/>
      <c r="K19" s="675"/>
      <c r="L19" s="675"/>
      <c r="M19" s="676"/>
    </row>
    <row r="20" spans="2:14" x14ac:dyDescent="0.3">
      <c r="F20" s="674"/>
      <c r="G20" s="675"/>
      <c r="H20" s="675"/>
      <c r="I20" s="675"/>
      <c r="J20" s="675"/>
      <c r="K20" s="675"/>
      <c r="L20" s="675"/>
      <c r="M20" s="676"/>
      <c r="N20" t="s">
        <v>404</v>
      </c>
    </row>
    <row r="21" spans="2:14" x14ac:dyDescent="0.3">
      <c r="F21" s="674"/>
      <c r="G21" s="675"/>
      <c r="H21" s="675"/>
      <c r="I21" s="675"/>
      <c r="J21" s="675"/>
      <c r="K21" s="675"/>
      <c r="L21" s="675"/>
      <c r="M21" s="676"/>
    </row>
    <row r="22" spans="2:14" x14ac:dyDescent="0.3">
      <c r="F22" s="674"/>
      <c r="G22" s="675"/>
      <c r="H22" s="675"/>
      <c r="I22" s="675"/>
      <c r="J22" s="675"/>
      <c r="K22" s="675"/>
      <c r="L22" s="675"/>
      <c r="M22" s="676"/>
    </row>
    <row r="23" spans="2:14" ht="15" thickBot="1" x14ac:dyDescent="0.35">
      <c r="F23" s="677"/>
      <c r="G23" s="678"/>
      <c r="H23" s="678"/>
      <c r="I23" s="678"/>
      <c r="J23" s="678"/>
      <c r="K23" s="678"/>
      <c r="L23" s="678"/>
      <c r="M23" s="679"/>
    </row>
    <row r="24" spans="2:14" x14ac:dyDescent="0.3">
      <c r="H24" s="190"/>
      <c r="I24" s="190"/>
      <c r="J24" s="190"/>
      <c r="K24" s="103"/>
      <c r="L24" s="104"/>
      <c r="M24" s="104"/>
    </row>
    <row r="25" spans="2:14" x14ac:dyDescent="0.3">
      <c r="H25" s="190"/>
      <c r="I25" s="190"/>
      <c r="J25" s="190"/>
      <c r="K25" s="103"/>
      <c r="L25" s="104"/>
      <c r="M25" s="104"/>
    </row>
    <row r="26" spans="2:14" ht="15" thickBot="1" x14ac:dyDescent="0.35"/>
    <row r="27" spans="2:14" ht="15" thickBot="1" x14ac:dyDescent="0.35">
      <c r="B27" s="689" t="s">
        <v>408</v>
      </c>
      <c r="C27" s="690"/>
      <c r="D27" s="690"/>
      <c r="E27" s="690"/>
      <c r="F27" s="690"/>
      <c r="G27" s="691"/>
    </row>
    <row r="28" spans="2:14" ht="15" thickBot="1" x14ac:dyDescent="0.35">
      <c r="B28" s="653" t="s">
        <v>409</v>
      </c>
      <c r="C28" s="654"/>
      <c r="D28" s="428" t="s">
        <v>214</v>
      </c>
      <c r="E28" s="680">
        <v>1.4</v>
      </c>
      <c r="F28" s="681"/>
      <c r="G28" s="682"/>
      <c r="H28" s="650"/>
      <c r="I28" s="650"/>
      <c r="J28" s="650"/>
    </row>
    <row r="29" spans="2:14" ht="15" thickBot="1" x14ac:dyDescent="0.35">
      <c r="B29" s="653" t="s">
        <v>410</v>
      </c>
      <c r="C29" s="654"/>
      <c r="D29" s="428" t="s">
        <v>214</v>
      </c>
      <c r="E29" s="680">
        <v>18.5</v>
      </c>
      <c r="F29" s="681"/>
      <c r="G29" s="682"/>
      <c r="H29" s="650" t="s">
        <v>411</v>
      </c>
      <c r="I29" s="650"/>
      <c r="J29" s="650"/>
    </row>
    <row r="30" spans="2:14" ht="15" thickBot="1" x14ac:dyDescent="0.35">
      <c r="B30" s="653" t="s">
        <v>412</v>
      </c>
      <c r="C30" s="654"/>
      <c r="D30" s="428" t="s">
        <v>214</v>
      </c>
      <c r="E30" s="680">
        <v>1.9650000000000001</v>
      </c>
      <c r="F30" s="681"/>
      <c r="G30" s="682"/>
      <c r="H30" s="650" t="s">
        <v>413</v>
      </c>
      <c r="I30" s="650"/>
      <c r="J30" s="650"/>
    </row>
    <row r="31" spans="2:14" ht="15" thickBot="1" x14ac:dyDescent="0.35">
      <c r="B31" s="653" t="s">
        <v>414</v>
      </c>
      <c r="C31" s="654"/>
      <c r="D31" s="428" t="s">
        <v>214</v>
      </c>
      <c r="E31" s="680">
        <v>2.4</v>
      </c>
      <c r="F31" s="681"/>
      <c r="G31" s="682"/>
      <c r="H31" s="650" t="s">
        <v>413</v>
      </c>
      <c r="I31" s="650"/>
      <c r="J31" s="650"/>
    </row>
    <row r="32" spans="2:14" ht="15" thickBot="1" x14ac:dyDescent="0.35">
      <c r="B32" s="653" t="s">
        <v>147</v>
      </c>
      <c r="C32" s="654"/>
      <c r="D32" s="428" t="s">
        <v>214</v>
      </c>
      <c r="E32" s="680">
        <v>210</v>
      </c>
      <c r="F32" s="681"/>
      <c r="G32" s="682"/>
      <c r="H32" s="650" t="s">
        <v>415</v>
      </c>
      <c r="I32" s="650"/>
      <c r="J32" s="650"/>
    </row>
    <row r="33" spans="2:33" ht="15" thickBot="1" x14ac:dyDescent="0.35">
      <c r="B33" s="653" t="s">
        <v>123</v>
      </c>
      <c r="C33" s="654"/>
      <c r="D33" s="428" t="s">
        <v>214</v>
      </c>
      <c r="E33" s="680">
        <v>2810</v>
      </c>
      <c r="F33" s="681"/>
      <c r="G33" s="682"/>
      <c r="H33" s="650" t="s">
        <v>415</v>
      </c>
      <c r="I33" s="650"/>
      <c r="J33" s="650"/>
    </row>
    <row r="34" spans="2:33" ht="15" thickBot="1" x14ac:dyDescent="0.35"/>
    <row r="35" spans="2:33" ht="15" thickBot="1" x14ac:dyDescent="0.35">
      <c r="B35" s="683" t="s">
        <v>416</v>
      </c>
      <c r="C35" s="684"/>
      <c r="D35" s="684"/>
      <c r="E35" s="684"/>
      <c r="F35" s="684"/>
      <c r="G35" s="685"/>
    </row>
    <row r="36" spans="2:33" ht="15" thickBot="1" x14ac:dyDescent="0.35"/>
    <row r="37" spans="2:33" ht="15" thickBot="1" x14ac:dyDescent="0.35">
      <c r="B37" s="429" t="s">
        <v>417</v>
      </c>
      <c r="C37" s="430" t="s">
        <v>214</v>
      </c>
      <c r="D37" s="651">
        <f>I4/E28</f>
        <v>35.021466290105586</v>
      </c>
      <c r="E37" s="652"/>
      <c r="F37" s="650" t="s">
        <v>248</v>
      </c>
      <c r="G37" s="650"/>
    </row>
    <row r="38" spans="2:33" ht="15" thickBot="1" x14ac:dyDescent="0.35">
      <c r="B38" s="429" t="s">
        <v>418</v>
      </c>
      <c r="C38" s="430" t="s">
        <v>214</v>
      </c>
      <c r="D38" s="651">
        <f>H13/E28</f>
        <v>1.6374394764430495</v>
      </c>
      <c r="E38" s="652"/>
      <c r="F38" s="649" t="s">
        <v>419</v>
      </c>
      <c r="G38" s="650"/>
    </row>
    <row r="39" spans="2:33" ht="15" thickBot="1" x14ac:dyDescent="0.35">
      <c r="B39" s="429" t="s">
        <v>420</v>
      </c>
      <c r="C39" s="430" t="s">
        <v>214</v>
      </c>
      <c r="D39" s="651">
        <f>H14/E28</f>
        <v>2.6579873337061062</v>
      </c>
      <c r="E39" s="652"/>
      <c r="F39" s="649" t="s">
        <v>419</v>
      </c>
      <c r="G39" s="650"/>
    </row>
    <row r="40" spans="2:33" ht="15" thickBot="1" x14ac:dyDescent="0.35"/>
    <row r="41" spans="2:33" ht="15" thickBot="1" x14ac:dyDescent="0.35">
      <c r="B41" s="603" t="s">
        <v>421</v>
      </c>
      <c r="C41" s="604"/>
      <c r="D41" s="604"/>
      <c r="E41" s="604"/>
      <c r="F41" s="604"/>
      <c r="G41" s="604"/>
      <c r="H41" s="604"/>
      <c r="I41" s="604"/>
      <c r="J41" s="604"/>
      <c r="K41" s="604"/>
      <c r="L41" s="605"/>
    </row>
    <row r="42" spans="2:33" ht="15" thickBot="1" x14ac:dyDescent="0.35"/>
    <row r="43" spans="2:33" ht="15" thickBot="1" x14ac:dyDescent="0.35">
      <c r="B43" s="653" t="s">
        <v>422</v>
      </c>
      <c r="C43" s="654"/>
      <c r="D43" s="430" t="s">
        <v>214</v>
      </c>
      <c r="E43" s="591">
        <f>E28*D37/E29</f>
        <v>2.6502731246566387</v>
      </c>
      <c r="F43" s="592"/>
      <c r="G43" t="s">
        <v>205</v>
      </c>
      <c r="J43" s="653" t="s">
        <v>423</v>
      </c>
      <c r="K43" s="654"/>
      <c r="L43" s="654"/>
      <c r="M43" s="654"/>
      <c r="N43" s="430" t="s">
        <v>214</v>
      </c>
      <c r="O43" s="591">
        <f>SQRT(E43)</f>
        <v>1.6279659470199734</v>
      </c>
      <c r="P43" s="592"/>
      <c r="Q43" t="s">
        <v>205</v>
      </c>
      <c r="S43" s="668" t="s">
        <v>424</v>
      </c>
      <c r="T43" s="668"/>
    </row>
    <row r="44" spans="2:33" x14ac:dyDescent="0.3">
      <c r="S44" s="669" t="s">
        <v>425</v>
      </c>
      <c r="T44" s="669"/>
      <c r="U44" s="669"/>
      <c r="V44" s="669"/>
      <c r="W44" s="669"/>
      <c r="X44" s="669"/>
      <c r="Y44" s="669"/>
      <c r="Z44" s="669"/>
      <c r="AA44" s="669"/>
    </row>
    <row r="45" spans="2:33" x14ac:dyDescent="0.3">
      <c r="F45" s="215"/>
      <c r="N45" s="215"/>
      <c r="S45" s="669"/>
      <c r="T45" s="669"/>
      <c r="U45" s="669"/>
      <c r="V45" s="669"/>
      <c r="W45" s="669"/>
      <c r="X45" s="669"/>
      <c r="Y45" s="669"/>
      <c r="Z45" s="669"/>
      <c r="AA45" s="669"/>
    </row>
    <row r="46" spans="2:33" x14ac:dyDescent="0.3">
      <c r="F46" s="214"/>
      <c r="G46" s="670">
        <v>2.5</v>
      </c>
      <c r="H46" s="670"/>
      <c r="I46" s="670"/>
      <c r="J46" s="670"/>
      <c r="K46" s="670"/>
      <c r="L46" s="670"/>
      <c r="M46" s="213"/>
      <c r="N46" s="215"/>
      <c r="S46" s="669"/>
      <c r="T46" s="669"/>
      <c r="U46" s="669"/>
      <c r="V46" s="669"/>
      <c r="W46" s="669"/>
      <c r="X46" s="669"/>
      <c r="Y46" s="669"/>
      <c r="Z46" s="669"/>
      <c r="AA46" s="669"/>
      <c r="AG46">
        <f>+G46*C49</f>
        <v>6.25</v>
      </c>
    </row>
    <row r="47" spans="2:33" ht="15" thickBot="1" x14ac:dyDescent="0.35"/>
    <row r="48" spans="2:33" ht="15" thickBot="1" x14ac:dyDescent="0.35">
      <c r="C48" s="213"/>
      <c r="D48" s="214"/>
      <c r="F48" s="671" t="s">
        <v>407</v>
      </c>
      <c r="G48" s="672"/>
      <c r="H48" s="672"/>
      <c r="I48" s="672"/>
      <c r="J48" s="672"/>
      <c r="K48" s="672"/>
      <c r="L48" s="672"/>
      <c r="M48" s="673"/>
      <c r="Q48" s="653" t="s">
        <v>426</v>
      </c>
      <c r="R48" s="654"/>
      <c r="S48" s="654"/>
      <c r="T48" s="654"/>
      <c r="U48" s="430" t="s">
        <v>214</v>
      </c>
      <c r="V48" s="591">
        <f>+C49*G46</f>
        <v>6.25</v>
      </c>
      <c r="W48" s="592"/>
      <c r="X48" t="s">
        <v>205</v>
      </c>
    </row>
    <row r="49" spans="2:36" x14ac:dyDescent="0.3">
      <c r="C49" s="660">
        <v>2.5</v>
      </c>
      <c r="D49" s="215"/>
      <c r="F49" s="674"/>
      <c r="G49" s="675"/>
      <c r="H49" s="675"/>
      <c r="I49" s="675"/>
      <c r="J49" s="675"/>
      <c r="K49" s="675"/>
      <c r="L49" s="675"/>
      <c r="M49" s="676"/>
    </row>
    <row r="50" spans="2:36" ht="15" thickBot="1" x14ac:dyDescent="0.35">
      <c r="C50" s="660"/>
      <c r="D50" s="215"/>
      <c r="F50" s="674"/>
      <c r="G50" s="675"/>
      <c r="H50" s="675"/>
      <c r="I50" s="675"/>
      <c r="J50" s="675"/>
      <c r="K50" s="675"/>
      <c r="L50" s="675"/>
      <c r="M50" s="676"/>
      <c r="O50" s="661" t="str">
        <f>IF(X52&gt;=P52,"No puede ser Mayor el Peralte al Grosor","")</f>
        <v/>
      </c>
      <c r="P50" s="661"/>
      <c r="Q50" s="661"/>
      <c r="R50" s="661"/>
      <c r="S50" s="661"/>
      <c r="T50" s="661"/>
      <c r="U50" s="661"/>
      <c r="V50" s="661"/>
      <c r="W50" s="661"/>
      <c r="X50" s="661"/>
      <c r="Y50" s="661"/>
      <c r="Z50" s="661"/>
      <c r="AA50" s="661"/>
    </row>
    <row r="51" spans="2:36" ht="15" thickBot="1" x14ac:dyDescent="0.35">
      <c r="C51" s="660"/>
      <c r="D51" s="215"/>
      <c r="F51" s="674"/>
      <c r="G51" s="675"/>
      <c r="H51" s="675"/>
      <c r="I51" s="675"/>
      <c r="J51" s="675"/>
      <c r="K51" s="675"/>
      <c r="L51" s="675"/>
      <c r="M51" s="676"/>
      <c r="O51" s="662" t="s">
        <v>427</v>
      </c>
      <c r="P51" s="663"/>
      <c r="Q51" s="663"/>
      <c r="R51" s="663"/>
      <c r="S51" s="663"/>
      <c r="T51" s="664"/>
      <c r="W51" s="421"/>
      <c r="X51" s="421"/>
      <c r="Y51" s="421"/>
      <c r="Z51" s="421"/>
      <c r="AA51" s="421"/>
    </row>
    <row r="52" spans="2:36" ht="15" thickBot="1" x14ac:dyDescent="0.35">
      <c r="C52" s="660"/>
      <c r="D52" s="215"/>
      <c r="F52" s="674"/>
      <c r="G52" s="675"/>
      <c r="H52" s="675"/>
      <c r="I52" s="675"/>
      <c r="J52" s="675"/>
      <c r="K52" s="675"/>
      <c r="L52" s="675"/>
      <c r="M52" s="676"/>
      <c r="P52" s="665">
        <v>0.5</v>
      </c>
      <c r="Q52" s="666"/>
      <c r="R52" s="666"/>
      <c r="S52" s="667"/>
      <c r="W52" s="431"/>
      <c r="X52" s="431"/>
      <c r="Y52" s="431"/>
      <c r="Z52" s="431"/>
      <c r="AA52" s="431"/>
    </row>
    <row r="53" spans="2:36" x14ac:dyDescent="0.3">
      <c r="C53" s="660"/>
      <c r="D53" s="215"/>
      <c r="F53" s="674"/>
      <c r="G53" s="675"/>
      <c r="H53" s="675"/>
      <c r="I53" s="675"/>
      <c r="J53" s="675"/>
      <c r="K53" s="675"/>
      <c r="L53" s="675"/>
      <c r="M53" s="676"/>
    </row>
    <row r="54" spans="2:36" ht="15" thickBot="1" x14ac:dyDescent="0.35">
      <c r="C54" s="660"/>
      <c r="D54" s="215"/>
      <c r="F54" s="674"/>
      <c r="G54" s="675"/>
      <c r="H54" s="675"/>
      <c r="I54" s="675"/>
      <c r="J54" s="675"/>
      <c r="K54" s="675"/>
      <c r="L54" s="675"/>
      <c r="M54" s="676"/>
    </row>
    <row r="55" spans="2:36" ht="15" thickBot="1" x14ac:dyDescent="0.35">
      <c r="D55" s="220"/>
      <c r="F55" s="677"/>
      <c r="G55" s="678"/>
      <c r="H55" s="678"/>
      <c r="I55" s="678"/>
      <c r="J55" s="678"/>
      <c r="K55" s="678"/>
      <c r="L55" s="678"/>
      <c r="M55" s="679"/>
      <c r="O55" s="591" t="s">
        <v>428</v>
      </c>
      <c r="P55" s="647"/>
      <c r="Q55" s="647"/>
      <c r="R55" s="592"/>
      <c r="T55" s="591" t="s">
        <v>429</v>
      </c>
      <c r="U55" s="647"/>
      <c r="V55" s="647"/>
      <c r="W55" s="592"/>
    </row>
    <row r="56" spans="2:36" ht="15" thickBot="1" x14ac:dyDescent="0.35">
      <c r="C56" s="213"/>
      <c r="D56" s="213"/>
      <c r="P56" s="591">
        <f>40+100*X52</f>
        <v>40</v>
      </c>
      <c r="Q56" s="592"/>
      <c r="U56" s="591">
        <f>40+50*X52</f>
        <v>40</v>
      </c>
      <c r="V56" s="592"/>
    </row>
    <row r="57" spans="2:36" ht="15" thickBot="1" x14ac:dyDescent="0.35">
      <c r="B57" s="653" t="s">
        <v>430</v>
      </c>
      <c r="C57" s="654"/>
      <c r="D57" s="654"/>
      <c r="E57" s="432" t="s">
        <v>214</v>
      </c>
      <c r="F57" s="651">
        <f>Q8*T5*(T13+C9)*E31</f>
        <v>8.1</v>
      </c>
      <c r="G57" s="652"/>
      <c r="H57" s="649" t="s">
        <v>248</v>
      </c>
      <c r="I57" s="650"/>
    </row>
    <row r="58" spans="2:36" ht="15" thickBot="1" x14ac:dyDescent="0.35">
      <c r="B58" s="653" t="s">
        <v>431</v>
      </c>
      <c r="C58" s="654"/>
      <c r="D58" s="654"/>
      <c r="E58" s="432" t="s">
        <v>214</v>
      </c>
      <c r="F58" s="651">
        <f>C49*G46*C9*E30</f>
        <v>24.5625</v>
      </c>
      <c r="G58" s="652"/>
      <c r="H58" s="649" t="s">
        <v>248</v>
      </c>
      <c r="I58" s="650"/>
    </row>
    <row r="59" spans="2:36" ht="15" thickBot="1" x14ac:dyDescent="0.35">
      <c r="B59" s="653" t="s">
        <v>432</v>
      </c>
      <c r="C59" s="654"/>
      <c r="D59" s="654"/>
      <c r="E59" s="432" t="s">
        <v>214</v>
      </c>
      <c r="F59" s="651">
        <f>V48*P52*E31</f>
        <v>7.5</v>
      </c>
      <c r="G59" s="652"/>
      <c r="H59" s="649" t="s">
        <v>248</v>
      </c>
      <c r="I59" s="650"/>
    </row>
    <row r="60" spans="2:36" ht="15" thickBot="1" x14ac:dyDescent="0.35"/>
    <row r="61" spans="2:36" ht="15" thickBot="1" x14ac:dyDescent="0.35">
      <c r="D61" s="433" t="s">
        <v>433</v>
      </c>
      <c r="E61" s="434" t="s">
        <v>214</v>
      </c>
      <c r="F61" s="655">
        <f>SUM(F57:G59)+D37</f>
        <v>75.183966290105587</v>
      </c>
      <c r="G61" s="656"/>
      <c r="H61" s="657"/>
      <c r="I61" s="658" t="s">
        <v>248</v>
      </c>
      <c r="J61" s="659"/>
    </row>
    <row r="62" spans="2:36" ht="15" thickBot="1" x14ac:dyDescent="0.35"/>
    <row r="63" spans="2:36" ht="15" thickBot="1" x14ac:dyDescent="0.35">
      <c r="B63" s="603" t="s">
        <v>434</v>
      </c>
      <c r="C63" s="604"/>
      <c r="D63" s="604"/>
      <c r="E63" s="604"/>
      <c r="F63" s="604"/>
      <c r="G63" s="605"/>
      <c r="J63" s="603" t="s">
        <v>435</v>
      </c>
      <c r="K63" s="604"/>
      <c r="L63" s="604"/>
      <c r="M63" s="605"/>
      <c r="P63" s="603" t="s">
        <v>436</v>
      </c>
      <c r="Q63" s="604"/>
      <c r="R63" s="604"/>
      <c r="S63" s="604"/>
      <c r="T63" s="605"/>
      <c r="X63" s="603" t="s">
        <v>437</v>
      </c>
      <c r="Y63" s="604"/>
      <c r="Z63" s="604"/>
      <c r="AA63" s="604"/>
      <c r="AB63" s="605"/>
      <c r="AF63" s="603" t="s">
        <v>438</v>
      </c>
      <c r="AG63" s="604"/>
      <c r="AH63" s="604"/>
      <c r="AI63" s="604"/>
      <c r="AJ63" s="605"/>
    </row>
    <row r="64" spans="2:36" ht="15" thickBot="1" x14ac:dyDescent="0.35"/>
    <row r="65" spans="2:37" ht="15" thickBot="1" x14ac:dyDescent="0.35">
      <c r="B65" s="429" t="s">
        <v>418</v>
      </c>
      <c r="C65" s="430" t="s">
        <v>214</v>
      </c>
      <c r="D65" s="651">
        <f>+D38</f>
        <v>1.6374394764430495</v>
      </c>
      <c r="E65" s="652"/>
      <c r="F65" s="649" t="s">
        <v>419</v>
      </c>
      <c r="G65" s="650"/>
      <c r="J65" s="429" t="s">
        <v>439</v>
      </c>
      <c r="K65" s="430" t="s">
        <v>214</v>
      </c>
      <c r="L65" s="597">
        <f>D65/F61</f>
        <v>2.1779104737901293E-2</v>
      </c>
      <c r="M65" s="598"/>
      <c r="N65" t="s">
        <v>440</v>
      </c>
      <c r="P65" s="591" t="s">
        <v>441</v>
      </c>
      <c r="Q65" s="647"/>
      <c r="R65" s="430" t="s">
        <v>214</v>
      </c>
      <c r="S65" s="591">
        <f>+(F61/V48)+(D65/(C49*C49*C49/6))+(D66/(G46*G46*G46/6))</f>
        <v>13.67887850151417</v>
      </c>
      <c r="T65" s="592"/>
      <c r="U65" s="649" t="s">
        <v>442</v>
      </c>
      <c r="V65" s="650"/>
      <c r="W65" s="650"/>
      <c r="X65" s="591" t="s">
        <v>443</v>
      </c>
      <c r="Y65" s="647"/>
      <c r="Z65" s="430" t="s">
        <v>214</v>
      </c>
      <c r="AA65" s="591">
        <f>+(F61/V48)-(D65/(C49*C49*C49/6))-(D66/(G46*G46*G46/6))</f>
        <v>10.379990711319618</v>
      </c>
      <c r="AB65" s="592"/>
      <c r="AC65" s="649" t="s">
        <v>442</v>
      </c>
      <c r="AD65" s="650"/>
      <c r="AE65" s="650"/>
      <c r="AF65" s="591" t="s">
        <v>444</v>
      </c>
      <c r="AG65" s="647"/>
      <c r="AH65" s="430" t="s">
        <v>214</v>
      </c>
      <c r="AI65" s="651">
        <f>S65*E28</f>
        <v>19.150429902119836</v>
      </c>
      <c r="AJ65" s="652"/>
      <c r="AK65" t="s">
        <v>442</v>
      </c>
    </row>
    <row r="66" spans="2:37" ht="15" thickBot="1" x14ac:dyDescent="0.35">
      <c r="B66" s="429" t="s">
        <v>420</v>
      </c>
      <c r="C66" s="430" t="s">
        <v>214</v>
      </c>
      <c r="D66" s="651">
        <f>+D39</f>
        <v>2.6579873337061062</v>
      </c>
      <c r="E66" s="652"/>
      <c r="F66" s="649" t="s">
        <v>419</v>
      </c>
      <c r="G66" s="650"/>
      <c r="J66" s="429" t="s">
        <v>445</v>
      </c>
      <c r="K66" s="430" t="s">
        <v>214</v>
      </c>
      <c r="L66" s="597">
        <f>D66/F61</f>
        <v>3.5353114032983711E-2</v>
      </c>
      <c r="M66" s="598"/>
      <c r="N66" t="s">
        <v>440</v>
      </c>
      <c r="X66" s="101"/>
      <c r="Y66" s="101"/>
      <c r="Z66" s="101"/>
      <c r="AA66" s="101"/>
    </row>
    <row r="67" spans="2:37" x14ac:dyDescent="0.3">
      <c r="X67" s="101"/>
      <c r="Y67" s="101"/>
      <c r="Z67" s="101"/>
      <c r="AA67" s="101"/>
    </row>
    <row r="68" spans="2:37" ht="15" thickBot="1" x14ac:dyDescent="0.35"/>
    <row r="69" spans="2:37" ht="15" thickBot="1" x14ac:dyDescent="0.35">
      <c r="B69" s="603" t="s">
        <v>446</v>
      </c>
      <c r="C69" s="604"/>
      <c r="D69" s="604"/>
      <c r="E69" s="604"/>
      <c r="F69" s="604"/>
      <c r="G69" s="604"/>
      <c r="H69" s="604"/>
      <c r="I69" s="604"/>
      <c r="J69" s="605"/>
      <c r="Q69" s="603" t="s">
        <v>447</v>
      </c>
      <c r="R69" s="604"/>
      <c r="S69" s="604"/>
      <c r="T69" s="604"/>
      <c r="U69" s="604"/>
      <c r="V69" s="604"/>
      <c r="W69" s="604"/>
      <c r="X69" s="604"/>
      <c r="Y69" s="605"/>
    </row>
    <row r="70" spans="2:37" ht="15" thickBot="1" x14ac:dyDescent="0.35">
      <c r="Q70" s="435"/>
    </row>
    <row r="71" spans="2:37" x14ac:dyDescent="0.3">
      <c r="I71" s="636"/>
      <c r="Q71" s="638">
        <v>7.4999999999999997E-2</v>
      </c>
      <c r="R71" s="638"/>
      <c r="S71" s="638"/>
      <c r="T71" s="638"/>
      <c r="U71" s="638"/>
      <c r="V71" s="638"/>
      <c r="W71" s="638"/>
      <c r="X71" s="638"/>
      <c r="Y71" s="638"/>
      <c r="Z71" s="638"/>
    </row>
    <row r="72" spans="2:37" x14ac:dyDescent="0.3">
      <c r="I72" s="637"/>
      <c r="Q72" s="639">
        <v>1.9099999999999999E-2</v>
      </c>
      <c r="R72" s="639"/>
      <c r="S72" s="639"/>
      <c r="T72" s="639"/>
      <c r="U72" s="639"/>
      <c r="V72" s="639"/>
      <c r="W72" s="639"/>
      <c r="X72" s="639"/>
      <c r="Y72" s="639"/>
      <c r="Z72" s="639"/>
    </row>
    <row r="73" spans="2:37" ht="15" thickBot="1" x14ac:dyDescent="0.35">
      <c r="E73" s="640">
        <f>+AA65</f>
        <v>10.379990711319618</v>
      </c>
      <c r="I73" s="637"/>
    </row>
    <row r="74" spans="2:37" ht="15" thickBot="1" x14ac:dyDescent="0.35">
      <c r="E74" s="641"/>
      <c r="I74" s="637"/>
      <c r="Q74" s="644">
        <f>+P52-Q71-Q72/2</f>
        <v>0.41544999999999999</v>
      </c>
      <c r="R74" s="645"/>
      <c r="S74" s="645"/>
      <c r="T74" s="645"/>
      <c r="U74" s="645"/>
      <c r="V74" s="646"/>
      <c r="W74" s="436"/>
      <c r="X74" s="436"/>
      <c r="Y74" s="436"/>
      <c r="Z74" s="436"/>
    </row>
    <row r="75" spans="2:37" ht="15" thickBot="1" x14ac:dyDescent="0.35">
      <c r="E75" s="642"/>
      <c r="F75" s="591"/>
      <c r="G75" s="647"/>
      <c r="H75" s="647"/>
      <c r="I75" s="647"/>
      <c r="J75" s="647"/>
      <c r="K75" s="647"/>
      <c r="L75" s="592"/>
      <c r="M75" s="648">
        <f>+S65</f>
        <v>13.67887850151417</v>
      </c>
    </row>
    <row r="76" spans="2:37" x14ac:dyDescent="0.3">
      <c r="E76" s="643"/>
      <c r="M76" s="641"/>
    </row>
    <row r="77" spans="2:37" x14ac:dyDescent="0.3">
      <c r="M77" s="641"/>
    </row>
    <row r="78" spans="2:37" x14ac:dyDescent="0.3">
      <c r="M78" s="643"/>
    </row>
    <row r="79" spans="2:37" x14ac:dyDescent="0.3">
      <c r="F79" s="627">
        <f>+G46</f>
        <v>2.5</v>
      </c>
      <c r="G79" s="628"/>
      <c r="H79" s="628"/>
      <c r="I79" s="628"/>
      <c r="J79" s="628"/>
      <c r="K79" s="628"/>
      <c r="L79" s="629"/>
      <c r="AH79" s="65" t="s">
        <v>448</v>
      </c>
    </row>
    <row r="80" spans="2:37" ht="15" thickBot="1" x14ac:dyDescent="0.35"/>
    <row r="81" spans="2:30" ht="15" thickBot="1" x14ac:dyDescent="0.35">
      <c r="B81" s="603" t="s">
        <v>449</v>
      </c>
      <c r="C81" s="604"/>
      <c r="D81" s="604"/>
      <c r="E81" s="604"/>
      <c r="F81" s="604"/>
      <c r="G81" s="604"/>
      <c r="H81" s="604"/>
      <c r="I81" s="604"/>
      <c r="J81" s="605"/>
      <c r="Q81" s="603" t="s">
        <v>450</v>
      </c>
      <c r="R81" s="604"/>
      <c r="S81" s="604"/>
      <c r="T81" s="604"/>
      <c r="U81" s="604"/>
      <c r="V81" s="604"/>
      <c r="W81" s="604"/>
      <c r="X81" s="604"/>
      <c r="Y81" s="605"/>
    </row>
    <row r="82" spans="2:30" ht="15" thickBot="1" x14ac:dyDescent="0.35"/>
    <row r="83" spans="2:30" ht="15" thickBot="1" x14ac:dyDescent="0.35">
      <c r="B83" s="630">
        <f>+AI65*G46*((G46-T5)/2 -Q74)</f>
        <v>22.001450153797929</v>
      </c>
      <c r="C83" s="631"/>
      <c r="D83" s="631"/>
      <c r="E83" s="631"/>
      <c r="F83" s="631"/>
      <c r="G83" s="632"/>
      <c r="Q83" s="630">
        <f>+AI65*(C49*G46-(T5+Q74)*(Q8+Q74))</f>
        <v>93.678661560629948</v>
      </c>
      <c r="R83" s="631"/>
      <c r="S83" s="631"/>
      <c r="T83" s="631"/>
      <c r="U83" s="631"/>
      <c r="V83" s="632"/>
      <c r="Y83" s="633">
        <f>(2*T5+2*Q8+4*Q74)*100</f>
        <v>466.17999999999995</v>
      </c>
      <c r="Z83" s="634"/>
      <c r="AA83" s="634"/>
      <c r="AB83" s="634"/>
      <c r="AC83" s="634"/>
      <c r="AD83" s="635"/>
    </row>
    <row r="84" spans="2:30" ht="15" thickBot="1" x14ac:dyDescent="0.35">
      <c r="K84" s="612" t="str">
        <f>+IF(B85&gt;B83,"OK","REDISEÑE")</f>
        <v>OK</v>
      </c>
      <c r="L84" s="613"/>
      <c r="M84" s="614"/>
    </row>
    <row r="85" spans="2:30" ht="15" thickBot="1" x14ac:dyDescent="0.35">
      <c r="B85" s="615">
        <f>0.75*0.53*SQRT(E32)*Q74*G46*10</f>
        <v>59.82814703771875</v>
      </c>
      <c r="C85" s="616"/>
      <c r="D85" s="616"/>
      <c r="E85" s="616"/>
      <c r="F85" s="616"/>
      <c r="G85" s="617"/>
      <c r="H85" s="437"/>
      <c r="I85" s="437"/>
      <c r="J85" s="437"/>
      <c r="K85" s="437"/>
      <c r="Q85" s="618">
        <f>0.75*(2+4)*0.53*SQRT(E32)*Q74*Y83*1/10</f>
        <v>669.37645406504942</v>
      </c>
      <c r="R85" s="619"/>
      <c r="S85" s="619"/>
      <c r="T85" s="619"/>
      <c r="U85" s="619"/>
      <c r="V85" s="620"/>
      <c r="W85" s="437"/>
      <c r="X85" s="437"/>
      <c r="Y85" s="437"/>
      <c r="Z85" s="437"/>
    </row>
    <row r="86" spans="2:30" ht="15" thickBot="1" x14ac:dyDescent="0.35">
      <c r="Z86" s="612" t="str">
        <f>+IF(MIN(Q85:V89)&lt;Q83,"NO CHEQUEA","OK")</f>
        <v>OK</v>
      </c>
      <c r="AA86" s="613"/>
      <c r="AB86" s="613"/>
      <c r="AC86" s="613"/>
      <c r="AD86" s="614"/>
    </row>
    <row r="87" spans="2:30" ht="15" thickBot="1" x14ac:dyDescent="0.35">
      <c r="Q87" s="621">
        <f>0.75*0.27*(40/Y83+2)*SQRT(E32)*Q74*Y83*1/10</f>
        <v>118.54425814695071</v>
      </c>
      <c r="R87" s="622"/>
      <c r="S87" s="622"/>
      <c r="T87" s="622"/>
      <c r="U87" s="622"/>
      <c r="V87" s="623"/>
    </row>
    <row r="88" spans="2:30" ht="15" thickBot="1" x14ac:dyDescent="0.35"/>
    <row r="89" spans="2:30" ht="15" thickBot="1" x14ac:dyDescent="0.35">
      <c r="Q89" s="624">
        <f>0.75*SQRT(E32)*Q74*Y83*1/10</f>
        <v>210.49574027202806</v>
      </c>
      <c r="R89" s="625"/>
      <c r="S89" s="625"/>
      <c r="T89" s="625"/>
      <c r="U89" s="625"/>
      <c r="V89" s="626"/>
    </row>
    <row r="91" spans="2:30" ht="15" thickBot="1" x14ac:dyDescent="0.35"/>
    <row r="92" spans="2:30" ht="15" thickBot="1" x14ac:dyDescent="0.35">
      <c r="B92" s="603" t="s">
        <v>451</v>
      </c>
      <c r="C92" s="604"/>
      <c r="D92" s="604"/>
      <c r="E92" s="604"/>
      <c r="F92" s="604"/>
      <c r="G92" s="604"/>
      <c r="H92" s="604"/>
      <c r="I92" s="604"/>
      <c r="J92" s="605"/>
    </row>
    <row r="94" spans="2:30" x14ac:dyDescent="0.3">
      <c r="B94" t="s">
        <v>452</v>
      </c>
    </row>
    <row r="95" spans="2:30" ht="15" thickBot="1" x14ac:dyDescent="0.35"/>
    <row r="96" spans="2:30" ht="15" thickBot="1" x14ac:dyDescent="0.35">
      <c r="B96" s="606">
        <f>+(AI65*1*(POWER((G46-T5)/2,2))/2)*100000</f>
        <v>733102.3946905249</v>
      </c>
      <c r="C96" s="607"/>
      <c r="D96" s="607"/>
      <c r="E96" s="607"/>
      <c r="F96" s="607"/>
      <c r="G96" s="608"/>
    </row>
    <row r="98" spans="2:23" ht="15" thickBot="1" x14ac:dyDescent="0.35"/>
    <row r="99" spans="2:23" ht="15" thickBot="1" x14ac:dyDescent="0.35">
      <c r="B99" s="609" t="s">
        <v>453</v>
      </c>
      <c r="C99" s="610"/>
      <c r="D99" s="610"/>
      <c r="E99" s="610"/>
      <c r="F99" s="610"/>
      <c r="G99" s="610"/>
      <c r="H99" s="610"/>
      <c r="I99" s="610"/>
      <c r="J99" s="611"/>
      <c r="K99" s="438"/>
      <c r="L99" s="438"/>
      <c r="M99" s="438"/>
      <c r="N99" s="609" t="s">
        <v>454</v>
      </c>
      <c r="O99" s="610"/>
      <c r="P99" s="610"/>
      <c r="Q99" s="610"/>
      <c r="R99" s="610"/>
      <c r="S99" s="610"/>
      <c r="T99" s="610"/>
      <c r="U99" s="610"/>
      <c r="V99" s="610"/>
      <c r="W99" s="611"/>
    </row>
    <row r="101" spans="2:23" ht="15" thickBot="1" x14ac:dyDescent="0.35">
      <c r="B101" s="49" t="s">
        <v>455</v>
      </c>
      <c r="L101" s="439"/>
      <c r="M101" s="440"/>
      <c r="N101" s="49" t="s">
        <v>455</v>
      </c>
    </row>
    <row r="102" spans="2:23" ht="15" thickBot="1" x14ac:dyDescent="0.35">
      <c r="B102" s="597">
        <f>+B96/100000</f>
        <v>7.3310239469052494</v>
      </c>
      <c r="C102" s="598"/>
      <c r="K102" s="439"/>
      <c r="M102" s="440"/>
      <c r="N102" s="597">
        <f>+B102</f>
        <v>7.3310239469052494</v>
      </c>
      <c r="O102" s="598"/>
    </row>
    <row r="103" spans="2:23" x14ac:dyDescent="0.3">
      <c r="L103" s="439"/>
      <c r="M103" s="440"/>
    </row>
    <row r="104" spans="2:23" ht="15" thickBot="1" x14ac:dyDescent="0.35">
      <c r="B104" s="49" t="s">
        <v>456</v>
      </c>
      <c r="K104" s="439"/>
      <c r="M104" s="440"/>
      <c r="N104" s="49" t="s">
        <v>456</v>
      </c>
    </row>
    <row r="105" spans="2:23" ht="15" thickBot="1" x14ac:dyDescent="0.35">
      <c r="B105" s="591">
        <f>0.002*100*100*Q74</f>
        <v>8.3089999999999993</v>
      </c>
      <c r="C105" s="592"/>
      <c r="D105" t="s">
        <v>457</v>
      </c>
      <c r="L105" s="439"/>
      <c r="M105" s="440"/>
      <c r="N105" s="591">
        <f>+B105</f>
        <v>8.3089999999999993</v>
      </c>
      <c r="O105" s="592"/>
      <c r="P105" t="s">
        <v>457</v>
      </c>
    </row>
    <row r="106" spans="2:23" x14ac:dyDescent="0.3">
      <c r="K106" s="439"/>
      <c r="M106" s="440"/>
    </row>
    <row r="107" spans="2:23" ht="15" thickBot="1" x14ac:dyDescent="0.35">
      <c r="B107" s="49" t="s">
        <v>458</v>
      </c>
      <c r="L107" s="439"/>
      <c r="M107" s="440"/>
      <c r="N107" s="49" t="s">
        <v>458</v>
      </c>
    </row>
    <row r="108" spans="2:23" ht="15" thickBot="1" x14ac:dyDescent="0.35">
      <c r="B108" s="143" t="s">
        <v>459</v>
      </c>
      <c r="C108" s="599">
        <v>4</v>
      </c>
      <c r="D108" s="600"/>
      <c r="E108" s="143" t="s">
        <v>460</v>
      </c>
      <c r="F108" s="601">
        <v>16</v>
      </c>
      <c r="G108" s="602"/>
      <c r="H108" t="s">
        <v>120</v>
      </c>
      <c r="K108" s="439"/>
      <c r="M108" s="440"/>
      <c r="N108" s="143" t="s">
        <v>459</v>
      </c>
      <c r="O108" s="599">
        <v>4</v>
      </c>
      <c r="P108" s="600"/>
      <c r="Q108" s="143" t="s">
        <v>460</v>
      </c>
      <c r="R108" s="601">
        <v>16</v>
      </c>
      <c r="S108" s="602"/>
      <c r="T108" t="s">
        <v>120</v>
      </c>
    </row>
    <row r="109" spans="2:23" ht="15" thickBot="1" x14ac:dyDescent="0.35">
      <c r="D109" s="593">
        <f>(PI()/4)*(((C108/8)*2.54)^2)*(100/F108)</f>
        <v>7.9173043608984015</v>
      </c>
      <c r="E109" s="594"/>
      <c r="F109" s="595"/>
      <c r="L109" s="439"/>
      <c r="M109" s="440"/>
      <c r="P109" s="593">
        <f>(PI()/4)*(((O108/8)*2.54)^2)*(100/R108)</f>
        <v>7.9173043608984015</v>
      </c>
      <c r="Q109" s="594"/>
      <c r="R109" s="595"/>
    </row>
    <row r="110" spans="2:23" x14ac:dyDescent="0.3">
      <c r="C110" s="596" t="str">
        <f>IF(D109&gt;B105,"Cumple","No Cumple")</f>
        <v>No Cumple</v>
      </c>
      <c r="D110" s="596"/>
      <c r="E110" s="596"/>
      <c r="F110" s="596"/>
      <c r="G110" s="596"/>
      <c r="K110" s="439"/>
      <c r="M110" s="440"/>
      <c r="O110" s="596" t="str">
        <f>IF(P109&gt;N105,"Cumple","No Cumple")</f>
        <v>No Cumple</v>
      </c>
      <c r="P110" s="596"/>
      <c r="Q110" s="596"/>
      <c r="R110" s="596"/>
      <c r="S110" s="596"/>
    </row>
    <row r="111" spans="2:23" x14ac:dyDescent="0.3">
      <c r="L111" s="439"/>
      <c r="M111" s="440"/>
    </row>
    <row r="112" spans="2:23" ht="15" thickBot="1" x14ac:dyDescent="0.35">
      <c r="B112" s="49" t="s">
        <v>461</v>
      </c>
      <c r="K112" s="439"/>
      <c r="M112" s="440"/>
      <c r="N112" s="49" t="s">
        <v>461</v>
      </c>
    </row>
    <row r="113" spans="2:22" ht="15" thickBot="1" x14ac:dyDescent="0.35">
      <c r="B113" s="597">
        <f>0.9*D109*E33*(100*Q74-(D109*E33)/(100*1.7*E32))/(1000*100)</f>
        <v>8.1937192880094862</v>
      </c>
      <c r="C113" s="598"/>
      <c r="D113" s="143" t="str">
        <f>IF(B113&gt;E113,"&gt;","&lt;")</f>
        <v>&gt;</v>
      </c>
      <c r="E113" s="597">
        <f>B102</f>
        <v>7.3310239469052494</v>
      </c>
      <c r="F113" s="598"/>
      <c r="L113" s="439"/>
      <c r="M113" s="440"/>
      <c r="N113" s="597">
        <f>0.9*P109*E33*(100*(Q74-0.01)-(P109*E33)/(100*1.7*E32))/(1000*100)</f>
        <v>7.9934906607223626</v>
      </c>
      <c r="O113" s="598"/>
      <c r="P113" s="143" t="str">
        <f>IF(N113&gt;Q113,"&gt;","&lt;")</f>
        <v>&gt;</v>
      </c>
      <c r="Q113" s="597">
        <f>N102</f>
        <v>7.3310239469052494</v>
      </c>
      <c r="R113" s="598"/>
    </row>
    <row r="114" spans="2:22" x14ac:dyDescent="0.3">
      <c r="B114" s="589" t="str">
        <f>IF(D113="&gt;","El Acero Elegido es Suficiente","NO CUMPLE")</f>
        <v>El Acero Elegido es Suficiente</v>
      </c>
      <c r="C114" s="589"/>
      <c r="D114" s="589"/>
      <c r="E114" s="589"/>
      <c r="F114" s="589"/>
      <c r="K114" s="439"/>
      <c r="M114" s="440"/>
      <c r="N114" s="589" t="str">
        <f>IF(P113="&gt;","El Acero Elegido es Suficiente","NO CUMPLE")</f>
        <v>El Acero Elegido es Suficiente</v>
      </c>
      <c r="O114" s="589"/>
      <c r="P114" s="589"/>
      <c r="Q114" s="589"/>
      <c r="R114" s="589"/>
    </row>
    <row r="115" spans="2:22" x14ac:dyDescent="0.3">
      <c r="B115" s="589"/>
      <c r="C115" s="589"/>
      <c r="D115" s="589"/>
      <c r="E115" s="589"/>
      <c r="F115" s="589"/>
      <c r="L115" s="439"/>
      <c r="M115" s="440"/>
      <c r="N115" s="589"/>
      <c r="O115" s="589"/>
      <c r="P115" s="589"/>
      <c r="Q115" s="589"/>
      <c r="R115" s="589"/>
    </row>
    <row r="116" spans="2:22" x14ac:dyDescent="0.3">
      <c r="B116" s="441"/>
      <c r="C116" s="441"/>
      <c r="D116" s="441"/>
      <c r="E116" s="441"/>
      <c r="F116" s="441"/>
      <c r="K116" s="439"/>
      <c r="L116" s="145"/>
      <c r="M116" s="440"/>
      <c r="N116" s="441"/>
      <c r="O116" s="441"/>
      <c r="P116" s="441"/>
      <c r="Q116" s="441"/>
      <c r="R116" s="441"/>
    </row>
    <row r="117" spans="2:22" x14ac:dyDescent="0.3">
      <c r="B117" s="590" t="s">
        <v>50</v>
      </c>
      <c r="C117" s="590"/>
      <c r="D117" s="590"/>
      <c r="E117" s="590"/>
      <c r="F117" s="590"/>
      <c r="G117" s="590"/>
      <c r="H117" s="590"/>
      <c r="I117" s="590"/>
      <c r="J117" s="590"/>
      <c r="L117" s="439"/>
      <c r="M117" s="440"/>
      <c r="N117" s="590" t="s">
        <v>50</v>
      </c>
      <c r="O117" s="590"/>
      <c r="P117" s="590"/>
      <c r="Q117" s="590"/>
      <c r="R117" s="590"/>
      <c r="S117" s="590"/>
      <c r="T117" s="590"/>
      <c r="U117" s="590"/>
      <c r="V117" s="590"/>
    </row>
    <row r="118" spans="2:22" x14ac:dyDescent="0.3">
      <c r="K118" s="439"/>
      <c r="M118" s="440"/>
    </row>
    <row r="119" spans="2:22" ht="15" thickBot="1" x14ac:dyDescent="0.35">
      <c r="B119" s="49" t="s">
        <v>462</v>
      </c>
      <c r="L119" s="439"/>
      <c r="M119" s="440"/>
      <c r="N119" s="49" t="s">
        <v>462</v>
      </c>
    </row>
    <row r="120" spans="2:22" ht="15" thickBot="1" x14ac:dyDescent="0.35">
      <c r="B120" s="143" t="str">
        <f>B108</f>
        <v>#</v>
      </c>
      <c r="C120" s="591">
        <f t="shared" ref="C120:H120" si="0">C108</f>
        <v>4</v>
      </c>
      <c r="D120" s="592"/>
      <c r="E120" s="143" t="str">
        <f t="shared" si="0"/>
        <v>@</v>
      </c>
      <c r="F120" s="591">
        <f t="shared" si="0"/>
        <v>16</v>
      </c>
      <c r="G120" s="592"/>
      <c r="H120" t="str">
        <f t="shared" si="0"/>
        <v>cm</v>
      </c>
      <c r="K120" s="439"/>
      <c r="M120" s="440"/>
      <c r="N120" s="143" t="str">
        <f>N108</f>
        <v>#</v>
      </c>
      <c r="O120" s="591">
        <f t="shared" ref="O120" si="1">O108</f>
        <v>4</v>
      </c>
      <c r="P120" s="592"/>
      <c r="Q120" s="143" t="str">
        <f t="shared" ref="Q120:R120" si="2">Q108</f>
        <v>@</v>
      </c>
      <c r="R120" s="591">
        <f t="shared" si="2"/>
        <v>16</v>
      </c>
      <c r="S120" s="592"/>
      <c r="T120" t="str">
        <f t="shared" ref="T120" si="3">T108</f>
        <v>cm</v>
      </c>
    </row>
    <row r="121" spans="2:22" x14ac:dyDescent="0.3">
      <c r="L121" s="439"/>
      <c r="M121" s="440"/>
      <c r="N121" s="440"/>
      <c r="O121" s="440"/>
      <c r="P121" s="440"/>
      <c r="Q121" s="440"/>
      <c r="R121" s="440"/>
      <c r="S121" s="440"/>
      <c r="T121" s="440"/>
      <c r="U121" s="440"/>
    </row>
    <row r="122" spans="2:22" x14ac:dyDescent="0.3">
      <c r="L122" s="442"/>
    </row>
  </sheetData>
  <mergeCells count="140">
    <mergeCell ref="S12:X12"/>
    <mergeCell ref="H13:J13"/>
    <mergeCell ref="K13:M13"/>
    <mergeCell ref="T13:W13"/>
    <mergeCell ref="E2:AE2"/>
    <mergeCell ref="I4:K4"/>
    <mergeCell ref="I5:I10"/>
    <mergeCell ref="T5:W5"/>
    <mergeCell ref="T7:W10"/>
    <mergeCell ref="F8:G8"/>
    <mergeCell ref="Q8:Q9"/>
    <mergeCell ref="H14:J14"/>
    <mergeCell ref="K14:M14"/>
    <mergeCell ref="F16:M23"/>
    <mergeCell ref="B27:G27"/>
    <mergeCell ref="B28:C28"/>
    <mergeCell ref="E28:G28"/>
    <mergeCell ref="H28:J28"/>
    <mergeCell ref="C9:D9"/>
    <mergeCell ref="F11:L11"/>
    <mergeCell ref="B31:C31"/>
    <mergeCell ref="E31:G31"/>
    <mergeCell ref="H31:J31"/>
    <mergeCell ref="B32:C32"/>
    <mergeCell ref="E32:G32"/>
    <mergeCell ref="H32:J32"/>
    <mergeCell ref="B29:C29"/>
    <mergeCell ref="E29:G29"/>
    <mergeCell ref="H29:J29"/>
    <mergeCell ref="B30:C30"/>
    <mergeCell ref="E30:G30"/>
    <mergeCell ref="H30:J30"/>
    <mergeCell ref="D38:E38"/>
    <mergeCell ref="F38:G38"/>
    <mergeCell ref="D39:E39"/>
    <mergeCell ref="F39:G39"/>
    <mergeCell ref="B41:L41"/>
    <mergeCell ref="B43:C43"/>
    <mergeCell ref="E43:F43"/>
    <mergeCell ref="J43:M43"/>
    <mergeCell ref="B33:C33"/>
    <mergeCell ref="E33:G33"/>
    <mergeCell ref="H33:J33"/>
    <mergeCell ref="B35:G35"/>
    <mergeCell ref="D37:E37"/>
    <mergeCell ref="F37:G37"/>
    <mergeCell ref="C49:C54"/>
    <mergeCell ref="O50:AA50"/>
    <mergeCell ref="O51:T51"/>
    <mergeCell ref="P52:S52"/>
    <mergeCell ref="O55:R55"/>
    <mergeCell ref="T55:W55"/>
    <mergeCell ref="O43:P43"/>
    <mergeCell ref="S43:T43"/>
    <mergeCell ref="S44:AA46"/>
    <mergeCell ref="G46:L46"/>
    <mergeCell ref="F48:M55"/>
    <mergeCell ref="Q48:T48"/>
    <mergeCell ref="V48:W48"/>
    <mergeCell ref="B59:D59"/>
    <mergeCell ref="F59:G59"/>
    <mergeCell ref="H59:I59"/>
    <mergeCell ref="F61:H61"/>
    <mergeCell ref="I61:J61"/>
    <mergeCell ref="B63:G63"/>
    <mergeCell ref="J63:M63"/>
    <mergeCell ref="P56:Q56"/>
    <mergeCell ref="U56:V56"/>
    <mergeCell ref="B57:D57"/>
    <mergeCell ref="F57:G57"/>
    <mergeCell ref="H57:I57"/>
    <mergeCell ref="B58:D58"/>
    <mergeCell ref="F58:G58"/>
    <mergeCell ref="H58:I58"/>
    <mergeCell ref="AA65:AB65"/>
    <mergeCell ref="AC65:AE65"/>
    <mergeCell ref="AF65:AG65"/>
    <mergeCell ref="AI65:AJ65"/>
    <mergeCell ref="D66:E66"/>
    <mergeCell ref="F66:G66"/>
    <mergeCell ref="L66:M66"/>
    <mergeCell ref="P63:T63"/>
    <mergeCell ref="X63:AB63"/>
    <mergeCell ref="AF63:AJ63"/>
    <mergeCell ref="D65:E65"/>
    <mergeCell ref="F65:G65"/>
    <mergeCell ref="L65:M65"/>
    <mergeCell ref="P65:Q65"/>
    <mergeCell ref="S65:T65"/>
    <mergeCell ref="U65:W65"/>
    <mergeCell ref="X65:Y65"/>
    <mergeCell ref="B69:J69"/>
    <mergeCell ref="Q69:Y69"/>
    <mergeCell ref="I71:I74"/>
    <mergeCell ref="Q71:Z71"/>
    <mergeCell ref="Q72:Z72"/>
    <mergeCell ref="E73:E76"/>
    <mergeCell ref="Q74:V74"/>
    <mergeCell ref="F75:L75"/>
    <mergeCell ref="M75:M78"/>
    <mergeCell ref="K84:M84"/>
    <mergeCell ref="B85:G85"/>
    <mergeCell ref="Q85:V85"/>
    <mergeCell ref="Z86:AD86"/>
    <mergeCell ref="Q87:V87"/>
    <mergeCell ref="Q89:V89"/>
    <mergeCell ref="F79:L79"/>
    <mergeCell ref="B81:J81"/>
    <mergeCell ref="Q81:Y81"/>
    <mergeCell ref="B83:G83"/>
    <mergeCell ref="Q83:V83"/>
    <mergeCell ref="Y83:AD83"/>
    <mergeCell ref="B105:C105"/>
    <mergeCell ref="N105:O105"/>
    <mergeCell ref="C108:D108"/>
    <mergeCell ref="F108:G108"/>
    <mergeCell ref="O108:P108"/>
    <mergeCell ref="R108:S108"/>
    <mergeCell ref="B92:J92"/>
    <mergeCell ref="B96:G96"/>
    <mergeCell ref="B99:J99"/>
    <mergeCell ref="N99:W99"/>
    <mergeCell ref="B102:C102"/>
    <mergeCell ref="N102:O102"/>
    <mergeCell ref="B114:F115"/>
    <mergeCell ref="N114:R115"/>
    <mergeCell ref="B117:J117"/>
    <mergeCell ref="N117:V117"/>
    <mergeCell ref="C120:D120"/>
    <mergeCell ref="F120:G120"/>
    <mergeCell ref="O120:P120"/>
    <mergeCell ref="R120:S120"/>
    <mergeCell ref="D109:F109"/>
    <mergeCell ref="P109:R109"/>
    <mergeCell ref="C110:G110"/>
    <mergeCell ref="O110:S110"/>
    <mergeCell ref="B113:C113"/>
    <mergeCell ref="E113:F113"/>
    <mergeCell ref="N113:O113"/>
    <mergeCell ref="Q113:R113"/>
  </mergeCells>
  <pageMargins left="0.7" right="0.7" top="0.75" bottom="0.75" header="0.3" footer="0.3"/>
  <pageSetup scale="66" fitToHeight="0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K122"/>
  <sheetViews>
    <sheetView topLeftCell="A76" workbookViewId="0">
      <selection activeCell="T14" sqref="T14"/>
    </sheetView>
  </sheetViews>
  <sheetFormatPr baseColWidth="10" defaultRowHeight="14.4" x14ac:dyDescent="0.3"/>
  <cols>
    <col min="2" max="40" width="3.33203125" customWidth="1"/>
  </cols>
  <sheetData>
    <row r="1" spans="2:31" ht="15" thickBot="1" x14ac:dyDescent="0.35"/>
    <row r="2" spans="2:31" ht="31.8" thickBot="1" x14ac:dyDescent="0.65">
      <c r="E2" s="694" t="s">
        <v>463</v>
      </c>
      <c r="F2" s="695"/>
      <c r="G2" s="695"/>
      <c r="H2" s="695"/>
      <c r="I2" s="695"/>
      <c r="J2" s="695"/>
      <c r="K2" s="695"/>
      <c r="L2" s="695"/>
      <c r="M2" s="695"/>
      <c r="N2" s="695"/>
      <c r="O2" s="695"/>
      <c r="P2" s="695"/>
      <c r="Q2" s="695"/>
      <c r="R2" s="695"/>
      <c r="S2" s="695"/>
      <c r="T2" s="695"/>
      <c r="U2" s="695"/>
      <c r="V2" s="695"/>
      <c r="W2" s="695"/>
      <c r="X2" s="695"/>
      <c r="Y2" s="695"/>
      <c r="Z2" s="695"/>
      <c r="AA2" s="695"/>
      <c r="AB2" s="695"/>
      <c r="AC2" s="695"/>
      <c r="AD2" s="695"/>
      <c r="AE2" s="696"/>
    </row>
    <row r="3" spans="2:31" ht="15" thickBot="1" x14ac:dyDescent="0.35"/>
    <row r="4" spans="2:31" ht="15" thickBot="1" x14ac:dyDescent="0.35">
      <c r="I4" s="697">
        <f>+'COLUMNA 2'!D56/1000</f>
        <v>20.483666505679533</v>
      </c>
      <c r="J4" s="698"/>
      <c r="K4" s="699"/>
      <c r="L4" s="49" t="s">
        <v>248</v>
      </c>
      <c r="T4" s="220"/>
      <c r="U4" s="423"/>
      <c r="V4" s="423"/>
      <c r="W4" s="423"/>
      <c r="X4" s="215"/>
    </row>
    <row r="5" spans="2:31" x14ac:dyDescent="0.3">
      <c r="F5" s="61"/>
      <c r="G5" s="101"/>
      <c r="H5" s="101"/>
      <c r="I5" s="636"/>
      <c r="J5" s="101"/>
      <c r="K5" s="101"/>
      <c r="L5" s="101"/>
      <c r="M5" s="101"/>
      <c r="N5" s="101"/>
      <c r="T5" s="701">
        <v>0.4</v>
      </c>
      <c r="U5" s="702"/>
      <c r="V5" s="702"/>
      <c r="W5" s="703"/>
      <c r="X5" s="215"/>
    </row>
    <row r="6" spans="2:31" ht="15" thickBot="1" x14ac:dyDescent="0.35">
      <c r="B6" s="424"/>
      <c r="C6" s="424"/>
      <c r="D6" s="424"/>
      <c r="E6" s="424"/>
      <c r="F6" s="61"/>
      <c r="G6" s="424"/>
      <c r="H6" s="424"/>
      <c r="I6" s="637"/>
      <c r="J6" s="424"/>
      <c r="K6" s="424"/>
      <c r="L6" s="424"/>
      <c r="M6" s="424"/>
      <c r="N6" s="424"/>
      <c r="T6" s="425"/>
      <c r="U6" s="425"/>
      <c r="V6" s="425"/>
      <c r="W6" s="425"/>
    </row>
    <row r="7" spans="2:31" ht="15" thickTop="1" x14ac:dyDescent="0.3">
      <c r="D7" s="426"/>
      <c r="F7" s="61"/>
      <c r="G7" s="101"/>
      <c r="I7" s="637"/>
      <c r="Q7" s="213"/>
      <c r="R7" s="214"/>
      <c r="T7" s="671" t="s">
        <v>401</v>
      </c>
      <c r="U7" s="672"/>
      <c r="V7" s="672"/>
      <c r="W7" s="673"/>
    </row>
    <row r="8" spans="2:31" x14ac:dyDescent="0.3">
      <c r="D8" s="215"/>
      <c r="F8" s="659" t="s">
        <v>402</v>
      </c>
      <c r="G8" s="659"/>
      <c r="I8" s="637"/>
      <c r="J8" s="427"/>
      <c r="K8" s="427"/>
      <c r="Q8" s="704">
        <v>0.4</v>
      </c>
      <c r="R8" s="215"/>
      <c r="T8" s="674"/>
      <c r="U8" s="675"/>
      <c r="V8" s="675"/>
      <c r="W8" s="676"/>
    </row>
    <row r="9" spans="2:31" x14ac:dyDescent="0.3">
      <c r="C9" s="692">
        <v>1.5</v>
      </c>
      <c r="D9" s="692"/>
      <c r="F9" s="61"/>
      <c r="G9" s="101"/>
      <c r="I9" s="637"/>
      <c r="Q9" s="704"/>
      <c r="R9" s="215"/>
      <c r="T9" s="674"/>
      <c r="U9" s="675"/>
      <c r="V9" s="675"/>
      <c r="W9" s="676"/>
    </row>
    <row r="10" spans="2:31" ht="15" thickBot="1" x14ac:dyDescent="0.35">
      <c r="D10" s="215"/>
      <c r="F10" s="61"/>
      <c r="G10" s="101"/>
      <c r="I10" s="700"/>
      <c r="R10" s="220"/>
      <c r="T10" s="677"/>
      <c r="U10" s="678"/>
      <c r="V10" s="678"/>
      <c r="W10" s="679"/>
    </row>
    <row r="11" spans="2:31" ht="15" thickBot="1" x14ac:dyDescent="0.35">
      <c r="D11" s="215"/>
      <c r="F11" s="591"/>
      <c r="G11" s="647"/>
      <c r="H11" s="647"/>
      <c r="I11" s="647"/>
      <c r="J11" s="647"/>
      <c r="K11" s="647"/>
      <c r="L11" s="592"/>
      <c r="M11" s="101"/>
      <c r="Q11" s="213"/>
      <c r="R11" s="213"/>
    </row>
    <row r="12" spans="2:31" ht="15" thickBot="1" x14ac:dyDescent="0.35">
      <c r="C12" s="213"/>
      <c r="D12" s="213"/>
      <c r="F12" s="101"/>
      <c r="G12" s="101"/>
      <c r="H12" s="101"/>
      <c r="I12" s="101"/>
      <c r="J12" s="101"/>
      <c r="K12" s="101"/>
      <c r="L12" s="101"/>
      <c r="S12" s="659" t="s">
        <v>403</v>
      </c>
      <c r="T12" s="659"/>
      <c r="U12" s="659"/>
      <c r="V12" s="659"/>
      <c r="W12" s="659"/>
      <c r="X12" s="659"/>
    </row>
    <row r="13" spans="2:31" ht="15" thickBot="1" x14ac:dyDescent="0.35">
      <c r="E13" t="s">
        <v>404</v>
      </c>
      <c r="H13" s="686">
        <f>+'COLUMNA 2'!D52/1000</f>
        <v>2.2924152670202691</v>
      </c>
      <c r="I13" s="687"/>
      <c r="J13" s="688"/>
      <c r="K13" s="649" t="s">
        <v>405</v>
      </c>
      <c r="L13" s="650"/>
      <c r="M13" s="650"/>
      <c r="T13" s="693">
        <v>4.5</v>
      </c>
      <c r="U13" s="693"/>
      <c r="V13" s="693"/>
      <c r="W13" s="693"/>
    </row>
    <row r="14" spans="2:31" ht="15" thickBot="1" x14ac:dyDescent="0.35">
      <c r="E14" t="s">
        <v>406</v>
      </c>
      <c r="H14" s="686">
        <f>+'COLUMNA 2'!D53/1000</f>
        <v>10.539145002307702</v>
      </c>
      <c r="I14" s="687"/>
      <c r="J14" s="688"/>
      <c r="K14" s="649" t="s">
        <v>405</v>
      </c>
      <c r="L14" s="650"/>
      <c r="M14" s="650"/>
    </row>
    <row r="15" spans="2:31" ht="15" thickBot="1" x14ac:dyDescent="0.35">
      <c r="H15" s="190"/>
      <c r="I15" s="190"/>
      <c r="J15" s="190"/>
      <c r="K15" s="103"/>
      <c r="L15" s="104"/>
      <c r="M15" s="104"/>
    </row>
    <row r="16" spans="2:31" x14ac:dyDescent="0.3">
      <c r="F16" s="671" t="s">
        <v>407</v>
      </c>
      <c r="G16" s="672"/>
      <c r="H16" s="672"/>
      <c r="I16" s="672"/>
      <c r="J16" s="672"/>
      <c r="K16" s="672"/>
      <c r="L16" s="672"/>
      <c r="M16" s="673"/>
    </row>
    <row r="17" spans="2:14" x14ac:dyDescent="0.3">
      <c r="F17" s="674"/>
      <c r="G17" s="675"/>
      <c r="H17" s="675"/>
      <c r="I17" s="675"/>
      <c r="J17" s="675"/>
      <c r="K17" s="675"/>
      <c r="L17" s="675"/>
      <c r="M17" s="676"/>
    </row>
    <row r="18" spans="2:14" x14ac:dyDescent="0.3">
      <c r="D18" t="s">
        <v>406</v>
      </c>
      <c r="F18" s="674"/>
      <c r="G18" s="675"/>
      <c r="H18" s="675"/>
      <c r="I18" s="675"/>
      <c r="J18" s="675"/>
      <c r="K18" s="675"/>
      <c r="L18" s="675"/>
      <c r="M18" s="676"/>
    </row>
    <row r="19" spans="2:14" x14ac:dyDescent="0.3">
      <c r="F19" s="674"/>
      <c r="G19" s="675"/>
      <c r="H19" s="675"/>
      <c r="I19" s="675"/>
      <c r="J19" s="675"/>
      <c r="K19" s="675"/>
      <c r="L19" s="675"/>
      <c r="M19" s="676"/>
    </row>
    <row r="20" spans="2:14" x14ac:dyDescent="0.3">
      <c r="F20" s="674"/>
      <c r="G20" s="675"/>
      <c r="H20" s="675"/>
      <c r="I20" s="675"/>
      <c r="J20" s="675"/>
      <c r="K20" s="675"/>
      <c r="L20" s="675"/>
      <c r="M20" s="676"/>
      <c r="N20" t="s">
        <v>404</v>
      </c>
    </row>
    <row r="21" spans="2:14" x14ac:dyDescent="0.3">
      <c r="F21" s="674"/>
      <c r="G21" s="675"/>
      <c r="H21" s="675"/>
      <c r="I21" s="675"/>
      <c r="J21" s="675"/>
      <c r="K21" s="675"/>
      <c r="L21" s="675"/>
      <c r="M21" s="676"/>
    </row>
    <row r="22" spans="2:14" x14ac:dyDescent="0.3">
      <c r="F22" s="674"/>
      <c r="G22" s="675"/>
      <c r="H22" s="675"/>
      <c r="I22" s="675"/>
      <c r="J22" s="675"/>
      <c r="K22" s="675"/>
      <c r="L22" s="675"/>
      <c r="M22" s="676"/>
    </row>
    <row r="23" spans="2:14" ht="15" thickBot="1" x14ac:dyDescent="0.35">
      <c r="F23" s="677"/>
      <c r="G23" s="678"/>
      <c r="H23" s="678"/>
      <c r="I23" s="678"/>
      <c r="J23" s="678"/>
      <c r="K23" s="678"/>
      <c r="L23" s="678"/>
      <c r="M23" s="679"/>
    </row>
    <row r="24" spans="2:14" x14ac:dyDescent="0.3">
      <c r="H24" s="190"/>
      <c r="I24" s="190"/>
      <c r="J24" s="190"/>
      <c r="K24" s="103"/>
      <c r="L24" s="104"/>
      <c r="M24" s="104"/>
    </row>
    <row r="25" spans="2:14" x14ac:dyDescent="0.3">
      <c r="H25" s="190"/>
      <c r="I25" s="190"/>
      <c r="J25" s="190"/>
      <c r="K25" s="103"/>
      <c r="L25" s="104"/>
      <c r="M25" s="104"/>
    </row>
    <row r="26" spans="2:14" ht="15" thickBot="1" x14ac:dyDescent="0.35"/>
    <row r="27" spans="2:14" ht="15" thickBot="1" x14ac:dyDescent="0.35">
      <c r="B27" s="689" t="s">
        <v>408</v>
      </c>
      <c r="C27" s="690"/>
      <c r="D27" s="690"/>
      <c r="E27" s="690"/>
      <c r="F27" s="690"/>
      <c r="G27" s="691"/>
    </row>
    <row r="28" spans="2:14" ht="15" thickBot="1" x14ac:dyDescent="0.35">
      <c r="B28" s="653" t="s">
        <v>409</v>
      </c>
      <c r="C28" s="654"/>
      <c r="D28" s="428" t="s">
        <v>214</v>
      </c>
      <c r="E28" s="680">
        <v>1.4</v>
      </c>
      <c r="F28" s="681"/>
      <c r="G28" s="682"/>
      <c r="H28" s="650"/>
      <c r="I28" s="650"/>
      <c r="J28" s="650"/>
    </row>
    <row r="29" spans="2:14" ht="15" thickBot="1" x14ac:dyDescent="0.35">
      <c r="B29" s="653" t="s">
        <v>410</v>
      </c>
      <c r="C29" s="654"/>
      <c r="D29" s="428" t="s">
        <v>214</v>
      </c>
      <c r="E29" s="680">
        <v>18.5</v>
      </c>
      <c r="F29" s="681"/>
      <c r="G29" s="682"/>
      <c r="H29" s="650" t="s">
        <v>411</v>
      </c>
      <c r="I29" s="650"/>
      <c r="J29" s="650"/>
    </row>
    <row r="30" spans="2:14" ht="15" thickBot="1" x14ac:dyDescent="0.35">
      <c r="B30" s="653" t="s">
        <v>412</v>
      </c>
      <c r="C30" s="654"/>
      <c r="D30" s="428" t="s">
        <v>214</v>
      </c>
      <c r="E30" s="680">
        <v>1.9650000000000001</v>
      </c>
      <c r="F30" s="681"/>
      <c r="G30" s="682"/>
      <c r="H30" s="650" t="s">
        <v>413</v>
      </c>
      <c r="I30" s="650"/>
      <c r="J30" s="650"/>
    </row>
    <row r="31" spans="2:14" ht="15" thickBot="1" x14ac:dyDescent="0.35">
      <c r="B31" s="653" t="s">
        <v>414</v>
      </c>
      <c r="C31" s="654"/>
      <c r="D31" s="428" t="s">
        <v>214</v>
      </c>
      <c r="E31" s="680">
        <v>2.4</v>
      </c>
      <c r="F31" s="681"/>
      <c r="G31" s="682"/>
      <c r="H31" s="650" t="s">
        <v>413</v>
      </c>
      <c r="I31" s="650"/>
      <c r="J31" s="650"/>
    </row>
    <row r="32" spans="2:14" ht="15" thickBot="1" x14ac:dyDescent="0.35">
      <c r="B32" s="653" t="s">
        <v>147</v>
      </c>
      <c r="C32" s="654"/>
      <c r="D32" s="428" t="s">
        <v>214</v>
      </c>
      <c r="E32" s="680">
        <v>210</v>
      </c>
      <c r="F32" s="681"/>
      <c r="G32" s="682"/>
      <c r="H32" s="650" t="s">
        <v>415</v>
      </c>
      <c r="I32" s="650"/>
      <c r="J32" s="650"/>
    </row>
    <row r="33" spans="2:33" ht="15" thickBot="1" x14ac:dyDescent="0.35">
      <c r="B33" s="653" t="s">
        <v>123</v>
      </c>
      <c r="C33" s="654"/>
      <c r="D33" s="428" t="s">
        <v>214</v>
      </c>
      <c r="E33" s="680">
        <v>2810</v>
      </c>
      <c r="F33" s="681"/>
      <c r="G33" s="682"/>
      <c r="H33" s="650" t="s">
        <v>415</v>
      </c>
      <c r="I33" s="650"/>
      <c r="J33" s="650"/>
    </row>
    <row r="34" spans="2:33" ht="15" thickBot="1" x14ac:dyDescent="0.35"/>
    <row r="35" spans="2:33" ht="15" thickBot="1" x14ac:dyDescent="0.35">
      <c r="B35" s="683" t="s">
        <v>416</v>
      </c>
      <c r="C35" s="684"/>
      <c r="D35" s="684"/>
      <c r="E35" s="684"/>
      <c r="F35" s="684"/>
      <c r="G35" s="685"/>
    </row>
    <row r="36" spans="2:33" ht="15" thickBot="1" x14ac:dyDescent="0.35"/>
    <row r="37" spans="2:33" ht="15" thickBot="1" x14ac:dyDescent="0.35">
      <c r="B37" s="429" t="s">
        <v>417</v>
      </c>
      <c r="C37" s="430" t="s">
        <v>214</v>
      </c>
      <c r="D37" s="651">
        <f>I4/E28</f>
        <v>14.631190361199668</v>
      </c>
      <c r="E37" s="652"/>
      <c r="F37" s="650" t="s">
        <v>248</v>
      </c>
      <c r="G37" s="650"/>
    </row>
    <row r="38" spans="2:33" ht="15" thickBot="1" x14ac:dyDescent="0.35">
      <c r="B38" s="429" t="s">
        <v>418</v>
      </c>
      <c r="C38" s="430" t="s">
        <v>214</v>
      </c>
      <c r="D38" s="651">
        <f>H13/E28</f>
        <v>1.6374394764430495</v>
      </c>
      <c r="E38" s="652"/>
      <c r="F38" s="649" t="s">
        <v>419</v>
      </c>
      <c r="G38" s="650"/>
    </row>
    <row r="39" spans="2:33" ht="15" thickBot="1" x14ac:dyDescent="0.35">
      <c r="B39" s="429" t="s">
        <v>420</v>
      </c>
      <c r="C39" s="430" t="s">
        <v>214</v>
      </c>
      <c r="D39" s="651">
        <f>H14/E28</f>
        <v>7.5279607159340731</v>
      </c>
      <c r="E39" s="652"/>
      <c r="F39" s="649" t="s">
        <v>419</v>
      </c>
      <c r="G39" s="650"/>
    </row>
    <row r="40" spans="2:33" ht="15" thickBot="1" x14ac:dyDescent="0.35"/>
    <row r="41" spans="2:33" ht="15" thickBot="1" x14ac:dyDescent="0.35">
      <c r="B41" s="603" t="s">
        <v>421</v>
      </c>
      <c r="C41" s="604"/>
      <c r="D41" s="604"/>
      <c r="E41" s="604"/>
      <c r="F41" s="604"/>
      <c r="G41" s="604"/>
      <c r="H41" s="604"/>
      <c r="I41" s="604"/>
      <c r="J41" s="604"/>
      <c r="K41" s="604"/>
      <c r="L41" s="605"/>
    </row>
    <row r="42" spans="2:33" ht="15" thickBot="1" x14ac:dyDescent="0.35"/>
    <row r="43" spans="2:33" ht="15" thickBot="1" x14ac:dyDescent="0.35">
      <c r="B43" s="653" t="s">
        <v>422</v>
      </c>
      <c r="C43" s="654"/>
      <c r="D43" s="430" t="s">
        <v>214</v>
      </c>
      <c r="E43" s="591">
        <f>E28*D37/E29</f>
        <v>1.1072252165232179</v>
      </c>
      <c r="F43" s="592"/>
      <c r="G43" t="s">
        <v>205</v>
      </c>
      <c r="J43" s="653" t="s">
        <v>423</v>
      </c>
      <c r="K43" s="654"/>
      <c r="L43" s="654"/>
      <c r="M43" s="654"/>
      <c r="N43" s="430" t="s">
        <v>214</v>
      </c>
      <c r="O43" s="591">
        <f>SQRT(E43)</f>
        <v>1.0522476973237898</v>
      </c>
      <c r="P43" s="592"/>
      <c r="Q43" t="s">
        <v>205</v>
      </c>
      <c r="S43" s="668" t="s">
        <v>424</v>
      </c>
      <c r="T43" s="668"/>
    </row>
    <row r="44" spans="2:33" x14ac:dyDescent="0.3">
      <c r="S44" s="669" t="s">
        <v>425</v>
      </c>
      <c r="T44" s="669"/>
      <c r="U44" s="669"/>
      <c r="V44" s="669"/>
      <c r="W44" s="669"/>
      <c r="X44" s="669"/>
      <c r="Y44" s="669"/>
      <c r="Z44" s="669"/>
      <c r="AA44" s="669"/>
    </row>
    <row r="45" spans="2:33" x14ac:dyDescent="0.3">
      <c r="F45" s="215"/>
      <c r="N45" s="215"/>
      <c r="S45" s="669"/>
      <c r="T45" s="669"/>
      <c r="U45" s="669"/>
      <c r="V45" s="669"/>
      <c r="W45" s="669"/>
      <c r="X45" s="669"/>
      <c r="Y45" s="669"/>
      <c r="Z45" s="669"/>
      <c r="AA45" s="669"/>
    </row>
    <row r="46" spans="2:33" x14ac:dyDescent="0.3">
      <c r="F46" s="214"/>
      <c r="G46" s="670">
        <v>1.5</v>
      </c>
      <c r="H46" s="670"/>
      <c r="I46" s="670"/>
      <c r="J46" s="670"/>
      <c r="K46" s="670"/>
      <c r="L46" s="670"/>
      <c r="M46" s="213"/>
      <c r="N46" s="215"/>
      <c r="S46" s="669"/>
      <c r="T46" s="669"/>
      <c r="U46" s="669"/>
      <c r="V46" s="669"/>
      <c r="W46" s="669"/>
      <c r="X46" s="669"/>
      <c r="Y46" s="669"/>
      <c r="Z46" s="669"/>
      <c r="AA46" s="669"/>
      <c r="AG46">
        <f>+G46*C49</f>
        <v>2.25</v>
      </c>
    </row>
    <row r="47" spans="2:33" ht="15" thickBot="1" x14ac:dyDescent="0.35"/>
    <row r="48" spans="2:33" ht="15" thickBot="1" x14ac:dyDescent="0.35">
      <c r="C48" s="213"/>
      <c r="D48" s="214"/>
      <c r="F48" s="671" t="s">
        <v>407</v>
      </c>
      <c r="G48" s="672"/>
      <c r="H48" s="672"/>
      <c r="I48" s="672"/>
      <c r="J48" s="672"/>
      <c r="K48" s="672"/>
      <c r="L48" s="672"/>
      <c r="M48" s="673"/>
      <c r="Q48" s="653" t="s">
        <v>426</v>
      </c>
      <c r="R48" s="654"/>
      <c r="S48" s="654"/>
      <c r="T48" s="654"/>
      <c r="U48" s="430" t="s">
        <v>214</v>
      </c>
      <c r="V48" s="591">
        <f>+C49*G46</f>
        <v>2.25</v>
      </c>
      <c r="W48" s="592"/>
      <c r="X48" t="s">
        <v>205</v>
      </c>
    </row>
    <row r="49" spans="2:36" x14ac:dyDescent="0.3">
      <c r="C49" s="660">
        <v>1.5</v>
      </c>
      <c r="D49" s="215"/>
      <c r="F49" s="674"/>
      <c r="G49" s="675"/>
      <c r="H49" s="675"/>
      <c r="I49" s="675"/>
      <c r="J49" s="675"/>
      <c r="K49" s="675"/>
      <c r="L49" s="675"/>
      <c r="M49" s="676"/>
    </row>
    <row r="50" spans="2:36" ht="15" thickBot="1" x14ac:dyDescent="0.35">
      <c r="C50" s="660"/>
      <c r="D50" s="215"/>
      <c r="F50" s="674"/>
      <c r="G50" s="675"/>
      <c r="H50" s="675"/>
      <c r="I50" s="675"/>
      <c r="J50" s="675"/>
      <c r="K50" s="675"/>
      <c r="L50" s="675"/>
      <c r="M50" s="676"/>
      <c r="O50" s="661" t="str">
        <f>IF(X52&gt;=P52,"No puede ser Mayor el Peralte al Grosor","")</f>
        <v/>
      </c>
      <c r="P50" s="661"/>
      <c r="Q50" s="661"/>
      <c r="R50" s="661"/>
      <c r="S50" s="661"/>
      <c r="T50" s="661"/>
      <c r="U50" s="661"/>
      <c r="V50" s="661"/>
      <c r="W50" s="661"/>
      <c r="X50" s="661"/>
      <c r="Y50" s="661"/>
      <c r="Z50" s="661"/>
      <c r="AA50" s="661"/>
    </row>
    <row r="51" spans="2:36" ht="15" thickBot="1" x14ac:dyDescent="0.35">
      <c r="C51" s="660"/>
      <c r="D51" s="215"/>
      <c r="F51" s="674"/>
      <c r="G51" s="675"/>
      <c r="H51" s="675"/>
      <c r="I51" s="675"/>
      <c r="J51" s="675"/>
      <c r="K51" s="675"/>
      <c r="L51" s="675"/>
      <c r="M51" s="676"/>
      <c r="O51" s="662" t="s">
        <v>427</v>
      </c>
      <c r="P51" s="663"/>
      <c r="Q51" s="663"/>
      <c r="R51" s="663"/>
      <c r="S51" s="663"/>
      <c r="T51" s="664"/>
      <c r="W51" s="421"/>
      <c r="X51" s="421"/>
      <c r="Y51" s="421"/>
      <c r="Z51" s="421"/>
      <c r="AA51" s="421"/>
    </row>
    <row r="52" spans="2:36" ht="15" thickBot="1" x14ac:dyDescent="0.35">
      <c r="C52" s="660"/>
      <c r="D52" s="215"/>
      <c r="F52" s="674"/>
      <c r="G52" s="675"/>
      <c r="H52" s="675"/>
      <c r="I52" s="675"/>
      <c r="J52" s="675"/>
      <c r="K52" s="675"/>
      <c r="L52" s="675"/>
      <c r="M52" s="676"/>
      <c r="P52" s="665">
        <v>0.5</v>
      </c>
      <c r="Q52" s="666"/>
      <c r="R52" s="666"/>
      <c r="S52" s="667"/>
      <c r="W52" s="431"/>
      <c r="X52" s="431"/>
      <c r="Y52" s="431"/>
      <c r="Z52" s="431"/>
      <c r="AA52" s="431"/>
    </row>
    <row r="53" spans="2:36" x14ac:dyDescent="0.3">
      <c r="C53" s="660"/>
      <c r="D53" s="215"/>
      <c r="F53" s="674"/>
      <c r="G53" s="675"/>
      <c r="H53" s="675"/>
      <c r="I53" s="675"/>
      <c r="J53" s="675"/>
      <c r="K53" s="675"/>
      <c r="L53" s="675"/>
      <c r="M53" s="676"/>
    </row>
    <row r="54" spans="2:36" ht="15" thickBot="1" x14ac:dyDescent="0.35">
      <c r="C54" s="660"/>
      <c r="D54" s="215"/>
      <c r="F54" s="674"/>
      <c r="G54" s="675"/>
      <c r="H54" s="675"/>
      <c r="I54" s="675"/>
      <c r="J54" s="675"/>
      <c r="K54" s="675"/>
      <c r="L54" s="675"/>
      <c r="M54" s="676"/>
    </row>
    <row r="55" spans="2:36" ht="15" thickBot="1" x14ac:dyDescent="0.35">
      <c r="D55" s="220"/>
      <c r="F55" s="677"/>
      <c r="G55" s="678"/>
      <c r="H55" s="678"/>
      <c r="I55" s="678"/>
      <c r="J55" s="678"/>
      <c r="K55" s="678"/>
      <c r="L55" s="678"/>
      <c r="M55" s="679"/>
      <c r="O55" s="591" t="s">
        <v>428</v>
      </c>
      <c r="P55" s="647"/>
      <c r="Q55" s="647"/>
      <c r="R55" s="592"/>
      <c r="T55" s="591" t="s">
        <v>429</v>
      </c>
      <c r="U55" s="647"/>
      <c r="V55" s="647"/>
      <c r="W55" s="592"/>
    </row>
    <row r="56" spans="2:36" ht="15" thickBot="1" x14ac:dyDescent="0.35">
      <c r="C56" s="213"/>
      <c r="D56" s="213"/>
      <c r="P56" s="591">
        <f>40+100*X52</f>
        <v>40</v>
      </c>
      <c r="Q56" s="592"/>
      <c r="U56" s="591">
        <f>40+50*X52</f>
        <v>40</v>
      </c>
      <c r="V56" s="592"/>
    </row>
    <row r="57" spans="2:36" ht="15" thickBot="1" x14ac:dyDescent="0.35">
      <c r="B57" s="653" t="s">
        <v>430</v>
      </c>
      <c r="C57" s="654"/>
      <c r="D57" s="654"/>
      <c r="E57" s="432" t="s">
        <v>214</v>
      </c>
      <c r="F57" s="651">
        <f>Q8*T5*(T13+C9)*E31</f>
        <v>2.3040000000000003</v>
      </c>
      <c r="G57" s="652"/>
      <c r="H57" s="649" t="s">
        <v>248</v>
      </c>
      <c r="I57" s="650"/>
    </row>
    <row r="58" spans="2:36" ht="15" thickBot="1" x14ac:dyDescent="0.35">
      <c r="B58" s="653" t="s">
        <v>431</v>
      </c>
      <c r="C58" s="654"/>
      <c r="D58" s="654"/>
      <c r="E58" s="432" t="s">
        <v>214</v>
      </c>
      <c r="F58" s="651">
        <f>C49*G46*C9*E30</f>
        <v>6.631875</v>
      </c>
      <c r="G58" s="652"/>
      <c r="H58" s="649" t="s">
        <v>248</v>
      </c>
      <c r="I58" s="650"/>
    </row>
    <row r="59" spans="2:36" ht="15" thickBot="1" x14ac:dyDescent="0.35">
      <c r="B59" s="653" t="s">
        <v>432</v>
      </c>
      <c r="C59" s="654"/>
      <c r="D59" s="654"/>
      <c r="E59" s="432" t="s">
        <v>214</v>
      </c>
      <c r="F59" s="651">
        <f>V48*P52*E31</f>
        <v>2.6999999999999997</v>
      </c>
      <c r="G59" s="652"/>
      <c r="H59" s="649" t="s">
        <v>248</v>
      </c>
      <c r="I59" s="650"/>
    </row>
    <row r="60" spans="2:36" ht="15" thickBot="1" x14ac:dyDescent="0.35"/>
    <row r="61" spans="2:36" ht="15" thickBot="1" x14ac:dyDescent="0.35">
      <c r="D61" s="433" t="s">
        <v>433</v>
      </c>
      <c r="E61" s="434" t="s">
        <v>214</v>
      </c>
      <c r="F61" s="655">
        <f>SUM(F57:G59)+D37</f>
        <v>26.267065361199666</v>
      </c>
      <c r="G61" s="656"/>
      <c r="H61" s="657"/>
      <c r="I61" s="658" t="s">
        <v>248</v>
      </c>
      <c r="J61" s="659"/>
    </row>
    <row r="62" spans="2:36" ht="15" thickBot="1" x14ac:dyDescent="0.35"/>
    <row r="63" spans="2:36" ht="15" thickBot="1" x14ac:dyDescent="0.35">
      <c r="B63" s="603" t="s">
        <v>434</v>
      </c>
      <c r="C63" s="604"/>
      <c r="D63" s="604"/>
      <c r="E63" s="604"/>
      <c r="F63" s="604"/>
      <c r="G63" s="605"/>
      <c r="J63" s="603" t="s">
        <v>435</v>
      </c>
      <c r="K63" s="604"/>
      <c r="L63" s="604"/>
      <c r="M63" s="605"/>
      <c r="P63" s="603" t="s">
        <v>436</v>
      </c>
      <c r="Q63" s="604"/>
      <c r="R63" s="604"/>
      <c r="S63" s="604"/>
      <c r="T63" s="605"/>
      <c r="X63" s="603" t="s">
        <v>437</v>
      </c>
      <c r="Y63" s="604"/>
      <c r="Z63" s="604"/>
      <c r="AA63" s="604"/>
      <c r="AB63" s="605"/>
      <c r="AF63" s="603" t="s">
        <v>438</v>
      </c>
      <c r="AG63" s="604"/>
      <c r="AH63" s="604"/>
      <c r="AI63" s="604"/>
      <c r="AJ63" s="605"/>
    </row>
    <row r="64" spans="2:36" ht="15" thickBot="1" x14ac:dyDescent="0.35"/>
    <row r="65" spans="2:37" ht="15" thickBot="1" x14ac:dyDescent="0.35">
      <c r="B65" s="429" t="s">
        <v>418</v>
      </c>
      <c r="C65" s="430" t="s">
        <v>214</v>
      </c>
      <c r="D65" s="651">
        <f>+D38</f>
        <v>1.6374394764430495</v>
      </c>
      <c r="E65" s="652"/>
      <c r="F65" s="649" t="s">
        <v>419</v>
      </c>
      <c r="G65" s="650"/>
      <c r="J65" s="429" t="s">
        <v>439</v>
      </c>
      <c r="K65" s="430" t="s">
        <v>214</v>
      </c>
      <c r="L65" s="597">
        <f>D65/F61</f>
        <v>6.2338120148807692E-2</v>
      </c>
      <c r="M65" s="598"/>
      <c r="N65" t="s">
        <v>440</v>
      </c>
      <c r="P65" s="591" t="s">
        <v>441</v>
      </c>
      <c r="Q65" s="647"/>
      <c r="R65" s="430" t="s">
        <v>214</v>
      </c>
      <c r="S65" s="591">
        <f>+(F61/V48)+(D65/(C49*C49*C49/6))+(D66/(G46*G46*G46/6))</f>
        <v>27.968296058092513</v>
      </c>
      <c r="T65" s="592"/>
      <c r="U65" s="649" t="s">
        <v>442</v>
      </c>
      <c r="V65" s="650"/>
      <c r="W65" s="650"/>
      <c r="X65" s="591" t="s">
        <v>443</v>
      </c>
      <c r="Y65" s="647"/>
      <c r="Z65" s="430" t="s">
        <v>214</v>
      </c>
      <c r="AA65" s="591">
        <f>+(F61/V48)-(D65/(C49*C49*C49/6))-(D66/(G46*G46*G46/6))</f>
        <v>-4.61979351480392</v>
      </c>
      <c r="AB65" s="592"/>
      <c r="AC65" s="649" t="s">
        <v>442</v>
      </c>
      <c r="AD65" s="650"/>
      <c r="AE65" s="650"/>
      <c r="AF65" s="591" t="s">
        <v>444</v>
      </c>
      <c r="AG65" s="647"/>
      <c r="AH65" s="430" t="s">
        <v>214</v>
      </c>
      <c r="AI65" s="651">
        <f>S65*E28</f>
        <v>39.155614481329515</v>
      </c>
      <c r="AJ65" s="652"/>
      <c r="AK65" t="s">
        <v>442</v>
      </c>
    </row>
    <row r="66" spans="2:37" ht="15" thickBot="1" x14ac:dyDescent="0.35">
      <c r="B66" s="429" t="s">
        <v>420</v>
      </c>
      <c r="C66" s="430" t="s">
        <v>214</v>
      </c>
      <c r="D66" s="651">
        <f>+D39</f>
        <v>7.5279607159340731</v>
      </c>
      <c r="E66" s="652"/>
      <c r="F66" s="649" t="s">
        <v>419</v>
      </c>
      <c r="G66" s="650"/>
      <c r="J66" s="429" t="s">
        <v>445</v>
      </c>
      <c r="K66" s="430" t="s">
        <v>214</v>
      </c>
      <c r="L66" s="597">
        <f>D66/F61</f>
        <v>0.2865931390666116</v>
      </c>
      <c r="M66" s="598"/>
      <c r="N66" t="s">
        <v>440</v>
      </c>
      <c r="X66" s="101"/>
      <c r="Y66" s="101"/>
      <c r="Z66" s="101"/>
      <c r="AA66" s="101"/>
    </row>
    <row r="67" spans="2:37" x14ac:dyDescent="0.3">
      <c r="X67" s="101"/>
      <c r="Y67" s="101"/>
      <c r="Z67" s="101"/>
      <c r="AA67" s="101"/>
    </row>
    <row r="68" spans="2:37" ht="15" thickBot="1" x14ac:dyDescent="0.35"/>
    <row r="69" spans="2:37" ht="15" thickBot="1" x14ac:dyDescent="0.35">
      <c r="B69" s="603" t="s">
        <v>446</v>
      </c>
      <c r="C69" s="604"/>
      <c r="D69" s="604"/>
      <c r="E69" s="604"/>
      <c r="F69" s="604"/>
      <c r="G69" s="604"/>
      <c r="H69" s="604"/>
      <c r="I69" s="604"/>
      <c r="J69" s="605"/>
      <c r="Q69" s="603" t="s">
        <v>447</v>
      </c>
      <c r="R69" s="604"/>
      <c r="S69" s="604"/>
      <c r="T69" s="604"/>
      <c r="U69" s="604"/>
      <c r="V69" s="604"/>
      <c r="W69" s="604"/>
      <c r="X69" s="604"/>
      <c r="Y69" s="605"/>
    </row>
    <row r="70" spans="2:37" ht="15" thickBot="1" x14ac:dyDescent="0.35">
      <c r="Q70" s="435"/>
    </row>
    <row r="71" spans="2:37" x14ac:dyDescent="0.3">
      <c r="I71" s="636"/>
      <c r="Q71" s="638">
        <v>7.4999999999999997E-2</v>
      </c>
      <c r="R71" s="638"/>
      <c r="S71" s="638"/>
      <c r="T71" s="638"/>
      <c r="U71" s="638"/>
      <c r="V71" s="638"/>
      <c r="W71" s="638"/>
      <c r="X71" s="638"/>
      <c r="Y71" s="638"/>
      <c r="Z71" s="638"/>
    </row>
    <row r="72" spans="2:37" x14ac:dyDescent="0.3">
      <c r="I72" s="637"/>
      <c r="Q72" s="639">
        <v>1.9099999999999999E-2</v>
      </c>
      <c r="R72" s="639"/>
      <c r="S72" s="639"/>
      <c r="T72" s="639"/>
      <c r="U72" s="639"/>
      <c r="V72" s="639"/>
      <c r="W72" s="639"/>
      <c r="X72" s="639"/>
      <c r="Y72" s="639"/>
      <c r="Z72" s="639"/>
    </row>
    <row r="73" spans="2:37" ht="15" thickBot="1" x14ac:dyDescent="0.35">
      <c r="E73" s="640">
        <f>+AA65</f>
        <v>-4.61979351480392</v>
      </c>
      <c r="I73" s="637"/>
    </row>
    <row r="74" spans="2:37" ht="15" thickBot="1" x14ac:dyDescent="0.35">
      <c r="E74" s="641"/>
      <c r="I74" s="637"/>
      <c r="Q74" s="644">
        <f>+P52-Q71-Q72/2</f>
        <v>0.41544999999999999</v>
      </c>
      <c r="R74" s="645"/>
      <c r="S74" s="645"/>
      <c r="T74" s="645"/>
      <c r="U74" s="645"/>
      <c r="V74" s="646"/>
      <c r="W74" s="436"/>
      <c r="X74" s="436"/>
      <c r="Y74" s="436"/>
      <c r="Z74" s="436"/>
    </row>
    <row r="75" spans="2:37" ht="15" thickBot="1" x14ac:dyDescent="0.35">
      <c r="E75" s="642"/>
      <c r="F75" s="591"/>
      <c r="G75" s="647"/>
      <c r="H75" s="647"/>
      <c r="I75" s="647"/>
      <c r="J75" s="647"/>
      <c r="K75" s="647"/>
      <c r="L75" s="592"/>
      <c r="M75" s="648">
        <f>+S65</f>
        <v>27.968296058092513</v>
      </c>
    </row>
    <row r="76" spans="2:37" x14ac:dyDescent="0.3">
      <c r="E76" s="643"/>
      <c r="M76" s="641"/>
    </row>
    <row r="77" spans="2:37" x14ac:dyDescent="0.3">
      <c r="M77" s="641"/>
    </row>
    <row r="78" spans="2:37" x14ac:dyDescent="0.3">
      <c r="M78" s="643"/>
    </row>
    <row r="79" spans="2:37" x14ac:dyDescent="0.3">
      <c r="F79" s="627">
        <f>+G46</f>
        <v>1.5</v>
      </c>
      <c r="G79" s="628"/>
      <c r="H79" s="628"/>
      <c r="I79" s="628"/>
      <c r="J79" s="628"/>
      <c r="K79" s="628"/>
      <c r="L79" s="629"/>
      <c r="AH79" s="65" t="s">
        <v>448</v>
      </c>
    </row>
    <row r="80" spans="2:37" ht="15" thickBot="1" x14ac:dyDescent="0.35"/>
    <row r="81" spans="2:30" ht="15" thickBot="1" x14ac:dyDescent="0.35">
      <c r="B81" s="603" t="s">
        <v>449</v>
      </c>
      <c r="C81" s="604"/>
      <c r="D81" s="604"/>
      <c r="E81" s="604"/>
      <c r="F81" s="604"/>
      <c r="G81" s="604"/>
      <c r="H81" s="604"/>
      <c r="I81" s="604"/>
      <c r="J81" s="605"/>
      <c r="Q81" s="603" t="s">
        <v>450</v>
      </c>
      <c r="R81" s="604"/>
      <c r="S81" s="604"/>
      <c r="T81" s="604"/>
      <c r="U81" s="604"/>
      <c r="V81" s="604"/>
      <c r="W81" s="604"/>
      <c r="X81" s="604"/>
      <c r="Y81" s="605"/>
    </row>
    <row r="82" spans="2:30" ht="15" thickBot="1" x14ac:dyDescent="0.35"/>
    <row r="83" spans="2:30" ht="15" thickBot="1" x14ac:dyDescent="0.35">
      <c r="B83" s="630">
        <f>+AI65*G46*((G46-T5)/2 -Q74)</f>
        <v>7.9025818926943332</v>
      </c>
      <c r="C83" s="631"/>
      <c r="D83" s="631"/>
      <c r="E83" s="631"/>
      <c r="F83" s="631"/>
      <c r="G83" s="632"/>
      <c r="Q83" s="630">
        <f>+AI65*(C49*G46-(T5+Q74)*(Q8+Q74))</f>
        <v>62.063265981896329</v>
      </c>
      <c r="R83" s="631"/>
      <c r="S83" s="631"/>
      <c r="T83" s="631"/>
      <c r="U83" s="631"/>
      <c r="V83" s="632"/>
      <c r="Y83" s="633">
        <f>(2*T5+2*Q8+4*Q74)*100</f>
        <v>326.18</v>
      </c>
      <c r="Z83" s="634"/>
      <c r="AA83" s="634"/>
      <c r="AB83" s="634"/>
      <c r="AC83" s="634"/>
      <c r="AD83" s="635"/>
    </row>
    <row r="84" spans="2:30" ht="15" thickBot="1" x14ac:dyDescent="0.35">
      <c r="K84" s="612" t="str">
        <f>+IF(B85&gt;B83,"OK","REDISEÑE")</f>
        <v>OK</v>
      </c>
      <c r="L84" s="613"/>
      <c r="M84" s="614"/>
    </row>
    <row r="85" spans="2:30" ht="15" thickBot="1" x14ac:dyDescent="0.35">
      <c r="B85" s="615">
        <f>0.75*0.53*SQRT(E32)*Q74*G46*10</f>
        <v>35.896888222631247</v>
      </c>
      <c r="C85" s="616"/>
      <c r="D85" s="616"/>
      <c r="E85" s="616"/>
      <c r="F85" s="616"/>
      <c r="G85" s="617"/>
      <c r="H85" s="437"/>
      <c r="I85" s="437"/>
      <c r="J85" s="437"/>
      <c r="K85" s="437"/>
      <c r="Q85" s="618">
        <f>0.75*(2+4)*0.53*SQRT(E32)*Q74*Y83*1/10</f>
        <v>468.3538800183145</v>
      </c>
      <c r="R85" s="619"/>
      <c r="S85" s="619"/>
      <c r="T85" s="619"/>
      <c r="U85" s="619"/>
      <c r="V85" s="620"/>
      <c r="W85" s="437"/>
      <c r="X85" s="437"/>
      <c r="Y85" s="437"/>
      <c r="Z85" s="437"/>
    </row>
    <row r="86" spans="2:30" ht="15" thickBot="1" x14ac:dyDescent="0.35">
      <c r="Z86" s="612" t="str">
        <f>+IF(MIN(Q85:V89)&lt;Q83,"NO CHEQUEA","OK")</f>
        <v>OK</v>
      </c>
      <c r="AA86" s="613"/>
      <c r="AB86" s="613"/>
      <c r="AC86" s="613"/>
      <c r="AD86" s="614"/>
    </row>
    <row r="87" spans="2:30" ht="15" thickBot="1" x14ac:dyDescent="0.35">
      <c r="Q87" s="621">
        <f>0.75*0.27*(40/Y83+2)*SQRT(E32)*Q74*Y83*1/10</f>
        <v>84.408349346561792</v>
      </c>
      <c r="R87" s="622"/>
      <c r="S87" s="622"/>
      <c r="T87" s="622"/>
      <c r="U87" s="622"/>
      <c r="V87" s="623"/>
    </row>
    <row r="88" spans="2:30" ht="15" thickBot="1" x14ac:dyDescent="0.35"/>
    <row r="89" spans="2:30" ht="15" thickBot="1" x14ac:dyDescent="0.35">
      <c r="Q89" s="624">
        <f>0.75*SQRT(E32)*Q74*Y83*1/10</f>
        <v>147.28109434538189</v>
      </c>
      <c r="R89" s="625"/>
      <c r="S89" s="625"/>
      <c r="T89" s="625"/>
      <c r="U89" s="625"/>
      <c r="V89" s="626"/>
    </row>
    <row r="91" spans="2:30" ht="15" thickBot="1" x14ac:dyDescent="0.35"/>
    <row r="92" spans="2:30" ht="15" thickBot="1" x14ac:dyDescent="0.35">
      <c r="B92" s="603" t="s">
        <v>451</v>
      </c>
      <c r="C92" s="604"/>
      <c r="D92" s="604"/>
      <c r="E92" s="604"/>
      <c r="F92" s="604"/>
      <c r="G92" s="604"/>
      <c r="H92" s="604"/>
      <c r="I92" s="604"/>
      <c r="J92" s="605"/>
    </row>
    <row r="94" spans="2:30" x14ac:dyDescent="0.3">
      <c r="B94" t="s">
        <v>452</v>
      </c>
    </row>
    <row r="95" spans="2:30" ht="15" thickBot="1" x14ac:dyDescent="0.35"/>
    <row r="96" spans="2:30" ht="15" thickBot="1" x14ac:dyDescent="0.35">
      <c r="B96" s="606">
        <f>+(AI65*1*(POWER((G46-T5)/2,2))/2)*100000</f>
        <v>592228.66903010895</v>
      </c>
      <c r="C96" s="607"/>
      <c r="D96" s="607"/>
      <c r="E96" s="607"/>
      <c r="F96" s="607"/>
      <c r="G96" s="608"/>
    </row>
    <row r="98" spans="2:23" ht="15" thickBot="1" x14ac:dyDescent="0.35"/>
    <row r="99" spans="2:23" ht="15" thickBot="1" x14ac:dyDescent="0.35">
      <c r="B99" s="609" t="s">
        <v>453</v>
      </c>
      <c r="C99" s="610"/>
      <c r="D99" s="610"/>
      <c r="E99" s="610"/>
      <c r="F99" s="610"/>
      <c r="G99" s="610"/>
      <c r="H99" s="610"/>
      <c r="I99" s="610"/>
      <c r="J99" s="611"/>
      <c r="K99" s="438"/>
      <c r="L99" s="438"/>
      <c r="M99" s="438"/>
      <c r="N99" s="609" t="s">
        <v>454</v>
      </c>
      <c r="O99" s="610"/>
      <c r="P99" s="610"/>
      <c r="Q99" s="610"/>
      <c r="R99" s="610"/>
      <c r="S99" s="610"/>
      <c r="T99" s="610"/>
      <c r="U99" s="610"/>
      <c r="V99" s="610"/>
      <c r="W99" s="611"/>
    </row>
    <row r="101" spans="2:23" ht="15" thickBot="1" x14ac:dyDescent="0.35">
      <c r="B101" s="49" t="s">
        <v>455</v>
      </c>
      <c r="L101" s="439"/>
      <c r="M101" s="440"/>
      <c r="N101" s="49" t="s">
        <v>455</v>
      </c>
    </row>
    <row r="102" spans="2:23" ht="15" thickBot="1" x14ac:dyDescent="0.35">
      <c r="B102" s="597">
        <f>+B96/100000</f>
        <v>5.9222866903010898</v>
      </c>
      <c r="C102" s="598"/>
      <c r="K102" s="439"/>
      <c r="M102" s="440"/>
      <c r="N102" s="597">
        <f>+B102</f>
        <v>5.9222866903010898</v>
      </c>
      <c r="O102" s="598"/>
    </row>
    <row r="103" spans="2:23" x14ac:dyDescent="0.3">
      <c r="L103" s="439"/>
      <c r="M103" s="440"/>
    </row>
    <row r="104" spans="2:23" ht="15" thickBot="1" x14ac:dyDescent="0.35">
      <c r="B104" s="49" t="s">
        <v>456</v>
      </c>
      <c r="K104" s="439"/>
      <c r="M104" s="440"/>
      <c r="N104" s="49" t="s">
        <v>456</v>
      </c>
    </row>
    <row r="105" spans="2:23" ht="15" thickBot="1" x14ac:dyDescent="0.35">
      <c r="B105" s="591">
        <f>0.002*100*100*Q74</f>
        <v>8.3089999999999993</v>
      </c>
      <c r="C105" s="592"/>
      <c r="D105" t="s">
        <v>457</v>
      </c>
      <c r="L105" s="439"/>
      <c r="M105" s="440"/>
      <c r="N105" s="591">
        <f>+B105</f>
        <v>8.3089999999999993</v>
      </c>
      <c r="O105" s="592"/>
      <c r="P105" t="s">
        <v>457</v>
      </c>
    </row>
    <row r="106" spans="2:23" x14ac:dyDescent="0.3">
      <c r="K106" s="439"/>
      <c r="M106" s="440"/>
    </row>
    <row r="107" spans="2:23" ht="15" thickBot="1" x14ac:dyDescent="0.35">
      <c r="B107" s="49" t="s">
        <v>458</v>
      </c>
      <c r="L107" s="439"/>
      <c r="M107" s="440"/>
      <c r="N107" s="49" t="s">
        <v>458</v>
      </c>
    </row>
    <row r="108" spans="2:23" ht="15" thickBot="1" x14ac:dyDescent="0.35">
      <c r="B108" s="143" t="s">
        <v>459</v>
      </c>
      <c r="C108" s="599">
        <v>5</v>
      </c>
      <c r="D108" s="600"/>
      <c r="E108" s="143" t="s">
        <v>460</v>
      </c>
      <c r="F108" s="601">
        <v>20</v>
      </c>
      <c r="G108" s="602"/>
      <c r="H108" t="s">
        <v>120</v>
      </c>
      <c r="K108" s="439"/>
      <c r="M108" s="440"/>
      <c r="N108" s="143" t="s">
        <v>459</v>
      </c>
      <c r="O108" s="599">
        <v>5</v>
      </c>
      <c r="P108" s="600"/>
      <c r="Q108" s="143" t="s">
        <v>460</v>
      </c>
      <c r="R108" s="601">
        <v>20</v>
      </c>
      <c r="S108" s="602"/>
      <c r="T108" t="s">
        <v>120</v>
      </c>
    </row>
    <row r="109" spans="2:23" ht="15" thickBot="1" x14ac:dyDescent="0.35">
      <c r="D109" s="593">
        <f>(PI()/4)*(((C108/8)*2.54)^2)*(100/F108)</f>
        <v>9.8966304511230021</v>
      </c>
      <c r="E109" s="594"/>
      <c r="F109" s="595"/>
      <c r="L109" s="439"/>
      <c r="M109" s="440"/>
      <c r="P109" s="593">
        <f>(PI()/4)*(((O108/8)*2.54)^2)*(100/R108)</f>
        <v>9.8966304511230021</v>
      </c>
      <c r="Q109" s="594"/>
      <c r="R109" s="595"/>
    </row>
    <row r="110" spans="2:23" x14ac:dyDescent="0.3">
      <c r="C110" s="596" t="str">
        <f>IF(D109&gt;B105,"Cumple","No Cumple")</f>
        <v>Cumple</v>
      </c>
      <c r="D110" s="596"/>
      <c r="E110" s="596"/>
      <c r="F110" s="596"/>
      <c r="G110" s="596"/>
      <c r="K110" s="439"/>
      <c r="M110" s="440"/>
      <c r="O110" s="596" t="str">
        <f>IF(P109&gt;N105,"Cumple","No Cumple")</f>
        <v>Cumple</v>
      </c>
      <c r="P110" s="596"/>
      <c r="Q110" s="596"/>
      <c r="R110" s="596"/>
      <c r="S110" s="596"/>
    </row>
    <row r="111" spans="2:23" x14ac:dyDescent="0.3">
      <c r="L111" s="439"/>
      <c r="M111" s="440"/>
    </row>
    <row r="112" spans="2:23" ht="15" thickBot="1" x14ac:dyDescent="0.35">
      <c r="B112" s="49" t="s">
        <v>461</v>
      </c>
      <c r="K112" s="439"/>
      <c r="M112" s="440"/>
      <c r="N112" s="49" t="s">
        <v>461</v>
      </c>
    </row>
    <row r="113" spans="2:22" ht="15" thickBot="1" x14ac:dyDescent="0.35">
      <c r="B113" s="597">
        <f>0.9*D109*E33*(100*Q74-(D109*E33)/(100*1.7*E32))/(1000*100)</f>
        <v>10.203155662313753</v>
      </c>
      <c r="C113" s="598"/>
      <c r="D113" s="143" t="str">
        <f>IF(B113&gt;E113,"&gt;","&lt;")</f>
        <v>&gt;</v>
      </c>
      <c r="E113" s="597">
        <f>B102</f>
        <v>5.9222866903010898</v>
      </c>
      <c r="F113" s="598"/>
      <c r="L113" s="439"/>
      <c r="M113" s="440"/>
      <c r="N113" s="597">
        <f>0.9*P109*E33*(100*(Q74-0.01)-(P109*E33)/(100*1.7*E32))/(1000*100)</f>
        <v>9.9528698782048508</v>
      </c>
      <c r="O113" s="598"/>
      <c r="P113" s="143" t="str">
        <f>IF(N113&gt;Q113,"&gt;","&lt;")</f>
        <v>&gt;</v>
      </c>
      <c r="Q113" s="597">
        <f>N102</f>
        <v>5.9222866903010898</v>
      </c>
      <c r="R113" s="598"/>
    </row>
    <row r="114" spans="2:22" x14ac:dyDescent="0.3">
      <c r="B114" s="589" t="str">
        <f>IF(D113="&gt;","El Acero Elegido es Suficiente","NO CUMPLE")</f>
        <v>El Acero Elegido es Suficiente</v>
      </c>
      <c r="C114" s="589"/>
      <c r="D114" s="589"/>
      <c r="E114" s="589"/>
      <c r="F114" s="589"/>
      <c r="K114" s="439"/>
      <c r="M114" s="440"/>
      <c r="N114" s="589" t="str">
        <f>IF(P113="&gt;","El Acero Elegido es Suficiente","NO CUMPLE")</f>
        <v>El Acero Elegido es Suficiente</v>
      </c>
      <c r="O114" s="589"/>
      <c r="P114" s="589"/>
      <c r="Q114" s="589"/>
      <c r="R114" s="589"/>
    </row>
    <row r="115" spans="2:22" x14ac:dyDescent="0.3">
      <c r="B115" s="589"/>
      <c r="C115" s="589"/>
      <c r="D115" s="589"/>
      <c r="E115" s="589"/>
      <c r="F115" s="589"/>
      <c r="L115" s="439"/>
      <c r="M115" s="440"/>
      <c r="N115" s="589"/>
      <c r="O115" s="589"/>
      <c r="P115" s="589"/>
      <c r="Q115" s="589"/>
      <c r="R115" s="589"/>
    </row>
    <row r="116" spans="2:22" x14ac:dyDescent="0.3">
      <c r="B116" s="441"/>
      <c r="C116" s="441"/>
      <c r="D116" s="441"/>
      <c r="E116" s="441"/>
      <c r="F116" s="441"/>
      <c r="K116" s="439"/>
      <c r="L116" s="145"/>
      <c r="M116" s="440"/>
      <c r="N116" s="441"/>
      <c r="O116" s="441"/>
      <c r="P116" s="441"/>
      <c r="Q116" s="441"/>
      <c r="R116" s="441"/>
    </row>
    <row r="117" spans="2:22" x14ac:dyDescent="0.3">
      <c r="B117" s="590" t="s">
        <v>50</v>
      </c>
      <c r="C117" s="590"/>
      <c r="D117" s="590"/>
      <c r="E117" s="590"/>
      <c r="F117" s="590"/>
      <c r="G117" s="590"/>
      <c r="H117" s="590"/>
      <c r="I117" s="590"/>
      <c r="J117" s="590"/>
      <c r="L117" s="439"/>
      <c r="M117" s="440"/>
      <c r="N117" s="590" t="s">
        <v>50</v>
      </c>
      <c r="O117" s="590"/>
      <c r="P117" s="590"/>
      <c r="Q117" s="590"/>
      <c r="R117" s="590"/>
      <c r="S117" s="590"/>
      <c r="T117" s="590"/>
      <c r="U117" s="590"/>
      <c r="V117" s="590"/>
    </row>
    <row r="118" spans="2:22" x14ac:dyDescent="0.3">
      <c r="K118" s="439"/>
      <c r="M118" s="440"/>
    </row>
    <row r="119" spans="2:22" ht="15" thickBot="1" x14ac:dyDescent="0.35">
      <c r="B119" s="49" t="s">
        <v>462</v>
      </c>
      <c r="L119" s="439"/>
      <c r="M119" s="440"/>
      <c r="N119" s="49" t="s">
        <v>462</v>
      </c>
    </row>
    <row r="120" spans="2:22" ht="15" thickBot="1" x14ac:dyDescent="0.35">
      <c r="B120" s="143" t="str">
        <f>B108</f>
        <v>#</v>
      </c>
      <c r="C120" s="591">
        <f t="shared" ref="C120:H120" si="0">C108</f>
        <v>5</v>
      </c>
      <c r="D120" s="592"/>
      <c r="E120" s="143" t="str">
        <f t="shared" si="0"/>
        <v>@</v>
      </c>
      <c r="F120" s="591">
        <f t="shared" si="0"/>
        <v>20</v>
      </c>
      <c r="G120" s="592"/>
      <c r="H120" t="str">
        <f t="shared" si="0"/>
        <v>cm</v>
      </c>
      <c r="K120" s="439"/>
      <c r="M120" s="440"/>
      <c r="N120" s="143" t="str">
        <f>N108</f>
        <v>#</v>
      </c>
      <c r="O120" s="591">
        <f t="shared" ref="O120" si="1">O108</f>
        <v>5</v>
      </c>
      <c r="P120" s="592"/>
      <c r="Q120" s="143" t="str">
        <f t="shared" ref="Q120:R120" si="2">Q108</f>
        <v>@</v>
      </c>
      <c r="R120" s="591">
        <f t="shared" si="2"/>
        <v>20</v>
      </c>
      <c r="S120" s="592"/>
      <c r="T120" t="str">
        <f t="shared" ref="T120" si="3">T108</f>
        <v>cm</v>
      </c>
    </row>
    <row r="121" spans="2:22" x14ac:dyDescent="0.3">
      <c r="L121" s="439"/>
      <c r="M121" s="440"/>
      <c r="N121" s="440"/>
      <c r="O121" s="440"/>
      <c r="P121" s="440"/>
      <c r="Q121" s="440"/>
      <c r="R121" s="440"/>
      <c r="S121" s="440"/>
      <c r="T121" s="440"/>
      <c r="U121" s="440"/>
    </row>
    <row r="122" spans="2:22" x14ac:dyDescent="0.3">
      <c r="L122" s="442"/>
    </row>
  </sheetData>
  <mergeCells count="140">
    <mergeCell ref="S12:X12"/>
    <mergeCell ref="H13:J13"/>
    <mergeCell ref="K13:M13"/>
    <mergeCell ref="T13:W13"/>
    <mergeCell ref="E2:AE2"/>
    <mergeCell ref="I4:K4"/>
    <mergeCell ref="I5:I10"/>
    <mergeCell ref="T5:W5"/>
    <mergeCell ref="T7:W10"/>
    <mergeCell ref="F8:G8"/>
    <mergeCell ref="Q8:Q9"/>
    <mergeCell ref="H14:J14"/>
    <mergeCell ref="K14:M14"/>
    <mergeCell ref="F16:M23"/>
    <mergeCell ref="B27:G27"/>
    <mergeCell ref="B28:C28"/>
    <mergeCell ref="E28:G28"/>
    <mergeCell ref="H28:J28"/>
    <mergeCell ref="C9:D9"/>
    <mergeCell ref="F11:L11"/>
    <mergeCell ref="B31:C31"/>
    <mergeCell ref="E31:G31"/>
    <mergeCell ref="H31:J31"/>
    <mergeCell ref="B32:C32"/>
    <mergeCell ref="E32:G32"/>
    <mergeCell ref="H32:J32"/>
    <mergeCell ref="B29:C29"/>
    <mergeCell ref="E29:G29"/>
    <mergeCell ref="H29:J29"/>
    <mergeCell ref="B30:C30"/>
    <mergeCell ref="E30:G30"/>
    <mergeCell ref="H30:J30"/>
    <mergeCell ref="D38:E38"/>
    <mergeCell ref="F38:G38"/>
    <mergeCell ref="D39:E39"/>
    <mergeCell ref="F39:G39"/>
    <mergeCell ref="B41:L41"/>
    <mergeCell ref="B43:C43"/>
    <mergeCell ref="E43:F43"/>
    <mergeCell ref="J43:M43"/>
    <mergeCell ref="B33:C33"/>
    <mergeCell ref="E33:G33"/>
    <mergeCell ref="H33:J33"/>
    <mergeCell ref="B35:G35"/>
    <mergeCell ref="D37:E37"/>
    <mergeCell ref="F37:G37"/>
    <mergeCell ref="C49:C54"/>
    <mergeCell ref="O50:AA50"/>
    <mergeCell ref="O51:T51"/>
    <mergeCell ref="P52:S52"/>
    <mergeCell ref="O55:R55"/>
    <mergeCell ref="T55:W55"/>
    <mergeCell ref="O43:P43"/>
    <mergeCell ref="S43:T43"/>
    <mergeCell ref="S44:AA46"/>
    <mergeCell ref="G46:L46"/>
    <mergeCell ref="F48:M55"/>
    <mergeCell ref="Q48:T48"/>
    <mergeCell ref="V48:W48"/>
    <mergeCell ref="B59:D59"/>
    <mergeCell ref="F59:G59"/>
    <mergeCell ref="H59:I59"/>
    <mergeCell ref="F61:H61"/>
    <mergeCell ref="I61:J61"/>
    <mergeCell ref="B63:G63"/>
    <mergeCell ref="J63:M63"/>
    <mergeCell ref="P56:Q56"/>
    <mergeCell ref="U56:V56"/>
    <mergeCell ref="B57:D57"/>
    <mergeCell ref="F57:G57"/>
    <mergeCell ref="H57:I57"/>
    <mergeCell ref="B58:D58"/>
    <mergeCell ref="F58:G58"/>
    <mergeCell ref="H58:I58"/>
    <mergeCell ref="AA65:AB65"/>
    <mergeCell ref="AC65:AE65"/>
    <mergeCell ref="AF65:AG65"/>
    <mergeCell ref="AI65:AJ65"/>
    <mergeCell ref="D66:E66"/>
    <mergeCell ref="F66:G66"/>
    <mergeCell ref="L66:M66"/>
    <mergeCell ref="P63:T63"/>
    <mergeCell ref="X63:AB63"/>
    <mergeCell ref="AF63:AJ63"/>
    <mergeCell ref="D65:E65"/>
    <mergeCell ref="F65:G65"/>
    <mergeCell ref="L65:M65"/>
    <mergeCell ref="P65:Q65"/>
    <mergeCell ref="S65:T65"/>
    <mergeCell ref="U65:W65"/>
    <mergeCell ref="X65:Y65"/>
    <mergeCell ref="B69:J69"/>
    <mergeCell ref="Q69:Y69"/>
    <mergeCell ref="I71:I74"/>
    <mergeCell ref="Q71:Z71"/>
    <mergeCell ref="Q72:Z72"/>
    <mergeCell ref="E73:E76"/>
    <mergeCell ref="Q74:V74"/>
    <mergeCell ref="F75:L75"/>
    <mergeCell ref="M75:M78"/>
    <mergeCell ref="K84:M84"/>
    <mergeCell ref="B85:G85"/>
    <mergeCell ref="Q85:V85"/>
    <mergeCell ref="Z86:AD86"/>
    <mergeCell ref="Q87:V87"/>
    <mergeCell ref="Q89:V89"/>
    <mergeCell ref="F79:L79"/>
    <mergeCell ref="B81:J81"/>
    <mergeCell ref="Q81:Y81"/>
    <mergeCell ref="B83:G83"/>
    <mergeCell ref="Q83:V83"/>
    <mergeCell ref="Y83:AD83"/>
    <mergeCell ref="B105:C105"/>
    <mergeCell ref="N105:O105"/>
    <mergeCell ref="C108:D108"/>
    <mergeCell ref="F108:G108"/>
    <mergeCell ref="O108:P108"/>
    <mergeCell ref="R108:S108"/>
    <mergeCell ref="B92:J92"/>
    <mergeCell ref="B96:G96"/>
    <mergeCell ref="B99:J99"/>
    <mergeCell ref="N99:W99"/>
    <mergeCell ref="B102:C102"/>
    <mergeCell ref="N102:O102"/>
    <mergeCell ref="B114:F115"/>
    <mergeCell ref="N114:R115"/>
    <mergeCell ref="B117:J117"/>
    <mergeCell ref="N117:V117"/>
    <mergeCell ref="C120:D120"/>
    <mergeCell ref="F120:G120"/>
    <mergeCell ref="O120:P120"/>
    <mergeCell ref="R120:S120"/>
    <mergeCell ref="D109:F109"/>
    <mergeCell ref="P109:R109"/>
    <mergeCell ref="C110:G110"/>
    <mergeCell ref="O110:S110"/>
    <mergeCell ref="B113:C113"/>
    <mergeCell ref="E113:F113"/>
    <mergeCell ref="N113:O113"/>
    <mergeCell ref="Q113:R11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188"/>
  <sheetViews>
    <sheetView topLeftCell="A191" workbookViewId="0">
      <selection activeCell="D219" sqref="D219"/>
    </sheetView>
  </sheetViews>
  <sheetFormatPr baseColWidth="10" defaultRowHeight="14.4" x14ac:dyDescent="0.3"/>
  <cols>
    <col min="2" max="8" width="3.33203125" customWidth="1"/>
    <col min="9" max="9" width="4.109375" customWidth="1"/>
    <col min="10" max="10" width="4.44140625" customWidth="1"/>
    <col min="11" max="13" width="3.33203125" customWidth="1"/>
    <col min="14" max="14" width="6" customWidth="1"/>
    <col min="15" max="15" width="3.33203125" customWidth="1"/>
    <col min="16" max="16" width="5.33203125" customWidth="1"/>
    <col min="17" max="17" width="4.6640625" customWidth="1"/>
    <col min="18" max="22" width="3.33203125" customWidth="1"/>
    <col min="23" max="23" width="6.109375" customWidth="1"/>
    <col min="24" max="40" width="3.33203125" customWidth="1"/>
  </cols>
  <sheetData>
    <row r="1" spans="2:24" ht="31.8" thickBot="1" x14ac:dyDescent="0.65">
      <c r="E1" s="694" t="s">
        <v>464</v>
      </c>
      <c r="F1" s="695"/>
      <c r="G1" s="695"/>
      <c r="H1" s="695"/>
      <c r="I1" s="695"/>
      <c r="J1" s="695"/>
      <c r="K1" s="695"/>
      <c r="L1" s="695"/>
      <c r="M1" s="695"/>
      <c r="N1" s="695"/>
      <c r="O1" s="695"/>
      <c r="P1" s="695"/>
      <c r="Q1" s="695"/>
      <c r="R1" s="695"/>
      <c r="S1" s="695"/>
      <c r="T1" s="695"/>
      <c r="U1" s="696"/>
    </row>
    <row r="2" spans="2:24" ht="15" thickBot="1" x14ac:dyDescent="0.35"/>
    <row r="3" spans="2:24" ht="15" thickBot="1" x14ac:dyDescent="0.35">
      <c r="E3" s="697">
        <f>+'COLUMNA 2'!D56/1000</f>
        <v>20.483666505679533</v>
      </c>
      <c r="F3" s="733"/>
      <c r="G3" s="699"/>
      <c r="H3" s="49" t="s">
        <v>248</v>
      </c>
      <c r="T3" s="220"/>
      <c r="U3" s="423"/>
      <c r="V3" s="423"/>
      <c r="W3" s="423"/>
      <c r="X3" s="215"/>
    </row>
    <row r="4" spans="2:24" x14ac:dyDescent="0.3">
      <c r="F4" s="719"/>
      <c r="G4" s="215"/>
      <c r="H4" s="101"/>
      <c r="I4" s="101"/>
      <c r="J4" s="101"/>
      <c r="K4" s="101"/>
      <c r="L4" s="101"/>
      <c r="M4" s="101"/>
      <c r="N4" s="101"/>
      <c r="T4" s="701">
        <v>0.75</v>
      </c>
      <c r="U4" s="702"/>
      <c r="V4" s="702"/>
      <c r="W4" s="703"/>
      <c r="X4" s="215"/>
    </row>
    <row r="5" spans="2:24" ht="15" thickBot="1" x14ac:dyDescent="0.35">
      <c r="B5" s="424"/>
      <c r="C5" s="424"/>
      <c r="D5" s="424"/>
      <c r="E5" s="443"/>
      <c r="F5" s="720"/>
      <c r="G5" s="444"/>
      <c r="H5" s="424"/>
      <c r="I5" s="424"/>
      <c r="J5" s="424"/>
      <c r="K5" s="424"/>
      <c r="L5" s="424"/>
      <c r="M5" s="424"/>
      <c r="N5" s="424"/>
      <c r="T5" s="425"/>
      <c r="U5" s="425"/>
      <c r="V5" s="425"/>
      <c r="W5" s="425"/>
    </row>
    <row r="6" spans="2:24" ht="15" thickTop="1" x14ac:dyDescent="0.3">
      <c r="D6" s="426"/>
      <c r="F6" s="720"/>
      <c r="G6" s="215"/>
      <c r="Q6" s="213"/>
      <c r="R6" s="214"/>
      <c r="T6" s="671" t="s">
        <v>401</v>
      </c>
      <c r="U6" s="672"/>
      <c r="V6" s="672"/>
      <c r="W6" s="673"/>
    </row>
    <row r="7" spans="2:24" x14ac:dyDescent="0.3">
      <c r="D7" s="215"/>
      <c r="F7" s="720"/>
      <c r="G7" s="215"/>
      <c r="H7" s="659" t="s">
        <v>402</v>
      </c>
      <c r="I7" s="659"/>
      <c r="J7" s="659"/>
      <c r="K7" s="659"/>
      <c r="Q7" s="704">
        <v>0.75</v>
      </c>
      <c r="R7" s="215"/>
      <c r="T7" s="674"/>
      <c r="U7" s="675"/>
      <c r="V7" s="675"/>
      <c r="W7" s="676"/>
    </row>
    <row r="8" spans="2:24" x14ac:dyDescent="0.3">
      <c r="C8" s="692">
        <v>2</v>
      </c>
      <c r="D8" s="692"/>
      <c r="F8" s="720"/>
      <c r="G8" s="215"/>
      <c r="Q8" s="704"/>
      <c r="R8" s="215"/>
      <c r="T8" s="674"/>
      <c r="U8" s="675"/>
      <c r="V8" s="675"/>
      <c r="W8" s="676"/>
    </row>
    <row r="9" spans="2:24" ht="15" thickBot="1" x14ac:dyDescent="0.35">
      <c r="D9" s="215"/>
      <c r="F9" s="720"/>
      <c r="G9" s="215"/>
      <c r="R9" s="220"/>
      <c r="T9" s="677"/>
      <c r="U9" s="678"/>
      <c r="V9" s="678"/>
      <c r="W9" s="679"/>
    </row>
    <row r="10" spans="2:24" x14ac:dyDescent="0.3">
      <c r="D10" s="215"/>
      <c r="F10" s="714"/>
      <c r="G10" s="628"/>
      <c r="H10" s="628"/>
      <c r="I10" s="628"/>
      <c r="J10" s="628"/>
      <c r="K10" s="628"/>
      <c r="L10" s="629"/>
      <c r="M10" s="215"/>
      <c r="Q10" s="213"/>
      <c r="R10" s="213"/>
    </row>
    <row r="11" spans="2:24" ht="15" thickBot="1" x14ac:dyDescent="0.35">
      <c r="C11" s="213"/>
      <c r="D11" s="213"/>
      <c r="F11" s="213"/>
      <c r="G11" s="213"/>
      <c r="H11" s="213"/>
      <c r="I11" s="213"/>
      <c r="J11" s="213"/>
      <c r="K11" s="213"/>
      <c r="L11" s="213"/>
      <c r="S11" s="659" t="s">
        <v>403</v>
      </c>
      <c r="T11" s="659"/>
      <c r="U11" s="659"/>
      <c r="V11" s="659"/>
      <c r="W11" s="659"/>
      <c r="X11" s="659"/>
    </row>
    <row r="12" spans="2:24" ht="15" thickBot="1" x14ac:dyDescent="0.35">
      <c r="E12" t="s">
        <v>465</v>
      </c>
      <c r="H12" s="697">
        <f>+'COLUMNA 2'!D53/1000</f>
        <v>10.539145002307702</v>
      </c>
      <c r="I12" s="733"/>
      <c r="J12" s="699"/>
      <c r="K12" s="649" t="s">
        <v>405</v>
      </c>
      <c r="L12" s="650"/>
      <c r="M12" s="650"/>
      <c r="T12" s="693">
        <v>4</v>
      </c>
      <c r="U12" s="693"/>
      <c r="V12" s="693"/>
      <c r="W12" s="693"/>
    </row>
    <row r="13" spans="2:24" x14ac:dyDescent="0.3">
      <c r="H13" s="190"/>
      <c r="I13" s="190"/>
      <c r="J13" s="190"/>
      <c r="K13" s="103"/>
      <c r="L13" s="104"/>
      <c r="M13" s="104"/>
    </row>
    <row r="14" spans="2:24" ht="15" thickBot="1" x14ac:dyDescent="0.35"/>
    <row r="15" spans="2:24" ht="15" thickBot="1" x14ac:dyDescent="0.35">
      <c r="B15" s="689" t="s">
        <v>408</v>
      </c>
      <c r="C15" s="690"/>
      <c r="D15" s="690"/>
      <c r="E15" s="690"/>
      <c r="F15" s="690"/>
      <c r="G15" s="691"/>
    </row>
    <row r="16" spans="2:24" ht="15" thickBot="1" x14ac:dyDescent="0.35">
      <c r="B16" s="653" t="s">
        <v>409</v>
      </c>
      <c r="C16" s="654"/>
      <c r="D16" s="428" t="s">
        <v>214</v>
      </c>
      <c r="E16" s="680">
        <v>1.5</v>
      </c>
      <c r="F16" s="681"/>
      <c r="G16" s="682"/>
      <c r="H16" s="650"/>
      <c r="I16" s="650"/>
      <c r="J16" s="650"/>
    </row>
    <row r="17" spans="2:27" ht="15" thickBot="1" x14ac:dyDescent="0.35">
      <c r="B17" s="653" t="s">
        <v>410</v>
      </c>
      <c r="C17" s="654"/>
      <c r="D17" s="428" t="s">
        <v>214</v>
      </c>
      <c r="E17" s="680">
        <v>18.5</v>
      </c>
      <c r="F17" s="681"/>
      <c r="G17" s="682"/>
      <c r="H17" s="650" t="s">
        <v>411</v>
      </c>
      <c r="I17" s="650"/>
      <c r="J17" s="650"/>
    </row>
    <row r="18" spans="2:27" ht="15" thickBot="1" x14ac:dyDescent="0.35">
      <c r="B18" s="653" t="s">
        <v>412</v>
      </c>
      <c r="C18" s="654"/>
      <c r="D18" s="428" t="s">
        <v>214</v>
      </c>
      <c r="E18" s="680">
        <v>1.9650000000000001</v>
      </c>
      <c r="F18" s="681"/>
      <c r="G18" s="682"/>
      <c r="H18" s="650" t="s">
        <v>413</v>
      </c>
      <c r="I18" s="650"/>
      <c r="J18" s="650"/>
    </row>
    <row r="19" spans="2:27" ht="15" thickBot="1" x14ac:dyDescent="0.35">
      <c r="B19" s="653" t="s">
        <v>414</v>
      </c>
      <c r="C19" s="654"/>
      <c r="D19" s="428" t="s">
        <v>214</v>
      </c>
      <c r="E19" s="680">
        <v>2.4</v>
      </c>
      <c r="F19" s="681"/>
      <c r="G19" s="682"/>
      <c r="H19" s="650" t="s">
        <v>413</v>
      </c>
      <c r="I19" s="650"/>
      <c r="J19" s="650"/>
    </row>
    <row r="20" spans="2:27" ht="15" thickBot="1" x14ac:dyDescent="0.35">
      <c r="B20" s="653" t="s">
        <v>147</v>
      </c>
      <c r="C20" s="654"/>
      <c r="D20" s="428" t="s">
        <v>214</v>
      </c>
      <c r="E20" s="680">
        <v>281</v>
      </c>
      <c r="F20" s="681"/>
      <c r="G20" s="682"/>
      <c r="H20" s="650" t="s">
        <v>415</v>
      </c>
      <c r="I20" s="650"/>
      <c r="J20" s="650"/>
    </row>
    <row r="21" spans="2:27" ht="15" thickBot="1" x14ac:dyDescent="0.35">
      <c r="B21" s="653" t="s">
        <v>123</v>
      </c>
      <c r="C21" s="654"/>
      <c r="D21" s="428" t="s">
        <v>214</v>
      </c>
      <c r="E21" s="680">
        <v>2810</v>
      </c>
      <c r="F21" s="681"/>
      <c r="G21" s="682"/>
      <c r="H21" s="650" t="s">
        <v>415</v>
      </c>
      <c r="I21" s="650"/>
      <c r="J21" s="650"/>
    </row>
    <row r="22" spans="2:27" ht="15" thickBot="1" x14ac:dyDescent="0.35"/>
    <row r="23" spans="2:27" ht="15" thickBot="1" x14ac:dyDescent="0.35">
      <c r="B23" s="683" t="s">
        <v>416</v>
      </c>
      <c r="C23" s="684"/>
      <c r="D23" s="684"/>
      <c r="E23" s="684"/>
      <c r="F23" s="684"/>
      <c r="G23" s="685"/>
    </row>
    <row r="24" spans="2:27" ht="15" thickBot="1" x14ac:dyDescent="0.35"/>
    <row r="25" spans="2:27" ht="15" thickBot="1" x14ac:dyDescent="0.35">
      <c r="B25" s="429" t="s">
        <v>417</v>
      </c>
      <c r="C25" s="430" t="s">
        <v>214</v>
      </c>
      <c r="D25" s="651">
        <f>E3/E16</f>
        <v>13.655777670453022</v>
      </c>
      <c r="E25" s="652"/>
      <c r="F25" s="650" t="s">
        <v>248</v>
      </c>
      <c r="G25" s="650"/>
    </row>
    <row r="26" spans="2:27" ht="15" thickBot="1" x14ac:dyDescent="0.35">
      <c r="B26" s="429" t="s">
        <v>418</v>
      </c>
      <c r="C26" s="430" t="s">
        <v>214</v>
      </c>
      <c r="D26" s="651">
        <f>H12/E16</f>
        <v>7.0260966682051347</v>
      </c>
      <c r="E26" s="652"/>
      <c r="F26" s="649" t="s">
        <v>419</v>
      </c>
      <c r="G26" s="650"/>
    </row>
    <row r="27" spans="2:27" ht="15" thickBot="1" x14ac:dyDescent="0.35"/>
    <row r="28" spans="2:27" ht="15" thickBot="1" x14ac:dyDescent="0.35">
      <c r="B28" s="603" t="s">
        <v>421</v>
      </c>
      <c r="C28" s="604"/>
      <c r="D28" s="604"/>
      <c r="E28" s="604"/>
      <c r="F28" s="604"/>
      <c r="G28" s="604"/>
      <c r="H28" s="604"/>
      <c r="I28" s="604"/>
      <c r="J28" s="604"/>
      <c r="K28" s="604"/>
      <c r="L28" s="605"/>
    </row>
    <row r="29" spans="2:27" ht="15" thickBot="1" x14ac:dyDescent="0.35"/>
    <row r="30" spans="2:27" ht="15" thickBot="1" x14ac:dyDescent="0.35">
      <c r="B30" s="653" t="s">
        <v>422</v>
      </c>
      <c r="C30" s="654"/>
      <c r="D30" s="430" t="s">
        <v>214</v>
      </c>
      <c r="E30" s="591">
        <f>E16*D25/E17</f>
        <v>1.1072252165232179</v>
      </c>
      <c r="F30" s="592"/>
      <c r="G30" t="s">
        <v>205</v>
      </c>
      <c r="J30" s="653" t="s">
        <v>423</v>
      </c>
      <c r="K30" s="654"/>
      <c r="L30" s="654"/>
      <c r="M30" s="654"/>
      <c r="N30" s="430" t="s">
        <v>214</v>
      </c>
      <c r="O30" s="591">
        <f>SQRT(E30)</f>
        <v>1.0522476973237898</v>
      </c>
      <c r="P30" s="592"/>
      <c r="Q30" t="s">
        <v>205</v>
      </c>
      <c r="S30" s="668" t="s">
        <v>424</v>
      </c>
      <c r="T30" s="668"/>
    </row>
    <row r="31" spans="2:27" x14ac:dyDescent="0.3">
      <c r="S31" s="669" t="s">
        <v>425</v>
      </c>
      <c r="T31" s="669"/>
      <c r="U31" s="669"/>
      <c r="V31" s="669"/>
      <c r="W31" s="669"/>
      <c r="X31" s="669"/>
      <c r="Y31" s="669"/>
      <c r="Z31" s="669"/>
      <c r="AA31" s="669"/>
    </row>
    <row r="32" spans="2:27" x14ac:dyDescent="0.3">
      <c r="F32" s="215"/>
      <c r="N32" s="215"/>
      <c r="S32" s="669"/>
      <c r="T32" s="669"/>
      <c r="U32" s="669"/>
      <c r="V32" s="669"/>
      <c r="W32" s="669"/>
      <c r="X32" s="669"/>
      <c r="Y32" s="669"/>
      <c r="Z32" s="669"/>
      <c r="AA32" s="669"/>
    </row>
    <row r="33" spans="1:33" x14ac:dyDescent="0.3">
      <c r="A33">
        <f>+G33*C36</f>
        <v>6.25</v>
      </c>
      <c r="F33" s="214"/>
      <c r="G33" s="670">
        <v>2.5</v>
      </c>
      <c r="H33" s="670"/>
      <c r="I33" s="670"/>
      <c r="J33" s="670"/>
      <c r="K33" s="670"/>
      <c r="L33" s="670"/>
      <c r="M33" s="213"/>
      <c r="N33" s="215"/>
      <c r="S33" s="669"/>
      <c r="T33" s="669"/>
      <c r="U33" s="669"/>
      <c r="V33" s="669"/>
      <c r="W33" s="669"/>
      <c r="X33" s="669"/>
      <c r="Y33" s="669"/>
      <c r="Z33" s="669"/>
      <c r="AA33" s="669"/>
      <c r="AG33">
        <f>+G33*C36</f>
        <v>6.25</v>
      </c>
    </row>
    <row r="34" spans="1:33" ht="15" thickBot="1" x14ac:dyDescent="0.35"/>
    <row r="35" spans="1:33" x14ac:dyDescent="0.3">
      <c r="C35" s="213"/>
      <c r="D35" s="214"/>
      <c r="F35" s="671" t="s">
        <v>464</v>
      </c>
      <c r="G35" s="672"/>
      <c r="H35" s="672"/>
      <c r="I35" s="672"/>
      <c r="J35" s="672"/>
      <c r="K35" s="672"/>
      <c r="L35" s="672"/>
      <c r="M35" s="673"/>
    </row>
    <row r="36" spans="1:33" x14ac:dyDescent="0.3">
      <c r="C36" s="660">
        <v>2.5</v>
      </c>
      <c r="D36" s="215"/>
      <c r="F36" s="674"/>
      <c r="G36" s="675"/>
      <c r="H36" s="675"/>
      <c r="I36" s="675"/>
      <c r="J36" s="675"/>
      <c r="K36" s="675"/>
      <c r="L36" s="675"/>
      <c r="M36" s="676"/>
    </row>
    <row r="37" spans="1:33" ht="15" thickBot="1" x14ac:dyDescent="0.35">
      <c r="C37" s="660"/>
      <c r="D37" s="215"/>
      <c r="F37" s="674"/>
      <c r="G37" s="675"/>
      <c r="H37" s="675"/>
      <c r="I37" s="675"/>
      <c r="J37" s="675"/>
      <c r="K37" s="675"/>
      <c r="L37" s="675"/>
      <c r="M37" s="676"/>
      <c r="O37" s="661" t="str">
        <f>IF(X39&gt;=P39,"No puede ser Mayor el Peralte al Grosor","")</f>
        <v/>
      </c>
      <c r="P37" s="661"/>
      <c r="Q37" s="661"/>
      <c r="R37" s="661"/>
      <c r="S37" s="661"/>
      <c r="T37" s="661"/>
      <c r="U37" s="661"/>
      <c r="V37" s="661"/>
      <c r="W37" s="661"/>
      <c r="X37" s="661"/>
      <c r="Y37" s="661"/>
      <c r="Z37" s="661"/>
      <c r="AA37" s="661"/>
    </row>
    <row r="38" spans="1:33" ht="15" thickBot="1" x14ac:dyDescent="0.35">
      <c r="C38" s="660"/>
      <c r="D38" s="215"/>
      <c r="F38" s="674"/>
      <c r="G38" s="675"/>
      <c r="H38" s="675"/>
      <c r="I38" s="675"/>
      <c r="J38" s="675"/>
      <c r="K38" s="675"/>
      <c r="L38" s="675"/>
      <c r="M38" s="676"/>
      <c r="O38" s="662" t="s">
        <v>427</v>
      </c>
      <c r="P38" s="663"/>
      <c r="Q38" s="663"/>
      <c r="R38" s="663"/>
      <c r="S38" s="663"/>
      <c r="T38" s="664"/>
      <c r="W38" s="603" t="s">
        <v>466</v>
      </c>
      <c r="X38" s="604"/>
      <c r="Y38" s="604"/>
      <c r="Z38" s="604"/>
      <c r="AA38" s="605"/>
    </row>
    <row r="39" spans="1:33" ht="15" thickBot="1" x14ac:dyDescent="0.35">
      <c r="C39" s="660"/>
      <c r="D39" s="215"/>
      <c r="F39" s="674"/>
      <c r="G39" s="675"/>
      <c r="H39" s="675"/>
      <c r="I39" s="675"/>
      <c r="J39" s="675"/>
      <c r="K39" s="675"/>
      <c r="L39" s="675"/>
      <c r="M39" s="676"/>
      <c r="P39" s="665">
        <v>0.5</v>
      </c>
      <c r="Q39" s="666"/>
      <c r="R39" s="666"/>
      <c r="S39" s="667"/>
      <c r="X39" s="599">
        <v>0.3</v>
      </c>
      <c r="Y39" s="718"/>
      <c r="Z39" s="602"/>
    </row>
    <row r="40" spans="1:33" x14ac:dyDescent="0.3">
      <c r="C40" s="660"/>
      <c r="D40" s="215"/>
      <c r="F40" s="674"/>
      <c r="G40" s="675"/>
      <c r="H40" s="675"/>
      <c r="I40" s="675"/>
      <c r="J40" s="675"/>
      <c r="K40" s="675"/>
      <c r="L40" s="675"/>
      <c r="M40" s="676"/>
    </row>
    <row r="41" spans="1:33" ht="15" thickBot="1" x14ac:dyDescent="0.35">
      <c r="C41" s="660"/>
      <c r="D41" s="215"/>
      <c r="F41" s="674"/>
      <c r="G41" s="675"/>
      <c r="H41" s="675"/>
      <c r="I41" s="675"/>
      <c r="J41" s="675"/>
      <c r="K41" s="675"/>
      <c r="L41" s="675"/>
      <c r="M41" s="676"/>
    </row>
    <row r="42" spans="1:33" ht="15" thickBot="1" x14ac:dyDescent="0.35">
      <c r="D42" s="220"/>
      <c r="F42" s="677"/>
      <c r="G42" s="678"/>
      <c r="H42" s="678"/>
      <c r="I42" s="678"/>
      <c r="J42" s="678"/>
      <c r="K42" s="678"/>
      <c r="L42" s="678"/>
      <c r="M42" s="679"/>
      <c r="O42" s="591" t="s">
        <v>428</v>
      </c>
      <c r="P42" s="647"/>
      <c r="Q42" s="647"/>
      <c r="R42" s="592"/>
      <c r="T42" s="591" t="s">
        <v>429</v>
      </c>
      <c r="U42" s="647"/>
      <c r="V42" s="647"/>
      <c r="W42" s="592"/>
    </row>
    <row r="43" spans="1:33" ht="15" thickBot="1" x14ac:dyDescent="0.35">
      <c r="C43" s="213"/>
      <c r="D43" s="213"/>
      <c r="P43" s="591">
        <f>40+100*X39</f>
        <v>70</v>
      </c>
      <c r="Q43" s="592"/>
      <c r="U43" s="591">
        <f>40+50*X39</f>
        <v>55</v>
      </c>
      <c r="V43" s="592"/>
    </row>
    <row r="44" spans="1:33" ht="15" thickBot="1" x14ac:dyDescent="0.35">
      <c r="B44" s="653" t="s">
        <v>430</v>
      </c>
      <c r="C44" s="654"/>
      <c r="D44" s="654"/>
      <c r="E44" s="432" t="s">
        <v>214</v>
      </c>
      <c r="F44" s="651">
        <f>Q7*T4*(T12+C8)*E19</f>
        <v>8.1</v>
      </c>
      <c r="G44" s="652"/>
      <c r="H44" s="649" t="s">
        <v>248</v>
      </c>
      <c r="I44" s="650"/>
    </row>
    <row r="45" spans="1:33" ht="15" thickBot="1" x14ac:dyDescent="0.35">
      <c r="B45" s="653" t="s">
        <v>431</v>
      </c>
      <c r="C45" s="654"/>
      <c r="D45" s="654"/>
      <c r="E45" s="432" t="s">
        <v>214</v>
      </c>
      <c r="F45" s="651">
        <f>C36*G33*C8*E18</f>
        <v>24.5625</v>
      </c>
      <c r="G45" s="652"/>
      <c r="H45" s="649" t="s">
        <v>248</v>
      </c>
      <c r="I45" s="650"/>
    </row>
    <row r="46" spans="1:33" ht="15" thickBot="1" x14ac:dyDescent="0.35">
      <c r="B46" s="653" t="s">
        <v>432</v>
      </c>
      <c r="C46" s="654"/>
      <c r="D46" s="654"/>
      <c r="E46" s="432" t="s">
        <v>214</v>
      </c>
      <c r="F46" s="651">
        <f>C36*G33*P39*E19</f>
        <v>7.5</v>
      </c>
      <c r="G46" s="652"/>
      <c r="H46" s="649" t="s">
        <v>248</v>
      </c>
      <c r="I46" s="650"/>
    </row>
    <row r="47" spans="1:33" ht="15" thickBot="1" x14ac:dyDescent="0.35"/>
    <row r="48" spans="1:33" ht="15" thickBot="1" x14ac:dyDescent="0.35">
      <c r="D48" s="433" t="s">
        <v>433</v>
      </c>
      <c r="E48" s="434" t="s">
        <v>214</v>
      </c>
      <c r="F48" s="655">
        <f>SUM(F44:G46)+D25</f>
        <v>53.818277670453021</v>
      </c>
      <c r="G48" s="656"/>
      <c r="H48" s="657"/>
      <c r="I48" s="658" t="s">
        <v>248</v>
      </c>
      <c r="J48" s="659"/>
    </row>
    <row r="49" spans="2:29" ht="15" thickBot="1" x14ac:dyDescent="0.35"/>
    <row r="50" spans="2:29" ht="15" thickBot="1" x14ac:dyDescent="0.35">
      <c r="B50" s="603" t="s">
        <v>434</v>
      </c>
      <c r="C50" s="604"/>
      <c r="D50" s="604"/>
      <c r="E50" s="604"/>
      <c r="F50" s="604"/>
      <c r="G50" s="605"/>
      <c r="J50" s="603" t="s">
        <v>435</v>
      </c>
      <c r="K50" s="604"/>
      <c r="L50" s="604"/>
      <c r="M50" s="605"/>
      <c r="P50" s="603" t="s">
        <v>436</v>
      </c>
      <c r="Q50" s="604"/>
      <c r="R50" s="604"/>
      <c r="S50" s="604"/>
      <c r="T50" s="605"/>
      <c r="X50" s="603" t="s">
        <v>438</v>
      </c>
      <c r="Y50" s="604"/>
      <c r="Z50" s="604"/>
      <c r="AA50" s="604"/>
      <c r="AB50" s="605"/>
    </row>
    <row r="51" spans="2:29" ht="15" thickBot="1" x14ac:dyDescent="0.35"/>
    <row r="52" spans="2:29" ht="15" thickBot="1" x14ac:dyDescent="0.35">
      <c r="B52" s="429" t="s">
        <v>467</v>
      </c>
      <c r="C52" s="430" t="s">
        <v>214</v>
      </c>
      <c r="D52" s="597">
        <f>D26+F44*(C36/2-T4/2)+D25*(C36/2-T4/2)</f>
        <v>26.062402129851527</v>
      </c>
      <c r="E52" s="598"/>
      <c r="F52" s="445" t="s">
        <v>468</v>
      </c>
      <c r="J52" s="429" t="s">
        <v>469</v>
      </c>
      <c r="K52" s="430" t="s">
        <v>214</v>
      </c>
      <c r="L52" s="597">
        <f>D52/F48</f>
        <v>0.48426674464463859</v>
      </c>
      <c r="M52" s="598"/>
      <c r="N52" t="s">
        <v>440</v>
      </c>
      <c r="P52" s="591" t="s">
        <v>441</v>
      </c>
      <c r="Q52" s="647"/>
      <c r="R52" s="430" t="s">
        <v>214</v>
      </c>
      <c r="S52" s="591">
        <f>4*F48/(3*C36*(G33-2*L52))</f>
        <v>18.742219450114575</v>
      </c>
      <c r="T52" s="592"/>
      <c r="U52" s="649" t="s">
        <v>442</v>
      </c>
      <c r="V52" s="650"/>
      <c r="W52" s="650"/>
      <c r="X52" s="591" t="s">
        <v>444</v>
      </c>
      <c r="Y52" s="647"/>
      <c r="Z52" s="430" t="s">
        <v>214</v>
      </c>
      <c r="AA52" s="651">
        <f>S52*E16</f>
        <v>28.113329175171863</v>
      </c>
      <c r="AB52" s="652"/>
      <c r="AC52" t="s">
        <v>442</v>
      </c>
    </row>
    <row r="53" spans="2:29" x14ac:dyDescent="0.3">
      <c r="X53" s="101"/>
      <c r="Y53" s="101"/>
      <c r="Z53" s="101"/>
      <c r="AA53" s="101"/>
    </row>
    <row r="54" spans="2:29" ht="15" thickBot="1" x14ac:dyDescent="0.35">
      <c r="X54" s="101"/>
      <c r="Y54" s="101"/>
      <c r="Z54" s="101"/>
      <c r="AA54" s="101"/>
    </row>
    <row r="55" spans="2:29" ht="15" thickBot="1" x14ac:dyDescent="0.35">
      <c r="B55" s="591" t="s">
        <v>470</v>
      </c>
      <c r="C55" s="647"/>
      <c r="D55" s="647"/>
      <c r="E55" s="647"/>
      <c r="F55" s="647"/>
      <c r="G55" s="647"/>
      <c r="H55" s="647"/>
      <c r="I55" s="647"/>
      <c r="J55" s="592"/>
    </row>
    <row r="56" spans="2:29" ht="15" thickBot="1" x14ac:dyDescent="0.35">
      <c r="B56" s="190"/>
      <c r="C56" s="190"/>
      <c r="D56" s="190"/>
      <c r="E56" s="190"/>
      <c r="F56" s="190"/>
      <c r="G56" s="190"/>
      <c r="H56" s="190"/>
      <c r="I56" s="190"/>
      <c r="J56" s="190"/>
    </row>
    <row r="57" spans="2:29" ht="15" thickBot="1" x14ac:dyDescent="0.35">
      <c r="C57" s="591" t="s">
        <v>471</v>
      </c>
      <c r="D57" s="647"/>
      <c r="E57" s="430" t="s">
        <v>214</v>
      </c>
      <c r="F57" s="591">
        <f>(E18*C8+P39*E19)*E16</f>
        <v>7.6950000000000003</v>
      </c>
      <c r="G57" s="592"/>
      <c r="H57" t="s">
        <v>442</v>
      </c>
    </row>
    <row r="58" spans="2:29" x14ac:dyDescent="0.3">
      <c r="B58" s="423"/>
      <c r="C58" s="423"/>
      <c r="D58" s="423"/>
      <c r="E58" s="423"/>
      <c r="F58" s="423"/>
      <c r="G58" s="423"/>
      <c r="H58" s="423"/>
      <c r="I58" s="423"/>
    </row>
    <row r="59" spans="2:29" ht="15" thickBot="1" x14ac:dyDescent="0.35">
      <c r="C59" s="446"/>
      <c r="D59" s="446"/>
      <c r="E59" s="446"/>
      <c r="F59" s="446"/>
      <c r="G59" s="446"/>
      <c r="H59" s="446"/>
      <c r="I59" s="215"/>
      <c r="J59" s="101"/>
      <c r="K59" s="101"/>
      <c r="L59" s="101"/>
    </row>
    <row r="60" spans="2:29" ht="15" thickBot="1" x14ac:dyDescent="0.35">
      <c r="C60" s="729" t="s">
        <v>472</v>
      </c>
      <c r="D60" s="730"/>
      <c r="E60" s="730"/>
      <c r="F60" s="730"/>
      <c r="G60" s="730"/>
      <c r="H60" s="731"/>
      <c r="I60" s="61"/>
      <c r="J60" s="429" t="s">
        <v>473</v>
      </c>
      <c r="K60" s="430" t="s">
        <v>214</v>
      </c>
      <c r="L60" s="715">
        <f>G33/2-L52</f>
        <v>0.76573325535536141</v>
      </c>
      <c r="M60" s="732"/>
      <c r="N60" t="s">
        <v>440</v>
      </c>
      <c r="P60" s="429" t="s">
        <v>474</v>
      </c>
      <c r="Q60" s="430" t="s">
        <v>214</v>
      </c>
      <c r="R60" s="715">
        <f>L60*3</f>
        <v>2.2971997660660843</v>
      </c>
      <c r="S60" s="732"/>
      <c r="T60" t="s">
        <v>440</v>
      </c>
    </row>
    <row r="61" spans="2:29" x14ac:dyDescent="0.3">
      <c r="B61" s="725">
        <f>AA52</f>
        <v>28.113329175171863</v>
      </c>
      <c r="C61" s="447"/>
      <c r="D61" s="447"/>
      <c r="E61" s="447"/>
      <c r="F61" s="447"/>
      <c r="I61" s="101"/>
      <c r="J61" s="101"/>
      <c r="K61" s="101"/>
      <c r="L61" s="101"/>
    </row>
    <row r="62" spans="2:29" x14ac:dyDescent="0.3">
      <c r="B62" s="726"/>
      <c r="C62" s="215"/>
      <c r="D62" s="215"/>
      <c r="E62" s="215"/>
      <c r="J62" s="659" t="s">
        <v>475</v>
      </c>
      <c r="K62" s="659"/>
      <c r="L62" s="659"/>
      <c r="M62" s="659"/>
      <c r="N62" s="659"/>
      <c r="O62" s="659"/>
      <c r="P62" s="659"/>
    </row>
    <row r="63" spans="2:29" x14ac:dyDescent="0.3">
      <c r="B63" s="726"/>
      <c r="C63" s="215"/>
      <c r="D63" s="215"/>
      <c r="K63" s="693" t="s">
        <v>476</v>
      </c>
      <c r="L63" s="693"/>
      <c r="M63" s="728">
        <f>AA52/R60</f>
        <v>12.238086382585465</v>
      </c>
      <c r="N63" s="728"/>
      <c r="O63" s="104" t="s">
        <v>477</v>
      </c>
    </row>
    <row r="64" spans="2:29" x14ac:dyDescent="0.3">
      <c r="B64" s="727"/>
      <c r="C64" s="215"/>
    </row>
    <row r="65" spans="2:35" x14ac:dyDescent="0.3">
      <c r="C65" s="220"/>
      <c r="D65" s="423"/>
      <c r="E65" s="423"/>
      <c r="F65" s="423"/>
      <c r="G65" s="215"/>
      <c r="J65" s="659" t="s">
        <v>478</v>
      </c>
      <c r="K65" s="659"/>
      <c r="L65" s="659"/>
      <c r="M65" s="659"/>
      <c r="N65" s="659"/>
      <c r="O65" s="659"/>
      <c r="P65" s="659"/>
      <c r="Q65" s="659"/>
    </row>
    <row r="66" spans="2:35" x14ac:dyDescent="0.3">
      <c r="C66" s="215"/>
      <c r="D66" s="586" t="s">
        <v>474</v>
      </c>
      <c r="E66" s="586"/>
      <c r="G66" s="215"/>
      <c r="K66" s="693" t="s">
        <v>476</v>
      </c>
      <c r="L66" s="693"/>
      <c r="M66" s="693">
        <f>(AA52)/((R60)^2)</f>
        <v>5.3273931868550468</v>
      </c>
      <c r="N66" s="693"/>
      <c r="O66" t="s">
        <v>479</v>
      </c>
    </row>
    <row r="68" spans="2:35" ht="15" thickBot="1" x14ac:dyDescent="0.35"/>
    <row r="69" spans="2:35" ht="15" thickBot="1" x14ac:dyDescent="0.35">
      <c r="L69" s="609" t="s">
        <v>480</v>
      </c>
      <c r="M69" s="610"/>
      <c r="N69" s="610"/>
      <c r="O69" s="610"/>
      <c r="P69" s="610"/>
      <c r="Q69" s="610"/>
      <c r="R69" s="610"/>
      <c r="S69" s="610"/>
      <c r="T69" s="610"/>
      <c r="U69" s="611"/>
    </row>
    <row r="70" spans="2:35" ht="15" thickBot="1" x14ac:dyDescent="0.35"/>
    <row r="71" spans="2:35" ht="15" thickBot="1" x14ac:dyDescent="0.35">
      <c r="C71" s="448" t="s">
        <v>481</v>
      </c>
      <c r="D71" s="597">
        <f>R60-U43/100</f>
        <v>1.7471997660660843</v>
      </c>
      <c r="E71" s="598"/>
      <c r="G71" s="603" t="s">
        <v>476</v>
      </c>
      <c r="H71" s="605"/>
      <c r="I71" s="651">
        <f>M63*D71</f>
        <v>21.382381664749854</v>
      </c>
      <c r="J71" s="652"/>
      <c r="K71" t="s">
        <v>411</v>
      </c>
    </row>
    <row r="72" spans="2:35" ht="15" thickBot="1" x14ac:dyDescent="0.35">
      <c r="G72" s="603" t="s">
        <v>476</v>
      </c>
      <c r="H72" s="605"/>
      <c r="I72" s="651">
        <f>M66*D71*D71</f>
        <v>16.262970593351501</v>
      </c>
      <c r="J72" s="652"/>
      <c r="K72" t="s">
        <v>411</v>
      </c>
    </row>
    <row r="73" spans="2:35" ht="15" thickBot="1" x14ac:dyDescent="0.35">
      <c r="G73" s="449"/>
      <c r="H73" s="449"/>
      <c r="I73" s="420"/>
      <c r="J73" s="420"/>
    </row>
    <row r="74" spans="2:35" ht="15" thickBot="1" x14ac:dyDescent="0.35">
      <c r="C74" s="609" t="s">
        <v>482</v>
      </c>
      <c r="D74" s="610"/>
      <c r="E74" s="610"/>
      <c r="F74" s="610"/>
      <c r="G74" s="610"/>
      <c r="H74" s="610"/>
      <c r="I74" s="610"/>
      <c r="J74" s="611"/>
      <c r="T74" s="609" t="s">
        <v>483</v>
      </c>
      <c r="U74" s="610"/>
      <c r="V74" s="610"/>
      <c r="W74" s="610"/>
      <c r="X74" s="610"/>
      <c r="Y74" s="610"/>
      <c r="Z74" s="610"/>
      <c r="AA74" s="610"/>
      <c r="AB74" s="610"/>
      <c r="AC74" s="611"/>
    </row>
    <row r="75" spans="2:35" ht="15" thickBot="1" x14ac:dyDescent="0.35"/>
    <row r="76" spans="2:35" ht="15" thickBot="1" x14ac:dyDescent="0.35">
      <c r="B76" s="603" t="s">
        <v>484</v>
      </c>
      <c r="C76" s="604"/>
      <c r="D76" s="604"/>
      <c r="E76" s="430" t="s">
        <v>214</v>
      </c>
      <c r="F76" s="591">
        <f>E3+F57*P43*U43/(100*100)-((AA52-I71)/2)*P43*U43/(100*100)</f>
        <v>22.150534109923299</v>
      </c>
      <c r="G76" s="592"/>
      <c r="H76" t="s">
        <v>248</v>
      </c>
      <c r="T76" s="603" t="s">
        <v>484</v>
      </c>
      <c r="U76" s="604"/>
      <c r="V76" s="604"/>
      <c r="W76" s="430" t="s">
        <v>214</v>
      </c>
      <c r="X76" s="591">
        <f>E3+F57*P43*U43/(100*100)-((AA52-I72)/2)*P43*U43/(100*100)</f>
        <v>21.165047478679114</v>
      </c>
      <c r="Y76" s="592"/>
      <c r="Z76" t="s">
        <v>248</v>
      </c>
    </row>
    <row r="77" spans="2:35" ht="15" thickBot="1" x14ac:dyDescent="0.35"/>
    <row r="78" spans="2:35" ht="15" thickBot="1" x14ac:dyDescent="0.35">
      <c r="B78" s="603" t="s">
        <v>485</v>
      </c>
      <c r="C78" s="604"/>
      <c r="D78" s="450" t="s">
        <v>214</v>
      </c>
      <c r="E78" s="591">
        <f>0.75*(2+4/1)*0.53*SQRT(E20)*(2*U43+P43)*X39/10</f>
        <v>215.89138037679967</v>
      </c>
      <c r="F78" s="592"/>
      <c r="G78" t="s">
        <v>248</v>
      </c>
      <c r="T78" s="603" t="s">
        <v>485</v>
      </c>
      <c r="U78" s="604"/>
      <c r="V78" s="450" t="s">
        <v>214</v>
      </c>
      <c r="W78" s="591">
        <f>0.75*(2+4/1)*0.53*SQRT(E20)*(2*U43+P43)*X39/10</f>
        <v>215.89138037679967</v>
      </c>
      <c r="X78" s="592"/>
      <c r="Y78" t="s">
        <v>248</v>
      </c>
    </row>
    <row r="79" spans="2:35" ht="15" thickBot="1" x14ac:dyDescent="0.35">
      <c r="B79" s="603" t="s">
        <v>486</v>
      </c>
      <c r="C79" s="604"/>
      <c r="D79" s="430" t="s">
        <v>214</v>
      </c>
      <c r="E79" s="591">
        <f>(SQRT(E20)*0.75*0.27*(30/(2*U43+P43)+2)*(2*U43+P43)*X39/10)</f>
        <v>39.715867144788618</v>
      </c>
      <c r="F79" s="592"/>
      <c r="G79" t="s">
        <v>248</v>
      </c>
      <c r="J79" s="603" t="s">
        <v>487</v>
      </c>
      <c r="K79" s="604"/>
      <c r="L79" s="604"/>
      <c r="M79" s="604"/>
      <c r="N79" s="430" t="s">
        <v>214</v>
      </c>
      <c r="O79" s="591">
        <f>MIN(E78:F80)</f>
        <v>39.715867144788618</v>
      </c>
      <c r="P79" s="592"/>
      <c r="Q79" t="s">
        <v>248</v>
      </c>
      <c r="T79" s="603" t="s">
        <v>486</v>
      </c>
      <c r="U79" s="604"/>
      <c r="V79" s="430" t="s">
        <v>214</v>
      </c>
      <c r="W79" s="591">
        <f>(SQRT(E20)*0.75*0.27*(30/(2*U43+P43)+2)*(2*U43+P43)*X39/10)</f>
        <v>39.715867144788618</v>
      </c>
      <c r="X79" s="592"/>
      <c r="Y79" t="s">
        <v>248</v>
      </c>
      <c r="AB79" s="603" t="s">
        <v>487</v>
      </c>
      <c r="AC79" s="604"/>
      <c r="AD79" s="604"/>
      <c r="AE79" s="604"/>
      <c r="AF79" s="430" t="s">
        <v>214</v>
      </c>
      <c r="AG79" s="591">
        <f>MIN(W78:X80)</f>
        <v>39.715867144788618</v>
      </c>
      <c r="AH79" s="592"/>
      <c r="AI79" t="s">
        <v>248</v>
      </c>
    </row>
    <row r="80" spans="2:35" ht="15" thickBot="1" x14ac:dyDescent="0.35">
      <c r="B80" s="603" t="s">
        <v>488</v>
      </c>
      <c r="C80" s="604"/>
      <c r="D80" s="430" t="s">
        <v>214</v>
      </c>
      <c r="E80" s="591">
        <f>SQRT(E20)*0.75*(2*U43+P43)*X39/10</f>
        <v>67.890371187672855</v>
      </c>
      <c r="F80" s="592"/>
      <c r="G80" t="s">
        <v>248</v>
      </c>
      <c r="T80" s="603" t="s">
        <v>488</v>
      </c>
      <c r="U80" s="604"/>
      <c r="V80" s="430" t="s">
        <v>214</v>
      </c>
      <c r="W80" s="591">
        <f>SQRT(E20)*0.75*(2*U43+P43)*X39/10</f>
        <v>67.890371187672855</v>
      </c>
      <c r="X80" s="592"/>
      <c r="Y80" t="s">
        <v>248</v>
      </c>
    </row>
    <row r="81" spans="4:33" ht="15" thickBot="1" x14ac:dyDescent="0.35">
      <c r="H81" s="451"/>
      <c r="I81" s="451"/>
      <c r="K81" s="721" t="s">
        <v>489</v>
      </c>
      <c r="L81" s="721"/>
      <c r="M81" s="721"/>
      <c r="N81" s="721"/>
      <c r="O81" s="721"/>
      <c r="Z81" s="451"/>
      <c r="AA81" s="451"/>
      <c r="AC81" s="721" t="s">
        <v>489</v>
      </c>
      <c r="AD81" s="721"/>
      <c r="AE81" s="721"/>
      <c r="AF81" s="721"/>
      <c r="AG81" s="721"/>
    </row>
    <row r="82" spans="4:33" ht="15" thickBot="1" x14ac:dyDescent="0.35">
      <c r="K82" s="722" t="str">
        <f>IF(F76&lt;O79,"Chequea","NO CHEQUEA")</f>
        <v>Chequea</v>
      </c>
      <c r="L82" s="723"/>
      <c r="M82" s="723"/>
      <c r="N82" s="723"/>
      <c r="O82" s="724"/>
      <c r="AC82" s="722" t="str">
        <f>IF(X76&lt;AG79,"Chequea","NO CHEQUEA")</f>
        <v>Chequea</v>
      </c>
      <c r="AD82" s="723"/>
      <c r="AE82" s="723"/>
      <c r="AF82" s="723"/>
      <c r="AG82" s="724"/>
    </row>
    <row r="83" spans="4:33" x14ac:dyDescent="0.3">
      <c r="J83" s="693" t="str">
        <f>IF(K82="NO CHEQUEA","Aumentar Peralte"," ")</f>
        <v xml:space="preserve"> </v>
      </c>
      <c r="K83" s="693"/>
      <c r="L83" s="693"/>
      <c r="M83" s="693"/>
      <c r="N83" s="693"/>
      <c r="O83" s="693"/>
      <c r="P83" s="693"/>
    </row>
    <row r="84" spans="4:33" ht="15" thickBot="1" x14ac:dyDescent="0.35"/>
    <row r="85" spans="4:33" ht="15" thickBot="1" x14ac:dyDescent="0.35">
      <c r="L85" s="609" t="s">
        <v>490</v>
      </c>
      <c r="M85" s="610"/>
      <c r="N85" s="610"/>
      <c r="O85" s="610"/>
      <c r="P85" s="610"/>
      <c r="Q85" s="610"/>
      <c r="R85" s="610"/>
      <c r="S85" s="610"/>
      <c r="T85" s="610"/>
      <c r="U85" s="611"/>
    </row>
    <row r="86" spans="4:33" ht="15" thickBot="1" x14ac:dyDescent="0.35"/>
    <row r="87" spans="4:33" ht="15" thickBot="1" x14ac:dyDescent="0.35">
      <c r="G87" s="599">
        <f>E3</f>
        <v>20.483666505679533</v>
      </c>
      <c r="H87" s="718"/>
      <c r="I87" s="602"/>
      <c r="J87" s="49" t="s">
        <v>248</v>
      </c>
    </row>
    <row r="88" spans="4:33" x14ac:dyDescent="0.3">
      <c r="H88" s="719"/>
      <c r="I88" s="215"/>
      <c r="J88" s="101"/>
      <c r="K88" s="101"/>
      <c r="L88" s="101"/>
      <c r="M88" s="101"/>
      <c r="N88" s="101"/>
      <c r="O88" s="101"/>
      <c r="P88" s="101"/>
    </row>
    <row r="89" spans="4:33" ht="15" thickBot="1" x14ac:dyDescent="0.35">
      <c r="D89" s="424"/>
      <c r="E89" s="424"/>
      <c r="F89" s="424"/>
      <c r="G89" s="443"/>
      <c r="H89" s="720"/>
      <c r="I89" s="444"/>
      <c r="J89" s="424"/>
      <c r="K89" s="424"/>
      <c r="L89" s="424"/>
      <c r="M89" s="424"/>
      <c r="N89" s="424"/>
      <c r="O89" s="424"/>
      <c r="P89" s="424"/>
    </row>
    <row r="90" spans="4:33" ht="15" thickTop="1" x14ac:dyDescent="0.3">
      <c r="F90" s="426"/>
      <c r="H90" s="720"/>
      <c r="I90" s="215"/>
    </row>
    <row r="91" spans="4:33" x14ac:dyDescent="0.3">
      <c r="F91" s="215"/>
      <c r="H91" s="720"/>
      <c r="I91" s="215"/>
      <c r="J91" s="659" t="s">
        <v>402</v>
      </c>
      <c r="K91" s="659"/>
      <c r="L91" s="659"/>
      <c r="M91" s="659"/>
    </row>
    <row r="92" spans="4:33" x14ac:dyDescent="0.3">
      <c r="E92" s="692">
        <f>C8</f>
        <v>2</v>
      </c>
      <c r="F92" s="692"/>
      <c r="H92" s="720"/>
      <c r="I92" s="215"/>
    </row>
    <row r="93" spans="4:33" x14ac:dyDescent="0.3">
      <c r="F93" s="215"/>
      <c r="H93" s="720"/>
      <c r="I93" s="215"/>
    </row>
    <row r="94" spans="4:33" x14ac:dyDescent="0.3">
      <c r="F94" s="215"/>
      <c r="H94" s="714"/>
      <c r="I94" s="628"/>
      <c r="J94" s="628"/>
      <c r="K94" s="628"/>
      <c r="L94" s="628"/>
      <c r="M94" s="628"/>
      <c r="N94" s="628"/>
      <c r="O94" s="628"/>
      <c r="P94" s="628"/>
      <c r="Q94" s="215"/>
    </row>
    <row r="95" spans="4:33" ht="15" thickBot="1" x14ac:dyDescent="0.35">
      <c r="E95" s="213"/>
      <c r="F95" s="213"/>
      <c r="H95" s="213"/>
      <c r="I95" s="101"/>
      <c r="J95" s="101"/>
      <c r="K95" s="101"/>
      <c r="L95" s="101"/>
      <c r="M95" s="101"/>
      <c r="N95" s="101"/>
    </row>
    <row r="96" spans="4:33" ht="15" thickBot="1" x14ac:dyDescent="0.35">
      <c r="F96" s="711">
        <f>AA99</f>
        <v>15.263338473457123</v>
      </c>
      <c r="G96" s="712"/>
      <c r="H96" s="214"/>
      <c r="I96" s="214"/>
      <c r="J96" s="214"/>
      <c r="K96" s="214"/>
      <c r="L96" s="213"/>
      <c r="M96" s="213"/>
      <c r="N96" s="214"/>
      <c r="O96" s="213"/>
      <c r="P96" s="228"/>
      <c r="Q96" s="215"/>
      <c r="S96" s="429" t="s">
        <v>477</v>
      </c>
      <c r="T96" s="430" t="s">
        <v>214</v>
      </c>
      <c r="U96" s="597">
        <f>H103-H100</f>
        <v>1.2471997660660843</v>
      </c>
      <c r="V96" s="592"/>
      <c r="W96" t="s">
        <v>440</v>
      </c>
    </row>
    <row r="97" spans="7:40" x14ac:dyDescent="0.3">
      <c r="H97" s="215"/>
      <c r="I97" s="215"/>
      <c r="K97" s="215"/>
      <c r="N97" s="215"/>
      <c r="Q97" s="215"/>
    </row>
    <row r="98" spans="7:40" ht="15" thickBot="1" x14ac:dyDescent="0.35">
      <c r="H98" s="215"/>
      <c r="K98" s="215"/>
      <c r="N98" s="215"/>
      <c r="Q98" s="215"/>
      <c r="S98" s="659" t="s">
        <v>475</v>
      </c>
      <c r="T98" s="659"/>
      <c r="U98" s="659"/>
      <c r="V98" s="659"/>
      <c r="W98" s="659"/>
      <c r="X98" s="659"/>
      <c r="Y98" s="659"/>
      <c r="AE98" s="659" t="s">
        <v>478</v>
      </c>
      <c r="AF98" s="659"/>
      <c r="AG98" s="659"/>
      <c r="AH98" s="659"/>
      <c r="AI98" s="659"/>
      <c r="AJ98" s="659"/>
      <c r="AK98" s="659"/>
      <c r="AL98" s="659"/>
    </row>
    <row r="99" spans="7:40" ht="15" thickBot="1" x14ac:dyDescent="0.35">
      <c r="H99" s="215"/>
      <c r="I99" s="101"/>
      <c r="J99" s="101"/>
      <c r="K99" s="714" t="s">
        <v>477</v>
      </c>
      <c r="L99" s="711"/>
      <c r="M99" s="712"/>
      <c r="N99" s="220"/>
      <c r="Q99" s="215"/>
      <c r="T99" s="591" t="s">
        <v>476</v>
      </c>
      <c r="U99" s="592"/>
      <c r="V99" s="715">
        <f>AA52/R60</f>
        <v>12.238086382585465</v>
      </c>
      <c r="W99" s="716"/>
      <c r="X99" s="452" t="s">
        <v>477</v>
      </c>
      <c r="Z99" t="s">
        <v>214</v>
      </c>
      <c r="AA99" s="591">
        <f>V99*U96</f>
        <v>15.263338473457123</v>
      </c>
      <c r="AB99" s="592"/>
      <c r="AF99" s="591" t="s">
        <v>476</v>
      </c>
      <c r="AG99" s="592"/>
      <c r="AH99" s="591">
        <f>M66</f>
        <v>5.3273931868550468</v>
      </c>
      <c r="AI99" s="647"/>
      <c r="AJ99" s="654" t="s">
        <v>479</v>
      </c>
      <c r="AK99" s="717"/>
      <c r="AL99" t="s">
        <v>214</v>
      </c>
      <c r="AM99" s="591">
        <f>AH99*U96*U96</f>
        <v>8.2867987602500754</v>
      </c>
      <c r="AN99" s="592"/>
    </row>
    <row r="100" spans="7:40" ht="15" thickBot="1" x14ac:dyDescent="0.35">
      <c r="H100" s="714">
        <f>X39+T4</f>
        <v>1.05</v>
      </c>
      <c r="I100" s="712"/>
      <c r="J100" s="215"/>
      <c r="K100" s="214"/>
      <c r="N100" s="215"/>
      <c r="Q100" s="215"/>
    </row>
    <row r="101" spans="7:40" ht="15" thickBot="1" x14ac:dyDescent="0.35">
      <c r="H101" s="214"/>
      <c r="I101" s="228"/>
      <c r="J101" s="215"/>
      <c r="N101" s="215"/>
      <c r="Q101" s="215"/>
      <c r="T101" s="591" t="s">
        <v>491</v>
      </c>
      <c r="U101" s="592"/>
      <c r="V101" s="597">
        <f>N106+F57*(F57/V99)-V99*((F57/V99)^2)/2</f>
        <v>3.9797587432742794</v>
      </c>
      <c r="W101" s="598"/>
      <c r="X101" t="s">
        <v>492</v>
      </c>
      <c r="AF101" s="591" t="s">
        <v>491</v>
      </c>
      <c r="AG101" s="592"/>
      <c r="AH101" s="597">
        <f>N106+F57*(F57/AH99)-AH99*((F57/AH99)^2)/2</f>
        <v>7.1179586127966008</v>
      </c>
      <c r="AI101" s="598"/>
      <c r="AJ101" t="s">
        <v>492</v>
      </c>
    </row>
    <row r="102" spans="7:40" x14ac:dyDescent="0.3">
      <c r="H102" s="215"/>
      <c r="N102" s="215"/>
      <c r="Q102" s="215"/>
      <c r="T102" t="s">
        <v>493</v>
      </c>
      <c r="AF102" t="s">
        <v>493</v>
      </c>
    </row>
    <row r="103" spans="7:40" x14ac:dyDescent="0.3">
      <c r="H103" s="708">
        <f>R60</f>
        <v>2.2971997660660843</v>
      </c>
      <c r="I103" s="586"/>
      <c r="J103" s="586"/>
      <c r="K103" s="586"/>
      <c r="L103" s="586"/>
      <c r="M103" s="587"/>
      <c r="N103" s="708">
        <f>G33-H103</f>
        <v>0.20280023393391566</v>
      </c>
      <c r="O103" s="586"/>
      <c r="P103" s="587"/>
      <c r="Q103" s="215"/>
    </row>
    <row r="104" spans="7:40" x14ac:dyDescent="0.3">
      <c r="H104" s="215"/>
      <c r="Q104" s="215"/>
    </row>
    <row r="105" spans="7:40" x14ac:dyDescent="0.3">
      <c r="H105" s="215"/>
      <c r="N105" s="215"/>
      <c r="Q105" s="215"/>
    </row>
    <row r="106" spans="7:40" x14ac:dyDescent="0.3">
      <c r="H106" s="214"/>
      <c r="I106" s="213"/>
      <c r="J106" s="213"/>
      <c r="K106" s="213"/>
      <c r="L106" s="213"/>
      <c r="M106" s="213"/>
      <c r="N106" s="708">
        <f>N103*F57</f>
        <v>1.560547800121481</v>
      </c>
      <c r="O106" s="709"/>
      <c r="P106" s="228"/>
      <c r="Q106" s="215"/>
    </row>
    <row r="107" spans="7:40" ht="15" thickBot="1" x14ac:dyDescent="0.35">
      <c r="G107" s="425"/>
      <c r="H107" s="446"/>
      <c r="I107" s="425"/>
      <c r="J107" s="425"/>
      <c r="K107" s="425"/>
      <c r="L107" s="425"/>
      <c r="M107" s="425"/>
      <c r="N107" s="425"/>
      <c r="O107" s="425"/>
      <c r="P107" s="425"/>
      <c r="Q107" s="446"/>
    </row>
    <row r="109" spans="7:40" x14ac:dyDescent="0.3">
      <c r="H109" s="220"/>
      <c r="I109" s="423"/>
      <c r="J109" s="423"/>
      <c r="K109" s="423"/>
      <c r="L109" s="423"/>
      <c r="M109" s="423"/>
      <c r="N109" s="220"/>
      <c r="O109" s="423"/>
      <c r="P109" s="423"/>
      <c r="Q109" s="215"/>
    </row>
    <row r="110" spans="7:40" x14ac:dyDescent="0.3">
      <c r="H110" s="215"/>
      <c r="N110" s="215"/>
      <c r="Q110" s="215"/>
    </row>
    <row r="111" spans="7:40" x14ac:dyDescent="0.3">
      <c r="H111" s="215"/>
      <c r="I111" s="101"/>
      <c r="J111" s="453"/>
      <c r="K111" s="710">
        <f>U96</f>
        <v>1.2471997660660843</v>
      </c>
      <c r="L111" s="711"/>
      <c r="M111" s="712"/>
      <c r="N111" s="215"/>
      <c r="Q111" s="215"/>
    </row>
    <row r="112" spans="7:40" x14ac:dyDescent="0.3">
      <c r="H112" s="215"/>
      <c r="I112" s="101"/>
      <c r="J112" s="231"/>
      <c r="N112" s="215"/>
      <c r="Q112" s="215"/>
    </row>
    <row r="113" spans="2:21" x14ac:dyDescent="0.3">
      <c r="F113" s="710">
        <f>V101</f>
        <v>3.9797587432742794</v>
      </c>
      <c r="G113" s="712"/>
      <c r="H113" s="215"/>
      <c r="I113" s="101"/>
      <c r="J113" s="231"/>
      <c r="L113" s="101"/>
      <c r="M113" s="231"/>
      <c r="N113" s="215"/>
      <c r="Q113" s="215"/>
    </row>
    <row r="114" spans="2:21" ht="15" thickBot="1" x14ac:dyDescent="0.35">
      <c r="G114" s="425"/>
      <c r="H114" s="446"/>
      <c r="I114" s="425"/>
      <c r="J114" s="454"/>
      <c r="K114" s="425"/>
      <c r="L114" s="446"/>
      <c r="M114" s="454"/>
      <c r="N114" s="446"/>
      <c r="O114" s="425"/>
      <c r="P114" s="454"/>
      <c r="Q114" s="446"/>
    </row>
    <row r="115" spans="2:21" ht="15" thickBot="1" x14ac:dyDescent="0.35">
      <c r="H115" s="215"/>
      <c r="J115" s="231"/>
      <c r="L115" s="215"/>
      <c r="M115" s="231"/>
      <c r="N115" s="215"/>
      <c r="Q115" s="215"/>
    </row>
    <row r="116" spans="2:21" ht="15" thickBot="1" x14ac:dyDescent="0.35">
      <c r="H116" s="215"/>
      <c r="I116" s="597">
        <f>N106+F57*U96-V99*(U96^2)/2</f>
        <v>1.6395339132584059</v>
      </c>
      <c r="J116" s="598"/>
      <c r="L116" s="708">
        <f>F57/V99</f>
        <v>0.62877477404881055</v>
      </c>
      <c r="M116" s="713"/>
      <c r="N116" s="215"/>
      <c r="Q116" s="215"/>
    </row>
    <row r="118" spans="2:21" ht="15" thickBot="1" x14ac:dyDescent="0.35"/>
    <row r="119" spans="2:21" ht="15" thickBot="1" x14ac:dyDescent="0.35">
      <c r="G119" s="609" t="s">
        <v>453</v>
      </c>
      <c r="H119" s="610"/>
      <c r="I119" s="610"/>
      <c r="J119" s="610"/>
      <c r="K119" s="610"/>
      <c r="L119" s="610"/>
      <c r="M119" s="610"/>
      <c r="N119" s="610"/>
      <c r="O119" s="610"/>
      <c r="P119" s="611"/>
    </row>
    <row r="120" spans="2:21" ht="15" thickBot="1" x14ac:dyDescent="0.35">
      <c r="I120" s="707" t="s">
        <v>494</v>
      </c>
      <c r="J120" s="707"/>
      <c r="K120" s="707"/>
      <c r="L120" s="707"/>
      <c r="M120" s="707"/>
      <c r="N120" s="707"/>
    </row>
    <row r="121" spans="2:21" ht="15" thickBot="1" x14ac:dyDescent="0.35">
      <c r="K121" s="591">
        <f>F57*N103*N103/2</f>
        <v>0.15823972946484691</v>
      </c>
      <c r="L121" s="592"/>
    </row>
    <row r="122" spans="2:21" ht="15" thickBot="1" x14ac:dyDescent="0.35">
      <c r="B122" s="190"/>
      <c r="C122" s="190"/>
    </row>
    <row r="123" spans="2:21" ht="15" thickBot="1" x14ac:dyDescent="0.35">
      <c r="B123" s="603" t="s">
        <v>475</v>
      </c>
      <c r="C123" s="604"/>
      <c r="D123" s="604"/>
      <c r="E123" s="604"/>
      <c r="F123" s="604"/>
      <c r="G123" s="604"/>
      <c r="H123" s="605"/>
      <c r="K123" s="439"/>
      <c r="N123" s="603" t="s">
        <v>478</v>
      </c>
      <c r="O123" s="604"/>
      <c r="P123" s="604"/>
      <c r="Q123" s="604"/>
      <c r="R123" s="604"/>
      <c r="S123" s="604"/>
      <c r="T123" s="604"/>
      <c r="U123" s="605"/>
    </row>
    <row r="124" spans="2:21" x14ac:dyDescent="0.3">
      <c r="L124" s="439"/>
    </row>
    <row r="125" spans="2:21" ht="15" thickBot="1" x14ac:dyDescent="0.35">
      <c r="B125" s="49" t="s">
        <v>495</v>
      </c>
      <c r="K125" s="439"/>
      <c r="N125" s="49" t="s">
        <v>495</v>
      </c>
    </row>
    <row r="126" spans="2:21" ht="15" thickBot="1" x14ac:dyDescent="0.35">
      <c r="B126" s="591">
        <f>V99*(H103-T4)</f>
        <v>18.934764388232765</v>
      </c>
      <c r="C126" s="592"/>
      <c r="L126" s="439"/>
      <c r="N126" s="591">
        <f>AH99*(H103-T4)</f>
        <v>8.2425414924441807</v>
      </c>
      <c r="O126" s="592"/>
    </row>
    <row r="127" spans="2:21" x14ac:dyDescent="0.3">
      <c r="K127" s="439"/>
    </row>
    <row r="128" spans="2:21" ht="15" thickBot="1" x14ac:dyDescent="0.35">
      <c r="B128" s="49" t="s">
        <v>496</v>
      </c>
      <c r="L128" s="439"/>
      <c r="N128" s="49" t="s">
        <v>496</v>
      </c>
    </row>
    <row r="129" spans="2:20" ht="15" thickBot="1" x14ac:dyDescent="0.35">
      <c r="B129" s="591">
        <f>F57*((G33-T4)^2)/2-B126*(((H103-T4)/2)*((H103-T4)/3))</f>
        <v>4.2285433450334642</v>
      </c>
      <c r="C129" s="592"/>
      <c r="K129" s="439"/>
      <c r="N129" s="591">
        <f>F57*((G33-T4)^2)/2-N126*(((H103-T4)/2)*((H103-T4)/3))</f>
        <v>8.4944321949474286</v>
      </c>
      <c r="O129" s="592"/>
    </row>
    <row r="130" spans="2:20" ht="15" thickBot="1" x14ac:dyDescent="0.35">
      <c r="H130" s="232"/>
      <c r="J130" s="445"/>
      <c r="L130" s="439"/>
      <c r="T130" s="232"/>
    </row>
    <row r="131" spans="2:20" ht="15" thickBot="1" x14ac:dyDescent="0.35">
      <c r="B131" s="429" t="s">
        <v>477</v>
      </c>
      <c r="C131" s="430" t="s">
        <v>214</v>
      </c>
      <c r="D131" s="597">
        <f>(-F57-SQRT(F57^2-4*(-V99/2)*N106))/(2*(-V99/2))</f>
        <v>1.4352417969442417</v>
      </c>
      <c r="E131" s="598"/>
      <c r="F131" s="451"/>
      <c r="G131" s="451"/>
      <c r="K131" s="439"/>
      <c r="N131" s="429" t="s">
        <v>477</v>
      </c>
      <c r="O131" s="430" t="s">
        <v>214</v>
      </c>
      <c r="P131" s="597">
        <f>(-F57-SQRT(F57^2-4*(-AH99/2)*N106))/(2*(-AH99/2))</f>
        <v>3.0791110594683384</v>
      </c>
      <c r="Q131" s="598"/>
      <c r="R131" s="451"/>
      <c r="S131" s="451"/>
    </row>
    <row r="132" spans="2:20" x14ac:dyDescent="0.3">
      <c r="L132" s="439"/>
    </row>
    <row r="133" spans="2:20" ht="15" thickBot="1" x14ac:dyDescent="0.35">
      <c r="B133" s="49" t="s">
        <v>497</v>
      </c>
      <c r="K133" s="439"/>
      <c r="N133" s="49" t="s">
        <v>497</v>
      </c>
    </row>
    <row r="134" spans="2:20" ht="15" thickBot="1" x14ac:dyDescent="0.35">
      <c r="B134" s="591">
        <f>V99*D131</f>
        <v>17.564613090900817</v>
      </c>
      <c r="C134" s="592"/>
      <c r="L134" s="439"/>
      <c r="N134" s="591">
        <f>P131*AH99</f>
        <v>16.40363527978165</v>
      </c>
      <c r="O134" s="592"/>
    </row>
    <row r="135" spans="2:20" x14ac:dyDescent="0.3">
      <c r="K135" s="439"/>
    </row>
    <row r="136" spans="2:20" ht="15" thickBot="1" x14ac:dyDescent="0.35">
      <c r="B136" s="49" t="s">
        <v>455</v>
      </c>
      <c r="L136" s="439"/>
      <c r="N136" s="49" t="s">
        <v>455</v>
      </c>
    </row>
    <row r="137" spans="2:20" ht="15" thickBot="1" x14ac:dyDescent="0.35">
      <c r="B137" s="597">
        <f>F57*((D131+N103)^2)/2-B134*(D131/2)*(D131/3)</f>
        <v>4.293261486337121</v>
      </c>
      <c r="C137" s="598"/>
      <c r="K137" s="439"/>
      <c r="N137" s="591">
        <f>F57*((P131+N103)^2)/2-N134*(P131/2)*(P131/3)</f>
        <v>15.520925928383058</v>
      </c>
      <c r="O137" s="592"/>
    </row>
    <row r="138" spans="2:20" x14ac:dyDescent="0.3">
      <c r="L138" s="439"/>
    </row>
    <row r="139" spans="2:20" ht="15" thickBot="1" x14ac:dyDescent="0.35">
      <c r="B139" s="49" t="s">
        <v>456</v>
      </c>
      <c r="K139" s="439"/>
      <c r="N139" s="49" t="s">
        <v>456</v>
      </c>
    </row>
    <row r="140" spans="2:20" ht="15" thickBot="1" x14ac:dyDescent="0.35">
      <c r="B140" s="591">
        <f>0.002*100*100*X39</f>
        <v>6</v>
      </c>
      <c r="C140" s="592"/>
      <c r="D140" t="s">
        <v>457</v>
      </c>
      <c r="L140" s="439"/>
      <c r="N140" s="591">
        <f>0.002*100*100*X39</f>
        <v>6</v>
      </c>
      <c r="O140" s="592"/>
      <c r="P140" t="s">
        <v>457</v>
      </c>
    </row>
    <row r="141" spans="2:20" x14ac:dyDescent="0.3">
      <c r="K141" s="439"/>
    </row>
    <row r="142" spans="2:20" ht="15" thickBot="1" x14ac:dyDescent="0.35">
      <c r="B142" s="49" t="s">
        <v>458</v>
      </c>
      <c r="L142" s="439"/>
      <c r="N142" s="49" t="s">
        <v>458</v>
      </c>
    </row>
    <row r="143" spans="2:20" ht="15" thickBot="1" x14ac:dyDescent="0.35">
      <c r="B143" s="143" t="s">
        <v>459</v>
      </c>
      <c r="C143" s="599">
        <v>5</v>
      </c>
      <c r="D143" s="600"/>
      <c r="E143" s="143" t="s">
        <v>460</v>
      </c>
      <c r="F143" s="601">
        <v>20</v>
      </c>
      <c r="G143" s="602"/>
      <c r="H143" t="s">
        <v>120</v>
      </c>
      <c r="K143" s="439"/>
      <c r="N143" s="143" t="s">
        <v>459</v>
      </c>
      <c r="O143" s="599">
        <v>5</v>
      </c>
      <c r="P143" s="600"/>
      <c r="Q143" t="s">
        <v>460</v>
      </c>
      <c r="R143" s="601">
        <v>20</v>
      </c>
      <c r="S143" s="602"/>
      <c r="T143" t="s">
        <v>120</v>
      </c>
    </row>
    <row r="144" spans="2:20" ht="15" thickBot="1" x14ac:dyDescent="0.35">
      <c r="D144" s="593">
        <f>(PI()/4)*(((C143/8)*2.54)^2)*(100/F143)</f>
        <v>9.8966304511230021</v>
      </c>
      <c r="E144" s="594"/>
      <c r="F144" s="595"/>
      <c r="L144" s="439"/>
      <c r="P144" s="593">
        <f>(PI()/4)*(((O143/8)*2.54)^2)*(100/R143)</f>
        <v>9.8966304511230021</v>
      </c>
      <c r="Q144" s="594"/>
      <c r="R144" s="595"/>
    </row>
    <row r="145" spans="2:21" x14ac:dyDescent="0.3">
      <c r="C145" s="596" t="str">
        <f>IF(D144&gt;B140,"Cumple","No Cumple")</f>
        <v>Cumple</v>
      </c>
      <c r="D145" s="596"/>
      <c r="E145" s="596"/>
      <c r="F145" s="596"/>
      <c r="G145" s="596"/>
      <c r="K145" s="439"/>
      <c r="O145" s="596" t="str">
        <f>IF(P144&gt;N140,"Cumple","No Cumple")</f>
        <v>Cumple</v>
      </c>
      <c r="P145" s="596"/>
      <c r="Q145" s="596"/>
      <c r="R145" s="596"/>
      <c r="S145" s="596"/>
    </row>
    <row r="146" spans="2:21" x14ac:dyDescent="0.3">
      <c r="L146" s="439"/>
    </row>
    <row r="147" spans="2:21" ht="15" thickBot="1" x14ac:dyDescent="0.35">
      <c r="B147" s="49" t="s">
        <v>461</v>
      </c>
      <c r="K147" s="439"/>
      <c r="N147" s="49" t="s">
        <v>461</v>
      </c>
    </row>
    <row r="148" spans="2:21" ht="15" thickBot="1" x14ac:dyDescent="0.35">
      <c r="B148" s="597">
        <f>0.9*D144*E21*(100*X39-(D144*E21)/(100*1.7*E20))/(1000*100)</f>
        <v>7.3628684695908255</v>
      </c>
      <c r="C148" s="598"/>
      <c r="D148" s="143" t="str">
        <f>IF(B148&gt;E148,"&gt;","&lt;")</f>
        <v>&gt;</v>
      </c>
      <c r="E148" s="597">
        <f>B137</f>
        <v>4.293261486337121</v>
      </c>
      <c r="F148" s="598"/>
      <c r="L148" s="439"/>
      <c r="N148" s="597">
        <f>0.9*P144*E21*(100*X39-(P144*E21)/(100*1.7*E20))/(1000*100)</f>
        <v>7.3628684695908255</v>
      </c>
      <c r="O148" s="598"/>
      <c r="P148" s="143" t="str">
        <f>IF(N148&gt;Q148,"&gt;","&lt;")</f>
        <v>&lt;</v>
      </c>
      <c r="Q148" s="597">
        <f>N137</f>
        <v>15.520925928383058</v>
      </c>
      <c r="R148" s="598"/>
    </row>
    <row r="149" spans="2:21" x14ac:dyDescent="0.3">
      <c r="B149" s="589" t="str">
        <f>IF(D148="&gt;","El Acero Elegido es Suficiente","NO CUMPLE")</f>
        <v>El Acero Elegido es Suficiente</v>
      </c>
      <c r="C149" s="589"/>
      <c r="D149" s="589"/>
      <c r="E149" s="589"/>
      <c r="F149" s="589"/>
      <c r="K149" s="439"/>
      <c r="N149" s="589" t="str">
        <f>IF(P148="&gt;","El Acero Elegido es Suficiente","NO CUMPLE")</f>
        <v>NO CUMPLE</v>
      </c>
      <c r="O149" s="589"/>
      <c r="P149" s="589"/>
      <c r="Q149" s="589"/>
      <c r="R149" s="589"/>
    </row>
    <row r="150" spans="2:21" x14ac:dyDescent="0.3">
      <c r="B150" s="589"/>
      <c r="C150" s="589"/>
      <c r="D150" s="589"/>
      <c r="E150" s="589"/>
      <c r="F150" s="589"/>
      <c r="L150" s="439"/>
      <c r="N150" s="589"/>
      <c r="O150" s="589"/>
      <c r="P150" s="589"/>
      <c r="Q150" s="589"/>
      <c r="R150" s="589"/>
    </row>
    <row r="151" spans="2:21" x14ac:dyDescent="0.3">
      <c r="B151" s="441"/>
      <c r="C151" s="441"/>
      <c r="D151" s="441"/>
      <c r="E151" s="441"/>
      <c r="F151" s="441"/>
      <c r="K151" s="439"/>
      <c r="L151" s="145"/>
      <c r="N151" s="441"/>
      <c r="O151" s="441"/>
      <c r="P151" s="441"/>
      <c r="Q151" s="441"/>
      <c r="R151" s="441"/>
    </row>
    <row r="152" spans="2:21" x14ac:dyDescent="0.3">
      <c r="B152" s="590" t="s">
        <v>50</v>
      </c>
      <c r="C152" s="590"/>
      <c r="D152" s="590"/>
      <c r="E152" s="590"/>
      <c r="F152" s="590"/>
      <c r="G152" s="590"/>
      <c r="H152" s="590"/>
      <c r="I152" s="590"/>
      <c r="J152" s="590"/>
      <c r="L152" s="439"/>
      <c r="M152" s="590" t="s">
        <v>50</v>
      </c>
      <c r="N152" s="590"/>
      <c r="O152" s="590"/>
      <c r="P152" s="590"/>
      <c r="Q152" s="590"/>
      <c r="R152" s="590"/>
      <c r="S152" s="590"/>
      <c r="T152" s="590"/>
      <c r="U152" s="590"/>
    </row>
    <row r="153" spans="2:21" x14ac:dyDescent="0.3">
      <c r="K153" s="439"/>
    </row>
    <row r="154" spans="2:21" ht="15" thickBot="1" x14ac:dyDescent="0.35">
      <c r="B154" s="49" t="s">
        <v>462</v>
      </c>
      <c r="L154" s="439"/>
      <c r="N154" s="49" t="s">
        <v>462</v>
      </c>
    </row>
    <row r="155" spans="2:21" ht="15" thickBot="1" x14ac:dyDescent="0.35">
      <c r="B155" s="143" t="str">
        <f>B143</f>
        <v>#</v>
      </c>
      <c r="C155" s="591">
        <f t="shared" ref="C155:H155" si="0">C143</f>
        <v>5</v>
      </c>
      <c r="D155" s="592"/>
      <c r="E155" s="143" t="str">
        <f t="shared" si="0"/>
        <v>@</v>
      </c>
      <c r="F155" s="591">
        <f t="shared" si="0"/>
        <v>20</v>
      </c>
      <c r="G155" s="592"/>
      <c r="H155" t="str">
        <f t="shared" si="0"/>
        <v>cm</v>
      </c>
      <c r="K155" s="439"/>
      <c r="N155" s="143" t="str">
        <f>N143</f>
        <v>#</v>
      </c>
      <c r="O155" s="591">
        <f t="shared" ref="O155" si="1">O143</f>
        <v>5</v>
      </c>
      <c r="P155" s="592"/>
      <c r="Q155" s="143" t="str">
        <f t="shared" ref="Q155:R155" si="2">Q143</f>
        <v>@</v>
      </c>
      <c r="R155" s="591">
        <f t="shared" si="2"/>
        <v>20</v>
      </c>
      <c r="S155" s="592"/>
      <c r="T155" t="str">
        <f t="shared" ref="T155" si="3">T143</f>
        <v>cm</v>
      </c>
    </row>
    <row r="156" spans="2:21" x14ac:dyDescent="0.3">
      <c r="L156" s="439"/>
    </row>
    <row r="157" spans="2:21" ht="15" thickBot="1" x14ac:dyDescent="0.35">
      <c r="B157" s="49" t="s">
        <v>498</v>
      </c>
      <c r="K157" s="439"/>
      <c r="N157" s="49" t="s">
        <v>498</v>
      </c>
    </row>
    <row r="158" spans="2:21" ht="15" thickBot="1" x14ac:dyDescent="0.35">
      <c r="B158" t="str">
        <f>B155</f>
        <v>#</v>
      </c>
      <c r="C158" s="591">
        <v>4</v>
      </c>
      <c r="D158" s="592"/>
      <c r="E158" t="str">
        <f t="shared" ref="E158:H158" si="4">E155</f>
        <v>@</v>
      </c>
      <c r="F158" s="591">
        <v>25</v>
      </c>
      <c r="G158" s="592"/>
      <c r="H158" t="str">
        <f t="shared" si="4"/>
        <v>cm</v>
      </c>
      <c r="L158" s="439"/>
      <c r="N158" t="str">
        <f>N155</f>
        <v>#</v>
      </c>
      <c r="O158" s="591">
        <v>4</v>
      </c>
      <c r="P158" s="592"/>
      <c r="Q158" t="str">
        <f t="shared" ref="Q158" si="5">Q155</f>
        <v>@</v>
      </c>
      <c r="R158" s="591">
        <v>25</v>
      </c>
      <c r="S158" s="592"/>
      <c r="T158" t="str">
        <f t="shared" ref="T158" si="6">T155</f>
        <v>cm</v>
      </c>
    </row>
    <row r="159" spans="2:21" x14ac:dyDescent="0.3">
      <c r="K159" s="439"/>
    </row>
    <row r="160" spans="2:21" ht="15" thickBot="1" x14ac:dyDescent="0.35">
      <c r="L160" s="442"/>
    </row>
    <row r="161" spans="2:21" ht="15" thickBot="1" x14ac:dyDescent="0.35">
      <c r="G161" s="609" t="s">
        <v>454</v>
      </c>
      <c r="H161" s="610"/>
      <c r="I161" s="610"/>
      <c r="J161" s="610"/>
      <c r="K161" s="610"/>
      <c r="L161" s="610"/>
      <c r="M161" s="610"/>
      <c r="N161" s="610"/>
      <c r="O161" s="610"/>
      <c r="P161" s="611"/>
    </row>
    <row r="162" spans="2:21" ht="15" thickBot="1" x14ac:dyDescent="0.35"/>
    <row r="163" spans="2:21" ht="15" thickBot="1" x14ac:dyDescent="0.35">
      <c r="B163" s="603" t="s">
        <v>475</v>
      </c>
      <c r="C163" s="604"/>
      <c r="D163" s="604"/>
      <c r="E163" s="604"/>
      <c r="F163" s="604"/>
      <c r="G163" s="604"/>
      <c r="H163" s="605"/>
      <c r="K163" s="439"/>
      <c r="N163" s="603" t="s">
        <v>478</v>
      </c>
      <c r="O163" s="604"/>
      <c r="P163" s="604"/>
      <c r="Q163" s="604"/>
      <c r="R163" s="604"/>
      <c r="S163" s="604"/>
      <c r="T163" s="604"/>
      <c r="U163" s="605"/>
    </row>
    <row r="164" spans="2:21" x14ac:dyDescent="0.3">
      <c r="L164" s="439"/>
    </row>
    <row r="165" spans="2:21" ht="15" thickBot="1" x14ac:dyDescent="0.35">
      <c r="B165" s="49" t="s">
        <v>499</v>
      </c>
      <c r="K165" s="439"/>
      <c r="N165" s="49" t="s">
        <v>499</v>
      </c>
    </row>
    <row r="166" spans="2:21" ht="15" thickBot="1" x14ac:dyDescent="0.35">
      <c r="B166" s="591">
        <f>V99*(H103-1)</f>
        <v>15.875242792586397</v>
      </c>
      <c r="C166" s="592"/>
      <c r="L166" s="439"/>
      <c r="N166" s="591">
        <f>AH99*(H103-1)</f>
        <v>6.9106931957304178</v>
      </c>
      <c r="O166" s="592"/>
    </row>
    <row r="167" spans="2:21" x14ac:dyDescent="0.3">
      <c r="K167" s="439"/>
    </row>
    <row r="168" spans="2:21" ht="15" thickBot="1" x14ac:dyDescent="0.35">
      <c r="B168" s="49" t="s">
        <v>500</v>
      </c>
      <c r="L168" s="439"/>
      <c r="N168" s="49" t="s">
        <v>500</v>
      </c>
    </row>
    <row r="169" spans="2:21" ht="15" thickBot="1" x14ac:dyDescent="0.35">
      <c r="B169" s="591">
        <f>(AA52+B166)/2</f>
        <v>21.994285983879131</v>
      </c>
      <c r="C169" s="592"/>
      <c r="K169" s="439"/>
      <c r="N169" s="591">
        <f>(AA52+N166)/2</f>
        <v>17.51201118545114</v>
      </c>
      <c r="O169" s="592"/>
    </row>
    <row r="170" spans="2:21" x14ac:dyDescent="0.3">
      <c r="L170" s="439"/>
    </row>
    <row r="171" spans="2:21" ht="15" thickBot="1" x14ac:dyDescent="0.35">
      <c r="B171" s="49" t="s">
        <v>501</v>
      </c>
      <c r="K171" s="439"/>
      <c r="N171" s="49" t="s">
        <v>501</v>
      </c>
    </row>
    <row r="172" spans="2:21" ht="15" thickBot="1" x14ac:dyDescent="0.35">
      <c r="B172" s="591">
        <f>(B169*((G33-T4)/2)^2)/2</f>
        <v>8.4196876032037302</v>
      </c>
      <c r="C172" s="592"/>
      <c r="L172" s="439"/>
      <c r="N172" s="591">
        <f>(N169*((G33-T4)/2)^2)/2</f>
        <v>6.7038167819305148</v>
      </c>
      <c r="O172" s="592"/>
    </row>
    <row r="173" spans="2:21" x14ac:dyDescent="0.3">
      <c r="K173" s="439"/>
    </row>
    <row r="174" spans="2:21" ht="15" thickBot="1" x14ac:dyDescent="0.35">
      <c r="B174" s="49" t="s">
        <v>502</v>
      </c>
      <c r="L174" s="439"/>
      <c r="N174" s="49" t="s">
        <v>502</v>
      </c>
    </row>
    <row r="175" spans="2:21" ht="15" thickBot="1" x14ac:dyDescent="0.35">
      <c r="B175" s="591">
        <f>T4*100-C155/8*2.54/2-C158/8*2.54/2</f>
        <v>73.571249999999992</v>
      </c>
      <c r="C175" s="592"/>
      <c r="K175" s="439"/>
      <c r="N175" s="591">
        <f>T4*100-O155/8*2.54/2-O158/8*2.54/2</f>
        <v>73.571249999999992</v>
      </c>
      <c r="O175" s="592"/>
    </row>
    <row r="176" spans="2:21" x14ac:dyDescent="0.3">
      <c r="L176" s="439"/>
    </row>
    <row r="177" spans="2:21" ht="15" thickBot="1" x14ac:dyDescent="0.35">
      <c r="B177" s="49" t="s">
        <v>503</v>
      </c>
      <c r="K177" s="439"/>
      <c r="N177" s="49" t="s">
        <v>503</v>
      </c>
    </row>
    <row r="178" spans="2:21" ht="15" thickBot="1" x14ac:dyDescent="0.35">
      <c r="B178" s="591">
        <f>(-T4*100+SQRT((T4*100)^2-4*(E21/(1.7*100*E20))*((-B172*100*1000)/(0.9*E21))))/(2*(E21/(1.7*100*E20)))</f>
        <v>4.4236595174372439</v>
      </c>
      <c r="C178" s="592"/>
      <c r="L178" s="439"/>
      <c r="N178" s="591">
        <f>(-T4*100+SQRT((T4*100)^2-4*(E21/(1.7*100*E20))*((-N172*100*1000)/(0.9*E21))))/(2*(E21/(1.7*100*E20)))</f>
        <v>3.524626731013683</v>
      </c>
      <c r="O178" s="592"/>
    </row>
    <row r="179" spans="2:21" x14ac:dyDescent="0.3">
      <c r="K179" s="439"/>
    </row>
    <row r="180" spans="2:21" x14ac:dyDescent="0.3">
      <c r="B180" s="590" t="s">
        <v>50</v>
      </c>
      <c r="C180" s="590"/>
      <c r="D180" s="590"/>
      <c r="E180" s="590"/>
      <c r="F180" s="590"/>
      <c r="G180" s="590"/>
      <c r="H180" s="590"/>
      <c r="I180" s="590"/>
      <c r="J180" s="590"/>
      <c r="L180" s="439"/>
      <c r="M180" s="590" t="s">
        <v>50</v>
      </c>
      <c r="N180" s="590"/>
      <c r="O180" s="590"/>
      <c r="P180" s="590"/>
      <c r="Q180" s="590"/>
      <c r="R180" s="590"/>
      <c r="S180" s="590"/>
      <c r="T180" s="590"/>
      <c r="U180" s="590"/>
    </row>
    <row r="181" spans="2:21" x14ac:dyDescent="0.3">
      <c r="B181" s="455"/>
      <c r="C181" s="455"/>
      <c r="D181" s="455"/>
      <c r="E181" s="455"/>
      <c r="F181" s="455"/>
      <c r="G181" s="455"/>
      <c r="H181" s="455"/>
      <c r="I181" s="455"/>
      <c r="J181" s="455"/>
      <c r="L181" s="439"/>
      <c r="M181" s="455"/>
      <c r="N181" s="455"/>
      <c r="O181" s="455"/>
      <c r="P181" s="455"/>
      <c r="Q181" s="455"/>
      <c r="R181" s="455"/>
      <c r="S181" s="455"/>
      <c r="T181" s="455"/>
      <c r="U181" s="455"/>
    </row>
    <row r="182" spans="2:21" ht="15" thickBot="1" x14ac:dyDescent="0.35">
      <c r="B182" s="49" t="s">
        <v>504</v>
      </c>
      <c r="K182" s="439"/>
      <c r="N182" s="49" t="s">
        <v>504</v>
      </c>
    </row>
    <row r="183" spans="2:21" ht="15" thickBot="1" x14ac:dyDescent="0.35">
      <c r="B183" s="591">
        <f>ROUNDUP((B178/(PI()/4*((E183/8*2.54)^2))),0)</f>
        <v>4</v>
      </c>
      <c r="C183" s="592"/>
      <c r="D183" s="143" t="s">
        <v>459</v>
      </c>
      <c r="E183" s="599">
        <v>4</v>
      </c>
      <c r="F183" s="602"/>
      <c r="G183" s="451"/>
      <c r="L183" s="439"/>
      <c r="N183" s="591">
        <f>ROUNDUP((N178/(PI()/4*((Q183/8*2.54)^2))),0)</f>
        <v>3</v>
      </c>
      <c r="O183" s="592"/>
      <c r="P183" s="143" t="s">
        <v>459</v>
      </c>
      <c r="Q183" s="599">
        <v>4</v>
      </c>
      <c r="R183" s="602"/>
      <c r="S183" s="451"/>
    </row>
    <row r="184" spans="2:21" x14ac:dyDescent="0.3">
      <c r="K184" s="439"/>
    </row>
    <row r="185" spans="2:21" ht="15" thickBot="1" x14ac:dyDescent="0.35">
      <c r="B185" s="49" t="s">
        <v>505</v>
      </c>
      <c r="L185" s="439"/>
      <c r="N185" s="49" t="s">
        <v>505</v>
      </c>
    </row>
    <row r="186" spans="2:21" ht="15" thickBot="1" x14ac:dyDescent="0.35">
      <c r="B186" s="591">
        <v>4</v>
      </c>
      <c r="C186" s="592"/>
      <c r="D186" s="143" t="s">
        <v>460</v>
      </c>
      <c r="E186" s="705">
        <v>25</v>
      </c>
      <c r="F186" s="706"/>
      <c r="G186" s="451"/>
      <c r="K186" s="439"/>
      <c r="N186" s="591">
        <v>4</v>
      </c>
      <c r="O186" s="592"/>
      <c r="P186" s="143" t="s">
        <v>460</v>
      </c>
      <c r="Q186" s="705">
        <v>25</v>
      </c>
      <c r="R186" s="706"/>
      <c r="S186" s="451"/>
    </row>
    <row r="187" spans="2:21" x14ac:dyDescent="0.3">
      <c r="L187" s="439"/>
    </row>
    <row r="188" spans="2:21" x14ac:dyDescent="0.3">
      <c r="K188" s="439"/>
    </row>
  </sheetData>
  <mergeCells count="219">
    <mergeCell ref="S11:X11"/>
    <mergeCell ref="H12:J12"/>
    <mergeCell ref="K12:M12"/>
    <mergeCell ref="T12:W12"/>
    <mergeCell ref="E1:U1"/>
    <mergeCell ref="E3:G3"/>
    <mergeCell ref="F4:F10"/>
    <mergeCell ref="T4:W4"/>
    <mergeCell ref="T6:W9"/>
    <mergeCell ref="H7:K7"/>
    <mergeCell ref="Q7:Q8"/>
    <mergeCell ref="B15:G15"/>
    <mergeCell ref="B16:C16"/>
    <mergeCell ref="E16:G16"/>
    <mergeCell ref="H16:J16"/>
    <mergeCell ref="B17:C17"/>
    <mergeCell ref="E17:G17"/>
    <mergeCell ref="H17:J17"/>
    <mergeCell ref="C8:D8"/>
    <mergeCell ref="G10:L10"/>
    <mergeCell ref="B20:C20"/>
    <mergeCell ref="E20:G20"/>
    <mergeCell ref="H20:J20"/>
    <mergeCell ref="B21:C21"/>
    <mergeCell ref="E21:G21"/>
    <mergeCell ref="H21:J21"/>
    <mergeCell ref="B18:C18"/>
    <mergeCell ref="E18:G18"/>
    <mergeCell ref="H18:J18"/>
    <mergeCell ref="B19:C19"/>
    <mergeCell ref="E19:G19"/>
    <mergeCell ref="H19:J19"/>
    <mergeCell ref="B30:C30"/>
    <mergeCell ref="E30:F30"/>
    <mergeCell ref="J30:M30"/>
    <mergeCell ref="O30:P30"/>
    <mergeCell ref="S30:T30"/>
    <mergeCell ref="S31:AA33"/>
    <mergeCell ref="G33:L33"/>
    <mergeCell ref="B23:G23"/>
    <mergeCell ref="D25:E25"/>
    <mergeCell ref="F25:G25"/>
    <mergeCell ref="D26:E26"/>
    <mergeCell ref="F26:G26"/>
    <mergeCell ref="B28:L28"/>
    <mergeCell ref="F35:M42"/>
    <mergeCell ref="C36:C41"/>
    <mergeCell ref="O37:AA37"/>
    <mergeCell ref="O38:T38"/>
    <mergeCell ref="W38:AA38"/>
    <mergeCell ref="P39:S39"/>
    <mergeCell ref="X39:Z39"/>
    <mergeCell ref="O42:R42"/>
    <mergeCell ref="T42:W42"/>
    <mergeCell ref="B46:D46"/>
    <mergeCell ref="F46:G46"/>
    <mergeCell ref="H46:I46"/>
    <mergeCell ref="F48:H48"/>
    <mergeCell ref="I48:J48"/>
    <mergeCell ref="B50:G50"/>
    <mergeCell ref="J50:M50"/>
    <mergeCell ref="P43:Q43"/>
    <mergeCell ref="U43:V43"/>
    <mergeCell ref="B44:D44"/>
    <mergeCell ref="F44:G44"/>
    <mergeCell ref="H44:I44"/>
    <mergeCell ref="B45:D45"/>
    <mergeCell ref="F45:G45"/>
    <mergeCell ref="H45:I45"/>
    <mergeCell ref="R60:S60"/>
    <mergeCell ref="P50:T50"/>
    <mergeCell ref="X50:AB50"/>
    <mergeCell ref="D52:E52"/>
    <mergeCell ref="L52:M52"/>
    <mergeCell ref="P52:Q52"/>
    <mergeCell ref="S52:T52"/>
    <mergeCell ref="U52:W52"/>
    <mergeCell ref="X52:Y52"/>
    <mergeCell ref="AA52:AB52"/>
    <mergeCell ref="B61:B64"/>
    <mergeCell ref="J62:P62"/>
    <mergeCell ref="K63:L63"/>
    <mergeCell ref="M63:N63"/>
    <mergeCell ref="J65:Q65"/>
    <mergeCell ref="D66:E66"/>
    <mergeCell ref="K66:L66"/>
    <mergeCell ref="M66:N66"/>
    <mergeCell ref="B55:J55"/>
    <mergeCell ref="C57:D57"/>
    <mergeCell ref="F57:G57"/>
    <mergeCell ref="C60:H60"/>
    <mergeCell ref="L60:M60"/>
    <mergeCell ref="C74:J74"/>
    <mergeCell ref="T74:AC74"/>
    <mergeCell ref="B76:D76"/>
    <mergeCell ref="F76:G76"/>
    <mergeCell ref="T76:V76"/>
    <mergeCell ref="X76:Y76"/>
    <mergeCell ref="L69:U69"/>
    <mergeCell ref="D71:E71"/>
    <mergeCell ref="G71:H71"/>
    <mergeCell ref="I71:J71"/>
    <mergeCell ref="G72:H72"/>
    <mergeCell ref="I72:J72"/>
    <mergeCell ref="AB79:AE79"/>
    <mergeCell ref="AG79:AH79"/>
    <mergeCell ref="B80:C80"/>
    <mergeCell ref="E80:F80"/>
    <mergeCell ref="T80:U80"/>
    <mergeCell ref="W80:X80"/>
    <mergeCell ref="B78:C78"/>
    <mergeCell ref="E78:F78"/>
    <mergeCell ref="T78:U78"/>
    <mergeCell ref="W78:X78"/>
    <mergeCell ref="B79:C79"/>
    <mergeCell ref="E79:F79"/>
    <mergeCell ref="J79:M79"/>
    <mergeCell ref="O79:P79"/>
    <mergeCell ref="T79:U79"/>
    <mergeCell ref="W79:X79"/>
    <mergeCell ref="G87:I87"/>
    <mergeCell ref="H88:H94"/>
    <mergeCell ref="J91:M91"/>
    <mergeCell ref="E92:F92"/>
    <mergeCell ref="I94:P94"/>
    <mergeCell ref="F96:G96"/>
    <mergeCell ref="K81:O81"/>
    <mergeCell ref="AC81:AG81"/>
    <mergeCell ref="K82:O82"/>
    <mergeCell ref="AC82:AG82"/>
    <mergeCell ref="J83:P83"/>
    <mergeCell ref="L85:U85"/>
    <mergeCell ref="AM99:AN99"/>
    <mergeCell ref="H100:I100"/>
    <mergeCell ref="T101:U101"/>
    <mergeCell ref="V101:W101"/>
    <mergeCell ref="AF101:AG101"/>
    <mergeCell ref="AH101:AI101"/>
    <mergeCell ref="U96:V96"/>
    <mergeCell ref="S98:Y98"/>
    <mergeCell ref="AE98:AL98"/>
    <mergeCell ref="K99:M99"/>
    <mergeCell ref="T99:U99"/>
    <mergeCell ref="V99:W99"/>
    <mergeCell ref="AA99:AB99"/>
    <mergeCell ref="AF99:AG99"/>
    <mergeCell ref="AH99:AI99"/>
    <mergeCell ref="AJ99:AK99"/>
    <mergeCell ref="G119:P119"/>
    <mergeCell ref="I120:N120"/>
    <mergeCell ref="K121:L121"/>
    <mergeCell ref="B123:H123"/>
    <mergeCell ref="N123:U123"/>
    <mergeCell ref="B126:C126"/>
    <mergeCell ref="N126:O126"/>
    <mergeCell ref="H103:M103"/>
    <mergeCell ref="N103:P103"/>
    <mergeCell ref="N106:O106"/>
    <mergeCell ref="K111:M111"/>
    <mergeCell ref="F113:G113"/>
    <mergeCell ref="I116:J116"/>
    <mergeCell ref="L116:M116"/>
    <mergeCell ref="B137:C137"/>
    <mergeCell ref="N137:O137"/>
    <mergeCell ref="B140:C140"/>
    <mergeCell ref="N140:O140"/>
    <mergeCell ref="C143:D143"/>
    <mergeCell ref="F143:G143"/>
    <mergeCell ref="O143:P143"/>
    <mergeCell ref="B129:C129"/>
    <mergeCell ref="N129:O129"/>
    <mergeCell ref="D131:E131"/>
    <mergeCell ref="P131:Q131"/>
    <mergeCell ref="B134:C134"/>
    <mergeCell ref="N134:O134"/>
    <mergeCell ref="R143:S143"/>
    <mergeCell ref="D144:F144"/>
    <mergeCell ref="P144:R144"/>
    <mergeCell ref="C145:G145"/>
    <mergeCell ref="O145:S145"/>
    <mergeCell ref="B148:C148"/>
    <mergeCell ref="E148:F148"/>
    <mergeCell ref="N148:O148"/>
    <mergeCell ref="Q148:R148"/>
    <mergeCell ref="R158:S158"/>
    <mergeCell ref="G161:P161"/>
    <mergeCell ref="B163:H163"/>
    <mergeCell ref="N163:U163"/>
    <mergeCell ref="B149:F150"/>
    <mergeCell ref="N149:R150"/>
    <mergeCell ref="B152:J152"/>
    <mergeCell ref="M152:U152"/>
    <mergeCell ref="C155:D155"/>
    <mergeCell ref="F155:G155"/>
    <mergeCell ref="O155:P155"/>
    <mergeCell ref="R155:S155"/>
    <mergeCell ref="B166:C166"/>
    <mergeCell ref="N166:O166"/>
    <mergeCell ref="B169:C169"/>
    <mergeCell ref="N169:O169"/>
    <mergeCell ref="B172:C172"/>
    <mergeCell ref="N172:O172"/>
    <mergeCell ref="C158:D158"/>
    <mergeCell ref="F158:G158"/>
    <mergeCell ref="O158:P158"/>
    <mergeCell ref="B183:C183"/>
    <mergeCell ref="E183:F183"/>
    <mergeCell ref="N183:O183"/>
    <mergeCell ref="Q183:R183"/>
    <mergeCell ref="B186:C186"/>
    <mergeCell ref="E186:F186"/>
    <mergeCell ref="N186:O186"/>
    <mergeCell ref="Q186:R186"/>
    <mergeCell ref="B175:C175"/>
    <mergeCell ref="N175:O175"/>
    <mergeCell ref="B178:C178"/>
    <mergeCell ref="N178:O178"/>
    <mergeCell ref="B180:J180"/>
    <mergeCell ref="M180:U18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LOSA NERVURADA</vt:lpstr>
      <vt:lpstr>Hoja1</vt:lpstr>
      <vt:lpstr>CROSS</vt:lpstr>
      <vt:lpstr>VIGAS</vt:lpstr>
      <vt:lpstr>COLUMNA 1</vt:lpstr>
      <vt:lpstr>COLUMNA 2</vt:lpstr>
      <vt:lpstr>ZAPATA 1 CONCENTRICA</vt:lpstr>
      <vt:lpstr>ZAPATA 2 CONCENTRICA</vt:lpstr>
      <vt:lpstr>ZAPATA EXCENTRICA</vt:lpstr>
    </vt:vector>
  </TitlesOfParts>
  <Company>Cua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Juarez</dc:creator>
  <cp:lastModifiedBy>Usuario</cp:lastModifiedBy>
  <cp:lastPrinted>2013-10-08T20:42:51Z</cp:lastPrinted>
  <dcterms:created xsi:type="dcterms:W3CDTF">2012-09-20T02:26:36Z</dcterms:created>
  <dcterms:modified xsi:type="dcterms:W3CDTF">2024-11-11T00:33:12Z</dcterms:modified>
</cp:coreProperties>
</file>