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Etabs\"/>
    </mc:Choice>
  </mc:AlternateContent>
  <xr:revisionPtr revIDLastSave="0" documentId="13_ncr:1_{7D975659-59CF-48C5-8ACB-6F6BCBCF98BE}" xr6:coauthVersionLast="47" xr6:coauthVersionMax="47" xr10:uidLastSave="{00000000-0000-0000-0000-000000000000}"/>
  <bookViews>
    <workbookView xWindow="-90" yWindow="-90" windowWidth="19380" windowHeight="10380" activeTab="2" xr2:uid="{E0DD5B4C-EAE4-43D5-9C44-0D7260654E7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9" i="3" l="1"/>
  <c r="E208" i="3"/>
  <c r="I202" i="3"/>
  <c r="H202" i="3"/>
  <c r="I201" i="3"/>
  <c r="H201" i="3"/>
  <c r="I200" i="3"/>
  <c r="H200" i="3"/>
  <c r="I189" i="3"/>
  <c r="I191" i="3" s="1"/>
  <c r="F194" i="3" s="1"/>
  <c r="I190" i="3"/>
  <c r="I188" i="3"/>
  <c r="H190" i="3"/>
  <c r="H188" i="3"/>
  <c r="H189" i="3"/>
  <c r="B41" i="2"/>
  <c r="B54" i="2"/>
  <c r="B178" i="3"/>
  <c r="C169" i="3"/>
  <c r="B173" i="3" s="1"/>
  <c r="B174" i="3" s="1"/>
  <c r="B59" i="3"/>
  <c r="B60" i="3" s="1"/>
  <c r="B61" i="3" s="1"/>
  <c r="C33" i="3"/>
  <c r="C52" i="3" s="1"/>
  <c r="C32" i="3"/>
  <c r="C51" i="3" s="1"/>
  <c r="C12" i="3"/>
  <c r="B5" i="3"/>
  <c r="B7" i="3" s="1"/>
  <c r="B48" i="2"/>
  <c r="B33" i="2"/>
  <c r="B34" i="2" s="1"/>
  <c r="B29" i="2"/>
  <c r="B22" i="2"/>
  <c r="C14" i="2"/>
  <c r="C8" i="2"/>
  <c r="B74" i="1"/>
  <c r="A75" i="1"/>
  <c r="B72" i="1"/>
  <c r="B70" i="1"/>
  <c r="B69" i="1"/>
  <c r="B71" i="1" s="1"/>
  <c r="B68" i="1"/>
  <c r="B66" i="1"/>
  <c r="B65" i="1"/>
  <c r="B59" i="1"/>
  <c r="B58" i="1"/>
  <c r="B62" i="1" s="1"/>
  <c r="A57" i="1"/>
  <c r="A51" i="1"/>
  <c r="A52" i="1" s="1"/>
  <c r="A53" i="1" s="1"/>
  <c r="F43" i="1"/>
  <c r="F44" i="1" s="1"/>
  <c r="D43" i="1"/>
  <c r="D44" i="1" s="1"/>
  <c r="B43" i="1"/>
  <c r="B44" i="1" s="1"/>
  <c r="B47" i="1" s="1"/>
  <c r="A32" i="1"/>
  <c r="E30" i="1"/>
  <c r="C30" i="1"/>
  <c r="A30" i="1"/>
  <c r="C27" i="1"/>
  <c r="A27" i="1"/>
  <c r="C3" i="1"/>
  <c r="B18" i="1" s="1"/>
  <c r="C2" i="1"/>
  <c r="E2" i="1" s="1"/>
  <c r="A17" i="1"/>
  <c r="E15" i="1"/>
  <c r="C15" i="1"/>
  <c r="A15" i="1"/>
  <c r="C12" i="1"/>
  <c r="A12" i="1"/>
  <c r="H203" i="3" l="1"/>
  <c r="F205" i="3" s="1"/>
  <c r="I203" i="3"/>
  <c r="F206" i="3" s="1"/>
  <c r="H191" i="3"/>
  <c r="F193" i="3" s="1"/>
  <c r="E196" i="3" s="1"/>
  <c r="C53" i="3"/>
  <c r="C54" i="3"/>
  <c r="B62" i="3"/>
  <c r="C36" i="3"/>
  <c r="C37" i="3" s="1"/>
  <c r="C61" i="3" s="1"/>
  <c r="B33" i="1"/>
  <c r="B34" i="1"/>
  <c r="B35" i="1" s="1"/>
  <c r="F47" i="1"/>
  <c r="F50" i="1" s="1"/>
  <c r="D47" i="1"/>
  <c r="D50" i="1" s="1"/>
  <c r="B51" i="1"/>
  <c r="B52" i="1"/>
  <c r="B50" i="1"/>
  <c r="B53" i="1"/>
  <c r="B19" i="1"/>
  <c r="B20" i="1" s="1"/>
  <c r="C174" i="3" l="1"/>
  <c r="B175" i="3" s="1"/>
  <c r="B180" i="3" s="1"/>
  <c r="C59" i="3"/>
  <c r="C60" i="3"/>
  <c r="C58" i="3"/>
  <c r="C62" i="3"/>
  <c r="B63" i="3"/>
  <c r="C63" i="3" l="1"/>
  <c r="B64" i="3"/>
  <c r="B65" i="3" l="1"/>
  <c r="C64" i="3"/>
  <c r="B66" i="3" l="1"/>
  <c r="C65" i="3"/>
  <c r="B67" i="3" l="1"/>
  <c r="C66" i="3"/>
  <c r="B68" i="3" l="1"/>
  <c r="C67" i="3"/>
  <c r="B69" i="3" l="1"/>
  <c r="C68" i="3"/>
  <c r="B70" i="3" l="1"/>
  <c r="C69" i="3"/>
  <c r="B71" i="3" l="1"/>
  <c r="C70" i="3"/>
  <c r="B72" i="3" l="1"/>
  <c r="C71" i="3"/>
  <c r="B73" i="3" l="1"/>
  <c r="C72" i="3"/>
  <c r="B74" i="3" l="1"/>
  <c r="C73" i="3"/>
  <c r="B75" i="3" l="1"/>
  <c r="C74" i="3"/>
  <c r="B76" i="3" l="1"/>
  <c r="C75" i="3"/>
  <c r="B77" i="3" l="1"/>
  <c r="C76" i="3"/>
  <c r="B78" i="3" l="1"/>
  <c r="C77" i="3"/>
  <c r="B79" i="3" l="1"/>
  <c r="C78" i="3"/>
  <c r="B80" i="3" l="1"/>
  <c r="C79" i="3"/>
  <c r="B81" i="3" l="1"/>
  <c r="C80" i="3"/>
  <c r="B82" i="3" l="1"/>
  <c r="C81" i="3"/>
  <c r="B83" i="3" l="1"/>
  <c r="C82" i="3"/>
  <c r="B84" i="3" l="1"/>
  <c r="C83" i="3"/>
  <c r="B85" i="3" l="1"/>
  <c r="C84" i="3"/>
  <c r="B86" i="3" l="1"/>
  <c r="C85" i="3"/>
  <c r="B87" i="3" l="1"/>
  <c r="C86" i="3"/>
  <c r="B88" i="3" l="1"/>
  <c r="C87" i="3"/>
  <c r="B89" i="3" l="1"/>
  <c r="C88" i="3"/>
  <c r="B90" i="3" l="1"/>
  <c r="C89" i="3"/>
  <c r="B91" i="3" l="1"/>
  <c r="C90" i="3"/>
  <c r="B92" i="3" l="1"/>
  <c r="C91" i="3"/>
  <c r="B93" i="3" l="1"/>
  <c r="C92" i="3"/>
  <c r="B94" i="3" l="1"/>
  <c r="C93" i="3"/>
  <c r="B95" i="3" l="1"/>
  <c r="C94" i="3"/>
  <c r="B96" i="3" l="1"/>
  <c r="C95" i="3"/>
  <c r="B97" i="3" l="1"/>
  <c r="C96" i="3"/>
  <c r="B98" i="3" l="1"/>
  <c r="C97" i="3"/>
  <c r="B99" i="3" l="1"/>
  <c r="C98" i="3"/>
  <c r="B100" i="3" l="1"/>
  <c r="C99" i="3"/>
  <c r="B101" i="3" l="1"/>
  <c r="C100" i="3"/>
  <c r="B102" i="3" l="1"/>
  <c r="C101" i="3"/>
  <c r="B103" i="3" l="1"/>
  <c r="C102" i="3"/>
  <c r="B104" i="3" l="1"/>
  <c r="C103" i="3"/>
  <c r="B105" i="3" l="1"/>
  <c r="C104" i="3"/>
  <c r="B106" i="3" l="1"/>
  <c r="C105" i="3"/>
  <c r="B107" i="3" l="1"/>
  <c r="C106" i="3"/>
  <c r="B108" i="3" l="1"/>
  <c r="C107" i="3"/>
  <c r="B109" i="3" l="1"/>
  <c r="C108" i="3"/>
  <c r="B110" i="3" l="1"/>
  <c r="C109" i="3"/>
  <c r="B111" i="3" l="1"/>
  <c r="C110" i="3"/>
  <c r="B112" i="3" l="1"/>
  <c r="C111" i="3"/>
  <c r="B113" i="3" l="1"/>
  <c r="C112" i="3"/>
  <c r="B114" i="3" l="1"/>
  <c r="C113" i="3"/>
  <c r="B115" i="3" l="1"/>
  <c r="C114" i="3"/>
  <c r="B116" i="3" l="1"/>
  <c r="C115" i="3"/>
  <c r="B117" i="3" l="1"/>
  <c r="C116" i="3"/>
  <c r="B118" i="3" l="1"/>
  <c r="C117" i="3"/>
  <c r="B119" i="3" l="1"/>
  <c r="C118" i="3"/>
  <c r="B120" i="3" l="1"/>
  <c r="C119" i="3"/>
  <c r="B121" i="3" l="1"/>
  <c r="C120" i="3"/>
  <c r="B122" i="3" l="1"/>
  <c r="C121" i="3"/>
  <c r="B123" i="3" l="1"/>
  <c r="C122" i="3"/>
  <c r="B124" i="3" l="1"/>
  <c r="C123" i="3"/>
  <c r="B125" i="3" l="1"/>
  <c r="C124" i="3"/>
  <c r="B126" i="3" l="1"/>
  <c r="C125" i="3"/>
  <c r="B127" i="3" l="1"/>
  <c r="C126" i="3"/>
  <c r="B128" i="3" l="1"/>
  <c r="C127" i="3"/>
  <c r="B129" i="3" l="1"/>
  <c r="C128" i="3"/>
  <c r="B130" i="3" l="1"/>
  <c r="C129" i="3"/>
  <c r="B131" i="3" l="1"/>
  <c r="C130" i="3"/>
  <c r="B132" i="3" l="1"/>
  <c r="C131" i="3"/>
  <c r="B133" i="3" l="1"/>
  <c r="C132" i="3"/>
  <c r="B134" i="3" l="1"/>
  <c r="C133" i="3"/>
  <c r="B135" i="3" l="1"/>
  <c r="C134" i="3"/>
  <c r="B136" i="3" l="1"/>
  <c r="C135" i="3"/>
  <c r="B137" i="3" l="1"/>
  <c r="C136" i="3"/>
  <c r="B138" i="3" l="1"/>
  <c r="C137" i="3"/>
  <c r="B139" i="3" l="1"/>
  <c r="C138" i="3"/>
  <c r="B140" i="3" l="1"/>
  <c r="C139" i="3"/>
  <c r="B141" i="3" l="1"/>
  <c r="C140" i="3"/>
  <c r="B142" i="3" l="1"/>
  <c r="C141" i="3"/>
  <c r="B143" i="3" l="1"/>
  <c r="C142" i="3"/>
  <c r="B144" i="3" l="1"/>
  <c r="C143" i="3"/>
  <c r="B145" i="3" l="1"/>
  <c r="C144" i="3"/>
  <c r="B146" i="3" l="1"/>
  <c r="C145" i="3"/>
  <c r="B147" i="3" l="1"/>
  <c r="C146" i="3"/>
  <c r="B148" i="3" l="1"/>
  <c r="C147" i="3"/>
  <c r="B149" i="3" l="1"/>
  <c r="C148" i="3"/>
  <c r="B150" i="3" l="1"/>
  <c r="C149" i="3"/>
  <c r="B151" i="3" l="1"/>
  <c r="C150" i="3"/>
  <c r="B152" i="3" l="1"/>
  <c r="C151" i="3"/>
  <c r="B153" i="3" l="1"/>
  <c r="C152" i="3"/>
  <c r="B154" i="3" l="1"/>
  <c r="C153" i="3"/>
  <c r="B155" i="3" l="1"/>
  <c r="C154" i="3"/>
  <c r="B156" i="3" l="1"/>
  <c r="C155" i="3"/>
  <c r="B157" i="3" l="1"/>
  <c r="C156" i="3"/>
  <c r="B158" i="3" l="1"/>
  <c r="C158" i="3" s="1"/>
  <c r="C157" i="3"/>
</calcChain>
</file>

<file path=xl/sharedStrings.xml><?xml version="1.0" encoding="utf-8"?>
<sst xmlns="http://schemas.openxmlformats.org/spreadsheetml/2006/main" count="225" uniqueCount="169">
  <si>
    <t xml:space="preserve">Materiales </t>
  </si>
  <si>
    <t>f'c=</t>
  </si>
  <si>
    <t>Concreto premezclado ASTM C685 ó ASTM C94</t>
  </si>
  <si>
    <t>fy=</t>
  </si>
  <si>
    <t>Acero de refuerzo ASTM A 706 (Barras SI)</t>
  </si>
  <si>
    <t>f'm=</t>
  </si>
  <si>
    <t>NO ESTRUCTURAL</t>
  </si>
  <si>
    <t>Bloque Clase C NTG 41054 + mortero tipo "S" NTG 41050</t>
  </si>
  <si>
    <t xml:space="preserve">Predimensionamiento </t>
  </si>
  <si>
    <t xml:space="preserve">Vigas </t>
  </si>
  <si>
    <t>Direccion X-X</t>
  </si>
  <si>
    <t>L=</t>
  </si>
  <si>
    <t>L/14</t>
  </si>
  <si>
    <t>h</t>
  </si>
  <si>
    <t>L/10</t>
  </si>
  <si>
    <t>b</t>
  </si>
  <si>
    <t>h/2</t>
  </si>
  <si>
    <t>2h/3</t>
  </si>
  <si>
    <t>bmin</t>
  </si>
  <si>
    <t>Ec</t>
  </si>
  <si>
    <t>Es</t>
  </si>
  <si>
    <t>Asmin=</t>
  </si>
  <si>
    <t>ρmax=</t>
  </si>
  <si>
    <t>Asmax=</t>
  </si>
  <si>
    <t>DireccionY-Y</t>
  </si>
  <si>
    <t xml:space="preserve">Columnas </t>
  </si>
  <si>
    <t>CV=</t>
  </si>
  <si>
    <t>CM=</t>
  </si>
  <si>
    <t>n pisos=</t>
  </si>
  <si>
    <t>At Central=</t>
  </si>
  <si>
    <t>At Perimetral=</t>
  </si>
  <si>
    <t>At Esquina =</t>
  </si>
  <si>
    <t>Pg=</t>
  </si>
  <si>
    <t>λ</t>
  </si>
  <si>
    <t>η</t>
  </si>
  <si>
    <t xml:space="preserve">Acol </t>
  </si>
  <si>
    <t>Cantidad</t>
  </si>
  <si>
    <t>As=</t>
  </si>
  <si>
    <t xml:space="preserve">Losa </t>
  </si>
  <si>
    <t>#6 = 2.85 cm²</t>
  </si>
  <si>
    <t>a</t>
  </si>
  <si>
    <t>t</t>
  </si>
  <si>
    <t>fy</t>
  </si>
  <si>
    <t>β</t>
  </si>
  <si>
    <t>t=</t>
  </si>
  <si>
    <t xml:space="preserve"> </t>
  </si>
  <si>
    <t xml:space="preserve">tmin </t>
  </si>
  <si>
    <t>t a elegir</t>
  </si>
  <si>
    <t>t/L=</t>
  </si>
  <si>
    <t xml:space="preserve">Thin </t>
  </si>
  <si>
    <t>Sobrecarga entre piso</t>
  </si>
  <si>
    <t xml:space="preserve"> Contrapiso </t>
  </si>
  <si>
    <t>Piso</t>
  </si>
  <si>
    <t>Cielo Falso</t>
  </si>
  <si>
    <t>Instalaciones</t>
  </si>
  <si>
    <t>Techo</t>
  </si>
  <si>
    <t>Pañuelos</t>
  </si>
  <si>
    <t>50 mm*1.7</t>
  </si>
  <si>
    <t>25.4mm*.8</t>
  </si>
  <si>
    <t xml:space="preserve">Instalaciones </t>
  </si>
  <si>
    <t>70 mm *1.7</t>
  </si>
  <si>
    <t>Sobrecarga lineal</t>
  </si>
  <si>
    <t xml:space="preserve">Muro Completo </t>
  </si>
  <si>
    <t>Bloque clase "C" 14x19x39 cm, pin #3@80cm</t>
  </si>
  <si>
    <t>Acabado 1 cm, Ya= 2000kg/m³, t*Ya (2 caras)</t>
  </si>
  <si>
    <t>Muro + Ventana</t>
  </si>
  <si>
    <t xml:space="preserve">Densidad de muro </t>
  </si>
  <si>
    <t xml:space="preserve">hsillar= </t>
  </si>
  <si>
    <t xml:space="preserve">peso del sillar </t>
  </si>
  <si>
    <t>hVentana</t>
  </si>
  <si>
    <t>Ventana + vidrio+marco</t>
  </si>
  <si>
    <t>Wm+v</t>
  </si>
  <si>
    <t xml:space="preserve">sumando el sillar </t>
  </si>
  <si>
    <t>Carga Viva</t>
  </si>
  <si>
    <t>Oficinas</t>
  </si>
  <si>
    <t>Pasillos</t>
  </si>
  <si>
    <t xml:space="preserve">Cafeteria </t>
  </si>
  <si>
    <t>Losas I, II Y III</t>
  </si>
  <si>
    <t>Particiones</t>
  </si>
  <si>
    <t>Losas V y VI</t>
  </si>
  <si>
    <t>Losa IV</t>
  </si>
  <si>
    <t xml:space="preserve">Carga de ubicación </t>
  </si>
  <si>
    <t xml:space="preserve">Area bruta de piso </t>
  </si>
  <si>
    <t xml:space="preserve">No. Niveles </t>
  </si>
  <si>
    <t xml:space="preserve">∑ area bruta de piso </t>
  </si>
  <si>
    <t>Nse 1</t>
  </si>
  <si>
    <t xml:space="preserve">Factor de Carga de ocupacion </t>
  </si>
  <si>
    <t xml:space="preserve">Carga de ocupación </t>
  </si>
  <si>
    <t xml:space="preserve">Clasificacino de obra </t>
  </si>
  <si>
    <t xml:space="preserve">II Ordinaria </t>
  </si>
  <si>
    <t xml:space="preserve">Clasificación de sitio </t>
  </si>
  <si>
    <t>nse 1</t>
  </si>
  <si>
    <t>Suelo tipo "E"</t>
  </si>
  <si>
    <t>Cu=SV=</t>
  </si>
  <si>
    <t>Lugar</t>
  </si>
  <si>
    <t>Quetzaltenango, Quetzaltenango</t>
  </si>
  <si>
    <t xml:space="preserve">Aceleración espectrales </t>
  </si>
  <si>
    <t>Scr=</t>
  </si>
  <si>
    <t>S1r=</t>
  </si>
  <si>
    <t>TL=</t>
  </si>
  <si>
    <t>Io=</t>
  </si>
  <si>
    <t>Ajustes por cada clase de sitio</t>
  </si>
  <si>
    <t>Fa=</t>
  </si>
  <si>
    <t>Fv=</t>
  </si>
  <si>
    <t xml:space="preserve">Ajustes por intensidades sismicas especiales </t>
  </si>
  <si>
    <t>Na=</t>
  </si>
  <si>
    <t>Nv=</t>
  </si>
  <si>
    <t>Scs=</t>
  </si>
  <si>
    <t>S1s=</t>
  </si>
  <si>
    <t>Periodos de vibracion de transición</t>
  </si>
  <si>
    <t>Ts=</t>
  </si>
  <si>
    <t>TO=</t>
  </si>
  <si>
    <t>Factor Kd</t>
  </si>
  <si>
    <t>Sismo de diseño</t>
  </si>
  <si>
    <t>10% en 50 años/ Sismo Ordinario</t>
  </si>
  <si>
    <t>Kd=</t>
  </si>
  <si>
    <t>Calibracion de aceleraciones espectrales</t>
  </si>
  <si>
    <t>AMSd=</t>
  </si>
  <si>
    <t>S1d=</t>
  </si>
  <si>
    <t>Scd=</t>
  </si>
  <si>
    <t>Svd=</t>
  </si>
  <si>
    <t xml:space="preserve">Construccion del espectro </t>
  </si>
  <si>
    <t>T</t>
  </si>
  <si>
    <t>Sa(T)</t>
  </si>
  <si>
    <t xml:space="preserve">Periodo empirico de vibración </t>
  </si>
  <si>
    <t>Kt=</t>
  </si>
  <si>
    <t>x=</t>
  </si>
  <si>
    <t>Hn=</t>
  </si>
  <si>
    <t>Ta=</t>
  </si>
  <si>
    <t>Coeficiente Sismico</t>
  </si>
  <si>
    <t>Sa(T)=</t>
  </si>
  <si>
    <t>Ns3</t>
  </si>
  <si>
    <t>R=</t>
  </si>
  <si>
    <t>β=</t>
  </si>
  <si>
    <t>ξ</t>
  </si>
  <si>
    <t>Cs</t>
  </si>
  <si>
    <t>K</t>
  </si>
  <si>
    <t>Viva de Techo</t>
  </si>
  <si>
    <t>Tefra Volcanico</t>
  </si>
  <si>
    <t xml:space="preserve">Carga de lluvia </t>
  </si>
  <si>
    <t>Vt Losas I, II, III, IV, V y VI</t>
  </si>
  <si>
    <t>Ar Losas I, II, III, IV, V y VI</t>
  </si>
  <si>
    <t>Pl Losas I, II, III, IV, V y VI</t>
  </si>
  <si>
    <t>Losas con accesos  NSE2</t>
  </si>
  <si>
    <t>NSE2</t>
  </si>
  <si>
    <t xml:space="preserve">ns2 dependiendo a la categoria </t>
  </si>
  <si>
    <t xml:space="preserve">dh como un rebalse </t>
  </si>
  <si>
    <t xml:space="preserve">Carga de muro mas ventana </t>
  </si>
  <si>
    <t xml:space="preserve">Muro Cemefa </t>
  </si>
  <si>
    <t>Periodo de Vibración</t>
  </si>
  <si>
    <t>Story</t>
  </si>
  <si>
    <t>Diaphragm</t>
  </si>
  <si>
    <t>Mass X</t>
  </si>
  <si>
    <t>tonf-s²/m</t>
  </si>
  <si>
    <t>Story1</t>
  </si>
  <si>
    <t>D1</t>
  </si>
  <si>
    <t>Story2</t>
  </si>
  <si>
    <t>D2</t>
  </si>
  <si>
    <t>Story3</t>
  </si>
  <si>
    <t>D3</t>
  </si>
  <si>
    <t>Fi</t>
  </si>
  <si>
    <t>Wi/g</t>
  </si>
  <si>
    <t>u1</t>
  </si>
  <si>
    <t xml:space="preserve">Wi*u1 ^ 2 </t>
  </si>
  <si>
    <t>∑Wi*u1^2/g</t>
  </si>
  <si>
    <t>Fi*u1</t>
  </si>
  <si>
    <t>∑Fi*u1</t>
  </si>
  <si>
    <t>Tf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</si>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</sst>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\ &quot;m&quot;"/>
    <numFmt numFmtId="165" formatCode="0.00\ &quot;psi&quot;"/>
    <numFmt numFmtId="166" formatCode="0.00\ &quot;kg/cm²&quot;"/>
    <numFmt numFmtId="167" formatCode="0.00\ &quot;m²&quot;"/>
    <numFmt numFmtId="168" formatCode="0.00\ &quot;cm²&quot;"/>
    <numFmt numFmtId="169" formatCode="0.00\ &quot;kg&quot;"/>
    <numFmt numFmtId="170" formatCode="0.00\ &quot;cm&quot;"/>
    <numFmt numFmtId="171" formatCode="0.00\ &quot;kg/m²&quot;"/>
    <numFmt numFmtId="172" formatCode="0.00\ &quot;kg/m&quot;"/>
    <numFmt numFmtId="173" formatCode="0.00\ &quot;personas&quot;"/>
    <numFmt numFmtId="174" formatCode="0.00\ &quot;kpa&quot;"/>
    <numFmt numFmtId="175" formatCode="0.000\ &quot;s&quot;"/>
    <numFmt numFmtId="17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7" fontId="0" fillId="0" borderId="1" xfId="0" applyNumberFormat="1" applyBorder="1"/>
    <xf numFmtId="169" fontId="0" fillId="0" borderId="1" xfId="0" applyNumberFormat="1" applyBorder="1"/>
    <xf numFmtId="0" fontId="1" fillId="0" borderId="1" xfId="0" applyFont="1" applyBorder="1"/>
    <xf numFmtId="166" fontId="0" fillId="2" borderId="1" xfId="0" applyNumberFormat="1" applyFill="1" applyBorder="1"/>
    <xf numFmtId="0" fontId="0" fillId="2" borderId="1" xfId="0" applyFill="1" applyBorder="1"/>
    <xf numFmtId="170" fontId="0" fillId="0" borderId="1" xfId="0" applyNumberFormat="1" applyBorder="1"/>
    <xf numFmtId="0" fontId="0" fillId="3" borderId="1" xfId="0" applyFill="1" applyBorder="1"/>
    <xf numFmtId="170" fontId="0" fillId="3" borderId="1" xfId="0" applyNumberFormat="1" applyFill="1" applyBorder="1"/>
    <xf numFmtId="170" fontId="0" fillId="2" borderId="1" xfId="0" applyNumberFormat="1" applyFill="1" applyBorder="1"/>
    <xf numFmtId="168" fontId="0" fillId="0" borderId="1" xfId="0" applyNumberFormat="1" applyBorder="1"/>
    <xf numFmtId="0" fontId="0" fillId="0" borderId="2" xfId="0" applyBorder="1"/>
    <xf numFmtId="168" fontId="0" fillId="0" borderId="2" xfId="0" applyNumberFormat="1" applyBorder="1"/>
    <xf numFmtId="171" fontId="0" fillId="2" borderId="0" xfId="0" applyNumberFormat="1" applyFill="1"/>
    <xf numFmtId="171" fontId="0" fillId="3" borderId="0" xfId="0" applyNumberFormat="1" applyFill="1"/>
    <xf numFmtId="164" fontId="0" fillId="0" borderId="0" xfId="0" applyNumberFormat="1"/>
    <xf numFmtId="171" fontId="0" fillId="4" borderId="0" xfId="0" applyNumberFormat="1" applyFill="1"/>
    <xf numFmtId="172" fontId="0" fillId="3" borderId="0" xfId="0" applyNumberFormat="1" applyFill="1"/>
    <xf numFmtId="0" fontId="2" fillId="0" borderId="0" xfId="0" applyFont="1"/>
    <xf numFmtId="167" fontId="0" fillId="2" borderId="1" xfId="0" applyNumberFormat="1" applyFill="1" applyBorder="1"/>
    <xf numFmtId="173" fontId="0" fillId="6" borderId="1" xfId="0" applyNumberFormat="1" applyFill="1" applyBorder="1"/>
    <xf numFmtId="0" fontId="0" fillId="6" borderId="1" xfId="0" applyFill="1" applyBorder="1"/>
    <xf numFmtId="174" fontId="0" fillId="0" borderId="1" xfId="0" applyNumberFormat="1" applyBorder="1"/>
    <xf numFmtId="0" fontId="0" fillId="2" borderId="0" xfId="0" applyFill="1"/>
    <xf numFmtId="175" fontId="0" fillId="0" borderId="1" xfId="0" applyNumberFormat="1" applyBorder="1"/>
    <xf numFmtId="0" fontId="0" fillId="6" borderId="0" xfId="0" applyFill="1"/>
    <xf numFmtId="0" fontId="2" fillId="0" borderId="0" xfId="0" applyFont="1" applyAlignment="1">
      <alignment horizontal="center"/>
    </xf>
    <xf numFmtId="175" fontId="0" fillId="6" borderId="1" xfId="0" applyNumberFormat="1" applyFill="1" applyBorder="1"/>
    <xf numFmtId="0" fontId="0" fillId="7" borderId="1" xfId="0" applyFill="1" applyBorder="1"/>
    <xf numFmtId="176" fontId="0" fillId="7" borderId="1" xfId="0" applyNumberFormat="1" applyFill="1" applyBorder="1"/>
    <xf numFmtId="175" fontId="0" fillId="0" borderId="3" xfId="0" applyNumberFormat="1" applyBorder="1"/>
    <xf numFmtId="0" fontId="4" fillId="0" borderId="1" xfId="0" applyFont="1" applyBorder="1"/>
    <xf numFmtId="9" fontId="0" fillId="0" borderId="1" xfId="0" applyNumberFormat="1" applyBorder="1"/>
    <xf numFmtId="0" fontId="3" fillId="0" borderId="1" xfId="0" applyFont="1" applyBorder="1"/>
    <xf numFmtId="0" fontId="5" fillId="0" borderId="0" xfId="0" applyFont="1"/>
    <xf numFmtId="0" fontId="2" fillId="0" borderId="1" xfId="0" applyFont="1" applyBorder="1"/>
    <xf numFmtId="171" fontId="0" fillId="2" borderId="1" xfId="0" applyNumberFormat="1" applyFill="1" applyBorder="1"/>
    <xf numFmtId="171" fontId="0" fillId="4" borderId="1" xfId="0" applyNumberFormat="1" applyFill="1" applyBorder="1"/>
    <xf numFmtId="172" fontId="0" fillId="3" borderId="1" xfId="0" applyNumberFormat="1" applyFill="1" applyBorder="1"/>
    <xf numFmtId="172" fontId="0" fillId="0" borderId="1" xfId="0" applyNumberFormat="1" applyBorder="1"/>
    <xf numFmtId="172" fontId="0" fillId="5" borderId="1" xfId="0" applyNumberFormat="1" applyFill="1" applyBorder="1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Hoja3!$C$57</c:f>
              <c:strCache>
                <c:ptCount val="1"/>
                <c:pt idx="0">
                  <c:v>Sa(T)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Hoja3!$B$58:$B$158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Hoja3!$C$58:$C$158</c:f>
              <c:numCache>
                <c:formatCode>General</c:formatCode>
                <c:ptCount val="101"/>
                <c:pt idx="0">
                  <c:v>0.38544</c:v>
                </c:pt>
                <c:pt idx="1">
                  <c:v>0.68907798561151079</c:v>
                </c:pt>
                <c:pt idx="2">
                  <c:v>0.96360000000000001</c:v>
                </c:pt>
                <c:pt idx="3">
                  <c:v>0.96360000000000001</c:v>
                </c:pt>
                <c:pt idx="4">
                  <c:v>0.96360000000000001</c:v>
                </c:pt>
                <c:pt idx="5">
                  <c:v>0.96360000000000001</c:v>
                </c:pt>
                <c:pt idx="6">
                  <c:v>0.96360000000000001</c:v>
                </c:pt>
                <c:pt idx="7">
                  <c:v>0.96360000000000001</c:v>
                </c:pt>
                <c:pt idx="8">
                  <c:v>0.96360000000000001</c:v>
                </c:pt>
                <c:pt idx="9">
                  <c:v>0.96360000000000001</c:v>
                </c:pt>
                <c:pt idx="10">
                  <c:v>0.9174000000000001</c:v>
                </c:pt>
                <c:pt idx="11">
                  <c:v>0.83400000000000007</c:v>
                </c:pt>
                <c:pt idx="12">
                  <c:v>0.76450000000000007</c:v>
                </c:pt>
                <c:pt idx="13">
                  <c:v>0.70569230769230762</c:v>
                </c:pt>
                <c:pt idx="14">
                  <c:v>0.65528571428571425</c:v>
                </c:pt>
                <c:pt idx="15">
                  <c:v>0.61159999999999992</c:v>
                </c:pt>
                <c:pt idx="16">
                  <c:v>0.57337499999999986</c:v>
                </c:pt>
                <c:pt idx="17">
                  <c:v>0.53964705882352926</c:v>
                </c:pt>
                <c:pt idx="18">
                  <c:v>0.50966666666666649</c:v>
                </c:pt>
                <c:pt idx="19">
                  <c:v>0.48284210526315774</c:v>
                </c:pt>
                <c:pt idx="20">
                  <c:v>0.45869999999999989</c:v>
                </c:pt>
                <c:pt idx="21">
                  <c:v>0.43685714285714272</c:v>
                </c:pt>
                <c:pt idx="22">
                  <c:v>0.41699999999999987</c:v>
                </c:pt>
                <c:pt idx="23">
                  <c:v>0.3988695652173912</c:v>
                </c:pt>
                <c:pt idx="24">
                  <c:v>0.38224999999999987</c:v>
                </c:pt>
                <c:pt idx="25">
                  <c:v>0.36695999999999984</c:v>
                </c:pt>
                <c:pt idx="26">
                  <c:v>0.3528461538461537</c:v>
                </c:pt>
                <c:pt idx="27">
                  <c:v>0.33977777777777762</c:v>
                </c:pt>
                <c:pt idx="28">
                  <c:v>0.32764285714285701</c:v>
                </c:pt>
                <c:pt idx="29">
                  <c:v>0.31634482758620674</c:v>
                </c:pt>
                <c:pt idx="30">
                  <c:v>0.30579999999999985</c:v>
                </c:pt>
                <c:pt idx="31">
                  <c:v>0.29593548387096763</c:v>
                </c:pt>
                <c:pt idx="32">
                  <c:v>0.28668749999999987</c:v>
                </c:pt>
                <c:pt idx="33">
                  <c:v>0.27799999999999986</c:v>
                </c:pt>
                <c:pt idx="34">
                  <c:v>0.26982352941176457</c:v>
                </c:pt>
                <c:pt idx="35">
                  <c:v>0.26211428571428558</c:v>
                </c:pt>
                <c:pt idx="36">
                  <c:v>0.25483333333333319</c:v>
                </c:pt>
                <c:pt idx="37">
                  <c:v>0.24794594594594582</c:v>
                </c:pt>
                <c:pt idx="38">
                  <c:v>0.24142105263157881</c:v>
                </c:pt>
                <c:pt idx="39">
                  <c:v>0.23523076923076897</c:v>
                </c:pt>
                <c:pt idx="40">
                  <c:v>0.22361624999999979</c:v>
                </c:pt>
                <c:pt idx="41">
                  <c:v>0.21284116597263517</c:v>
                </c:pt>
                <c:pt idx="42">
                  <c:v>0.20282653061224479</c:v>
                </c:pt>
                <c:pt idx="43">
                  <c:v>0.1935024337479718</c:v>
                </c:pt>
                <c:pt idx="44">
                  <c:v>0.18480681818181816</c:v>
                </c:pt>
                <c:pt idx="45">
                  <c:v>0.17668444444444442</c:v>
                </c:pt>
                <c:pt idx="46">
                  <c:v>0.16908601134215503</c:v>
                </c:pt>
                <c:pt idx="47">
                  <c:v>0.16196740606609331</c:v>
                </c:pt>
                <c:pt idx="48">
                  <c:v>0.15528906250000007</c:v>
                </c:pt>
                <c:pt idx="49">
                  <c:v>0.14901541024573101</c:v>
                </c:pt>
                <c:pt idx="50">
                  <c:v>0.14311440000000009</c:v>
                </c:pt>
                <c:pt idx="51">
                  <c:v>0.13755709342560565</c:v>
                </c:pt>
                <c:pt idx="52">
                  <c:v>0.13231730769230782</c:v>
                </c:pt>
                <c:pt idx="53">
                  <c:v>0.12737130651477407</c:v>
                </c:pt>
                <c:pt idx="54">
                  <c:v>0.12269753086419767</c:v>
                </c:pt>
                <c:pt idx="55">
                  <c:v>0.11827636363636378</c:v>
                </c:pt>
                <c:pt idx="56">
                  <c:v>0.11408992346938791</c:v>
                </c:pt>
                <c:pt idx="57">
                  <c:v>0.11012188365650985</c:v>
                </c:pt>
                <c:pt idx="58">
                  <c:v>0.10635731272294904</c:v>
                </c:pt>
                <c:pt idx="59">
                  <c:v>0.10278253375466838</c:v>
                </c:pt>
                <c:pt idx="60">
                  <c:v>9.9385000000000168E-2</c:v>
                </c:pt>
                <c:pt idx="61">
                  <c:v>9.6153184627788407E-2</c:v>
                </c:pt>
                <c:pt idx="62">
                  <c:v>9.3076482830385193E-2</c:v>
                </c:pt>
                <c:pt idx="63">
                  <c:v>9.0145124716553462E-2</c:v>
                </c:pt>
                <c:pt idx="64">
                  <c:v>8.7350097656250181E-2</c:v>
                </c:pt>
                <c:pt idx="65">
                  <c:v>8.4683076923077111E-2</c:v>
                </c:pt>
                <c:pt idx="66">
                  <c:v>8.2136363636363813E-2</c:v>
                </c:pt>
                <c:pt idx="67">
                  <c:v>7.9702829137892811E-2</c:v>
                </c:pt>
                <c:pt idx="68">
                  <c:v>7.7375865051903303E-2</c:v>
                </c:pt>
                <c:pt idx="69">
                  <c:v>7.5149338374291288E-2</c:v>
                </c:pt>
                <c:pt idx="70">
                  <c:v>7.3017551020408356E-2</c:v>
                </c:pt>
                <c:pt idx="71">
                  <c:v>7.0975203332672265E-2</c:v>
                </c:pt>
                <c:pt idx="72">
                  <c:v>6.9017361111111286E-2</c:v>
                </c:pt>
                <c:pt idx="73">
                  <c:v>6.7139425783449225E-2</c:v>
                </c:pt>
                <c:pt idx="74">
                  <c:v>6.5337107377648099E-2</c:v>
                </c:pt>
                <c:pt idx="75">
                  <c:v>6.3606400000000174E-2</c:v>
                </c:pt>
                <c:pt idx="76">
                  <c:v>6.1943559556786876E-2</c:v>
                </c:pt>
                <c:pt idx="77">
                  <c:v>6.0345083487940807E-2</c:v>
                </c:pt>
                <c:pt idx="78">
                  <c:v>5.8807692307692477E-2</c:v>
                </c:pt>
                <c:pt idx="79">
                  <c:v>5.7328312770389529E-2</c:v>
                </c:pt>
                <c:pt idx="80">
                  <c:v>5.5904062500000171E-2</c:v>
                </c:pt>
                <c:pt idx="81">
                  <c:v>5.4532235939643521E-2</c:v>
                </c:pt>
                <c:pt idx="82">
                  <c:v>5.3210291493159007E-2</c:v>
                </c:pt>
                <c:pt idx="83">
                  <c:v>5.1935839744520415E-2</c:v>
                </c:pt>
                <c:pt idx="84">
                  <c:v>5.0706632653061391E-2</c:v>
                </c:pt>
                <c:pt idx="85">
                  <c:v>4.9520553633218153E-2</c:v>
                </c:pt>
                <c:pt idx="86">
                  <c:v>4.837560843699313E-2</c:v>
                </c:pt>
                <c:pt idx="87">
                  <c:v>4.7269916765755211E-2</c:v>
                </c:pt>
                <c:pt idx="88">
                  <c:v>4.6201704545454705E-2</c:v>
                </c:pt>
                <c:pt idx="89">
                  <c:v>4.5169296805958999E-2</c:v>
                </c:pt>
                <c:pt idx="90">
                  <c:v>4.4171111111111265E-2</c:v>
                </c:pt>
                <c:pt idx="91">
                  <c:v>4.3205651491365932E-2</c:v>
                </c:pt>
                <c:pt idx="92">
                  <c:v>4.2271502835538904E-2</c:v>
                </c:pt>
                <c:pt idx="93">
                  <c:v>4.1367325702393487E-2</c:v>
                </c:pt>
                <c:pt idx="94">
                  <c:v>4.0491851516523458E-2</c:v>
                </c:pt>
                <c:pt idx="95">
                  <c:v>3.9643878116343637E-2</c:v>
                </c:pt>
                <c:pt idx="96">
                  <c:v>3.8822265625000144E-2</c:v>
                </c:pt>
                <c:pt idx="97">
                  <c:v>3.8025932617706593E-2</c:v>
                </c:pt>
                <c:pt idx="98">
                  <c:v>3.7253852561432876E-2</c:v>
                </c:pt>
                <c:pt idx="99">
                  <c:v>3.6505050505050644E-2</c:v>
                </c:pt>
                <c:pt idx="100">
                  <c:v>3.5778600000000139E-2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1-4A5A-A4AC-D39FD4AEA659}"/>
            </c:ext>
          </c:extLst>
        </c:ser>
        <c:ser>
          <c:idx val="1"/>
          <c:order val="1"/>
          <c:tx>
            <c:strRef>
              <c:f>Hoja3!$A$172</c:f>
              <c:strCache>
                <c:ptCount val="1"/>
                <c:pt idx="0">
                  <c:v>Coeficiente Sismico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Hoja3!$B$173:$B$174</c:f>
              <c:numCache>
                <c:formatCode>0.000\ "s"</c:formatCode>
                <c:ptCount val="2"/>
                <c:pt idx="0">
                  <c:v>0.30423136847641769</c:v>
                </c:pt>
                <c:pt idx="1">
                  <c:v>0.30423136847641769</c:v>
                </c:pt>
              </c:numCache>
            </c:numRef>
          </c:xVal>
          <c:yVal>
            <c:numRef>
              <c:f>Hoja3!$C$173:$C$174</c:f>
              <c:numCache>
                <c:formatCode>General</c:formatCode>
                <c:ptCount val="2"/>
                <c:pt idx="0">
                  <c:v>0</c:v>
                </c:pt>
                <c:pt idx="1">
                  <c:v>0.96360000000000001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1B-4ECA-94D8-5596D6E7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83472"/>
        <c:axId val="1338872912"/>
      </c:scatterChart>
      <c:valAx>
        <c:axId val="13388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Periodo</a:t>
                </a:r>
                <a:r>
                  <a:rPr lang="es-GT" baseline="0"/>
                  <a:t> en segundos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872912"/>
        <c:crosses val="autoZero"/>
        <c:crossBetween val="midCat"/>
      </c:valAx>
      <c:valAx>
        <c:axId val="13388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Sa(T) en</a:t>
                </a:r>
                <a:r>
                  <a:rPr lang="es-GT" baseline="0"/>
                  <a:t>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8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8.png"/><Relationship Id="rId18" Type="http://schemas.openxmlformats.org/officeDocument/2006/relationships/image" Target="../media/image33.png"/><Relationship Id="rId3" Type="http://schemas.openxmlformats.org/officeDocument/2006/relationships/image" Target="../media/image19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" Type="http://schemas.openxmlformats.org/officeDocument/2006/relationships/image" Target="../media/image18.png"/><Relationship Id="rId16" Type="http://schemas.openxmlformats.org/officeDocument/2006/relationships/image" Target="../media/image31.png"/><Relationship Id="rId20" Type="http://schemas.openxmlformats.org/officeDocument/2006/relationships/image" Target="../media/image35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21.png"/><Relationship Id="rId15" Type="http://schemas.openxmlformats.org/officeDocument/2006/relationships/image" Target="../media/image30.png"/><Relationship Id="rId10" Type="http://schemas.openxmlformats.org/officeDocument/2006/relationships/chart" Target="../charts/chart1.xml"/><Relationship Id="rId19" Type="http://schemas.openxmlformats.org/officeDocument/2006/relationships/image" Target="../media/image34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29.png"/><Relationship Id="rId22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28</xdr:row>
      <xdr:rowOff>68580</xdr:rowOff>
    </xdr:from>
    <xdr:to>
      <xdr:col>8</xdr:col>
      <xdr:colOff>434340</xdr:colOff>
      <xdr:row>34</xdr:row>
      <xdr:rowOff>83820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096335A-9199-A294-C7AF-191EEB2F4C89}"/>
            </a:ext>
          </a:extLst>
        </xdr:cNvPr>
        <xdr:cNvSpPr txBox="1"/>
      </xdr:nvSpPr>
      <xdr:spPr>
        <a:xfrm>
          <a:off x="6522720" y="6286500"/>
          <a:ext cx="2377440" cy="1112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ESPESOR MINIMO LOSA 0.10 POR DENSIDAD DE CONCRETO DE 2400,</a:t>
          </a:r>
          <a:r>
            <a:rPr lang="es-GT" sz="1100" baseline="0"/>
            <a:t> DA 240 MAS PESO DE COLUMNAS Y VIGAS, SE HACE UNA SUPOSICION PRELIMINAR DE 400 </a:t>
          </a:r>
          <a:endParaRPr lang="es-GT" sz="1100"/>
        </a:p>
      </xdr:txBody>
    </xdr:sp>
    <xdr:clientData/>
  </xdr:twoCellAnchor>
  <xdr:twoCellAnchor>
    <xdr:from>
      <xdr:col>7</xdr:col>
      <xdr:colOff>586740</xdr:colOff>
      <xdr:row>40</xdr:row>
      <xdr:rowOff>137160</xdr:rowOff>
    </xdr:from>
    <xdr:to>
      <xdr:col>9</xdr:col>
      <xdr:colOff>441960</xdr:colOff>
      <xdr:row>43</xdr:row>
      <xdr:rowOff>68580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3AE4A40-AD28-0587-6A49-CC58D723E7F7}"/>
            </a:ext>
          </a:extLst>
        </xdr:cNvPr>
        <xdr:cNvSpPr txBox="1"/>
      </xdr:nvSpPr>
      <xdr:spPr>
        <a:xfrm>
          <a:off x="8260080" y="8732520"/>
          <a:ext cx="1440180" cy="480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pg=</a:t>
          </a:r>
          <a:r>
            <a:rPr lang="es-GT" sz="1100" baseline="0"/>
            <a:t> carga de gravedad </a:t>
          </a:r>
          <a:endParaRPr lang="es-GT" sz="1100"/>
        </a:p>
      </xdr:txBody>
    </xdr:sp>
    <xdr:clientData/>
  </xdr:twoCellAnchor>
  <xdr:twoCellAnchor>
    <xdr:from>
      <xdr:col>8</xdr:col>
      <xdr:colOff>7620</xdr:colOff>
      <xdr:row>44</xdr:row>
      <xdr:rowOff>99060</xdr:rowOff>
    </xdr:from>
    <xdr:to>
      <xdr:col>10</xdr:col>
      <xdr:colOff>76200</xdr:colOff>
      <xdr:row>48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D6A4196-7D82-4FCB-AE3D-E226FF83F924}"/>
            </a:ext>
          </a:extLst>
        </xdr:cNvPr>
        <xdr:cNvSpPr txBox="1"/>
      </xdr:nvSpPr>
      <xdr:spPr>
        <a:xfrm>
          <a:off x="8473440" y="9425940"/>
          <a:ext cx="1653540" cy="769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aseline="0"/>
            <a:t>El area de la columna tiuene que ser mayor al area de la viga, mas del 150%</a:t>
          </a:r>
          <a:endParaRPr lang="es-GT" sz="1100"/>
        </a:p>
      </xdr:txBody>
    </xdr:sp>
    <xdr:clientData/>
  </xdr:twoCellAnchor>
  <xdr:twoCellAnchor>
    <xdr:from>
      <xdr:col>7</xdr:col>
      <xdr:colOff>685800</xdr:colOff>
      <xdr:row>54</xdr:row>
      <xdr:rowOff>121920</xdr:rowOff>
    </xdr:from>
    <xdr:to>
      <xdr:col>10</xdr:col>
      <xdr:colOff>678180</xdr:colOff>
      <xdr:row>62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6E56813-91F3-4E00-9E5A-62AF59C73F1D}"/>
            </a:ext>
          </a:extLst>
        </xdr:cNvPr>
        <xdr:cNvSpPr txBox="1"/>
      </xdr:nvSpPr>
      <xdr:spPr>
        <a:xfrm>
          <a:off x="7566660" y="9997440"/>
          <a:ext cx="2369820" cy="1455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area de viga 45*25 es 1125,</a:t>
          </a:r>
          <a:r>
            <a:rPr lang="es-GT" sz="1100" baseline="0"/>
            <a:t> por 2= 2250, masomenos el area que la columna debe de tener </a:t>
          </a:r>
        </a:p>
        <a:p>
          <a:endParaRPr lang="es-GT" sz="1100" baseline="0"/>
        </a:p>
        <a:p>
          <a:r>
            <a:rPr lang="es-GT" sz="1100" baseline="0"/>
            <a:t>50X30 SE LE SUMA 5 A CADA LADO AL DE 30, QUEDA 40</a:t>
          </a:r>
        </a:p>
        <a:p>
          <a:endParaRPr lang="es-GT" sz="1100"/>
        </a:p>
      </xdr:txBody>
    </xdr:sp>
    <xdr:clientData/>
  </xdr:twoCellAnchor>
  <xdr:twoCellAnchor>
    <xdr:from>
      <xdr:col>10</xdr:col>
      <xdr:colOff>434340</xdr:colOff>
      <xdr:row>46</xdr:row>
      <xdr:rowOff>91440</xdr:rowOff>
    </xdr:from>
    <xdr:to>
      <xdr:col>13</xdr:col>
      <xdr:colOff>426720</xdr:colOff>
      <xdr:row>53</xdr:row>
      <xdr:rowOff>83820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D14A356-EF91-4B32-A515-D86BA222EA3F}"/>
            </a:ext>
          </a:extLst>
        </xdr:cNvPr>
        <xdr:cNvSpPr txBox="1"/>
      </xdr:nvSpPr>
      <xdr:spPr>
        <a:xfrm>
          <a:off x="10485120" y="9784080"/>
          <a:ext cx="2369820" cy="1455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CALCULAMOS MASOMENOS QUE LLEGUE AL AREA DEL DOBLE DE LA VIGA QUE ES DE 2250,</a:t>
          </a:r>
          <a:r>
            <a:rPr lang="es-GT" sz="1100" baseline="0"/>
            <a:t> </a:t>
          </a:r>
        </a:p>
        <a:p>
          <a:endParaRPr lang="es-GT" sz="1100" baseline="0"/>
        </a:p>
        <a:p>
          <a:r>
            <a:rPr lang="es-GT" sz="1100" baseline="0"/>
            <a:t>45*45 DA 2025 SE VA ACERCANDO, ESO LO DESIGNAREMOS </a:t>
          </a:r>
        </a:p>
        <a:p>
          <a:endParaRPr lang="es-GT" sz="1100" baseline="0"/>
        </a:p>
        <a:p>
          <a:endParaRPr lang="es-GT" sz="1100"/>
        </a:p>
      </xdr:txBody>
    </xdr:sp>
    <xdr:clientData/>
  </xdr:twoCellAnchor>
  <xdr:twoCellAnchor editAs="oneCell">
    <xdr:from>
      <xdr:col>8</xdr:col>
      <xdr:colOff>228600</xdr:colOff>
      <xdr:row>62</xdr:row>
      <xdr:rowOff>30480</xdr:rowOff>
    </xdr:from>
    <xdr:to>
      <xdr:col>14</xdr:col>
      <xdr:colOff>465517</xdr:colOff>
      <xdr:row>69</xdr:row>
      <xdr:rowOff>112585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F6BE535-B974-35A5-399C-2DD00AB5F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1940" y="11369040"/>
          <a:ext cx="4991797" cy="1362265"/>
        </a:xfrm>
        <a:prstGeom prst="rect">
          <a:avLst/>
        </a:prstGeom>
      </xdr:spPr>
    </xdr:pic>
    <xdr:clientData/>
  </xdr:twoCellAnchor>
  <xdr:twoCellAnchor>
    <xdr:from>
      <xdr:col>6</xdr:col>
      <xdr:colOff>175260</xdr:colOff>
      <xdr:row>61</xdr:row>
      <xdr:rowOff>76200</xdr:rowOff>
    </xdr:from>
    <xdr:to>
      <xdr:col>7</xdr:col>
      <xdr:colOff>670560</xdr:colOff>
      <xdr:row>63</xdr:row>
      <xdr:rowOff>91440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38ABE44-A718-0D9B-DF46-4DE8074ADB53}"/>
            </a:ext>
          </a:extLst>
        </xdr:cNvPr>
        <xdr:cNvSpPr txBox="1"/>
      </xdr:nvSpPr>
      <xdr:spPr>
        <a:xfrm>
          <a:off x="6263640" y="11231880"/>
          <a:ext cx="128778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espesor</a:t>
          </a:r>
          <a:r>
            <a:rPr lang="es-GT" sz="1100" baseline="0"/>
            <a:t> segun ACI</a:t>
          </a:r>
          <a:endParaRPr lang="es-GT" sz="1100"/>
        </a:p>
      </xdr:txBody>
    </xdr:sp>
    <xdr:clientData/>
  </xdr:twoCellAnchor>
  <xdr:twoCellAnchor>
    <xdr:from>
      <xdr:col>5</xdr:col>
      <xdr:colOff>0</xdr:colOff>
      <xdr:row>65</xdr:row>
      <xdr:rowOff>91440</xdr:rowOff>
    </xdr:from>
    <xdr:to>
      <xdr:col>7</xdr:col>
      <xdr:colOff>137160</xdr:colOff>
      <xdr:row>71</xdr:row>
      <xdr:rowOff>15240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8F74BAA-B0AE-F420-6C03-3CC208FE1FC0}"/>
            </a:ext>
          </a:extLst>
        </xdr:cNvPr>
        <xdr:cNvSpPr txBox="1"/>
      </xdr:nvSpPr>
      <xdr:spPr>
        <a:xfrm>
          <a:off x="5295900" y="11978640"/>
          <a:ext cx="1722120" cy="102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tmin segun aci no tiene que ser menor a 3.5 pulgadas,</a:t>
          </a:r>
          <a:r>
            <a:rPr lang="es-GT" sz="1100" baseline="0"/>
            <a:t> por 2.54 para convertirlo ametro </a:t>
          </a:r>
          <a:endParaRPr lang="es-GT" sz="1100"/>
        </a:p>
      </xdr:txBody>
    </xdr:sp>
    <xdr:clientData/>
  </xdr:twoCellAnchor>
  <xdr:twoCellAnchor>
    <xdr:from>
      <xdr:col>6</xdr:col>
      <xdr:colOff>381000</xdr:colOff>
      <xdr:row>71</xdr:row>
      <xdr:rowOff>91440</xdr:rowOff>
    </xdr:from>
    <xdr:to>
      <xdr:col>9</xdr:col>
      <xdr:colOff>106680</xdr:colOff>
      <xdr:row>76</xdr:row>
      <xdr:rowOff>121920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D0E6FCDA-8AAF-004A-07FE-89852804CDC9}"/>
            </a:ext>
          </a:extLst>
        </xdr:cNvPr>
        <xdr:cNvSpPr txBox="1"/>
      </xdr:nvSpPr>
      <xdr:spPr>
        <a:xfrm>
          <a:off x="6469380" y="13075920"/>
          <a:ext cx="210312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shell</a:t>
          </a:r>
          <a:r>
            <a:rPr lang="es-GT" sz="1100" baseline="0"/>
            <a:t> tin = t/L, longitud menor en este caso 5, cuanto es la relacion que se tiene que respetar para tin y tik, SE QUEDA AUN EN THIN </a:t>
          </a:r>
          <a:endParaRPr lang="es-GT" sz="1100"/>
        </a:p>
      </xdr:txBody>
    </xdr:sp>
    <xdr:clientData/>
  </xdr:twoCellAnchor>
  <xdr:twoCellAnchor editAs="oneCell">
    <xdr:from>
      <xdr:col>9</xdr:col>
      <xdr:colOff>220980</xdr:colOff>
      <xdr:row>71</xdr:row>
      <xdr:rowOff>76200</xdr:rowOff>
    </xdr:from>
    <xdr:to>
      <xdr:col>14</xdr:col>
      <xdr:colOff>595495</xdr:colOff>
      <xdr:row>75</xdr:row>
      <xdr:rowOff>114300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B15B81E-450C-BECB-8D78-DC49923DC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0" y="13060680"/>
          <a:ext cx="4336915" cy="769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289560</xdr:colOff>
      <xdr:row>1</xdr:row>
      <xdr:rowOff>83820</xdr:rowOff>
    </xdr:from>
    <xdr:to>
      <xdr:col>14</xdr:col>
      <xdr:colOff>149768</xdr:colOff>
      <xdr:row>2</xdr:row>
      <xdr:rowOff>176530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11FC3E-AACE-2F53-92F0-FBC4FCFAE5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895"/>
        <a:stretch/>
      </xdr:blipFill>
      <xdr:spPr>
        <a:xfrm>
          <a:off x="3535680" y="266700"/>
          <a:ext cx="7785008" cy="25908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3</xdr:row>
      <xdr:rowOff>22860</xdr:rowOff>
    </xdr:from>
    <xdr:to>
      <xdr:col>14</xdr:col>
      <xdr:colOff>378277</xdr:colOff>
      <xdr:row>4</xdr:row>
      <xdr:rowOff>172786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7151F2-89BD-1ABB-C9A9-BBFA4011F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6660" y="571500"/>
          <a:ext cx="7792537" cy="339156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5</xdr:row>
      <xdr:rowOff>30481</xdr:rowOff>
    </xdr:from>
    <xdr:to>
      <xdr:col>14</xdr:col>
      <xdr:colOff>559262</xdr:colOff>
      <xdr:row>6</xdr:row>
      <xdr:rowOff>134621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114965-9B43-78C3-B78C-608723178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5720" y="944881"/>
          <a:ext cx="7859222" cy="297180"/>
        </a:xfrm>
        <a:prstGeom prst="rect">
          <a:avLst/>
        </a:prstGeom>
      </xdr:spPr>
    </xdr:pic>
    <xdr:clientData/>
  </xdr:twoCellAnchor>
  <xdr:twoCellAnchor>
    <xdr:from>
      <xdr:col>14</xdr:col>
      <xdr:colOff>381000</xdr:colOff>
      <xdr:row>4</xdr:row>
      <xdr:rowOff>22860</xdr:rowOff>
    </xdr:from>
    <xdr:to>
      <xdr:col>16</xdr:col>
      <xdr:colOff>548640</xdr:colOff>
      <xdr:row>7</xdr:row>
      <xdr:rowOff>30480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E549DB8-72A2-9AD6-CDEB-FA6C4CEB588D}"/>
            </a:ext>
          </a:extLst>
        </xdr:cNvPr>
        <xdr:cNvSpPr txBox="1"/>
      </xdr:nvSpPr>
      <xdr:spPr>
        <a:xfrm>
          <a:off x="11551920" y="754380"/>
          <a:ext cx="175260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25.4 espesor de una pulgada el tablayeso </a:t>
          </a:r>
        </a:p>
      </xdr:txBody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26</xdr:col>
      <xdr:colOff>612586</xdr:colOff>
      <xdr:row>6</xdr:row>
      <xdr:rowOff>59751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A1AD93-C8E7-5AE4-E5C1-A6F763CD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48360" y="731520"/>
          <a:ext cx="7744906" cy="438211"/>
        </a:xfrm>
        <a:prstGeom prst="rect">
          <a:avLst/>
        </a:prstGeom>
      </xdr:spPr>
    </xdr:pic>
    <xdr:clientData/>
  </xdr:twoCellAnchor>
  <xdr:twoCellAnchor>
    <xdr:from>
      <xdr:col>21</xdr:col>
      <xdr:colOff>556260</xdr:colOff>
      <xdr:row>3</xdr:row>
      <xdr:rowOff>60960</xdr:rowOff>
    </xdr:from>
    <xdr:to>
      <xdr:col>23</xdr:col>
      <xdr:colOff>510540</xdr:colOff>
      <xdr:row>10</xdr:row>
      <xdr:rowOff>175260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EFF5195-E950-C514-3F87-5002F90EFB70}"/>
            </a:ext>
          </a:extLst>
        </xdr:cNvPr>
        <xdr:cNvSpPr txBox="1"/>
      </xdr:nvSpPr>
      <xdr:spPr>
        <a:xfrm>
          <a:off x="17274540" y="609600"/>
          <a:ext cx="1539240" cy="1394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otra forma de hacerlo debido</a:t>
          </a:r>
          <a:r>
            <a:rPr lang="es-GT" sz="1100" baseline="0"/>
            <a:t> que 13mm es media pulgada y 1 pulgada 26 entoces 10kgcm2 spor 2 seria 20kg/cm2</a:t>
          </a:r>
          <a:endParaRPr lang="es-GT" sz="1100"/>
        </a:p>
      </xdr:txBody>
    </xdr:sp>
    <xdr:clientData/>
  </xdr:twoCellAnchor>
  <xdr:twoCellAnchor>
    <xdr:from>
      <xdr:col>10</xdr:col>
      <xdr:colOff>121920</xdr:colOff>
      <xdr:row>7</xdr:row>
      <xdr:rowOff>30480</xdr:rowOff>
    </xdr:from>
    <xdr:to>
      <xdr:col>14</xdr:col>
      <xdr:colOff>365760</xdr:colOff>
      <xdr:row>11</xdr:row>
      <xdr:rowOff>91440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C1E90FC-35F8-1F3B-BE9D-C79209C64F86}"/>
            </a:ext>
          </a:extLst>
        </xdr:cNvPr>
        <xdr:cNvSpPr txBox="1"/>
      </xdr:nvSpPr>
      <xdr:spPr>
        <a:xfrm>
          <a:off x="8122920" y="1310640"/>
          <a:ext cx="341376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para instalaciones</a:t>
          </a:r>
          <a:r>
            <a:rPr lang="es-GT" sz="1100" baseline="0"/>
            <a:t> no las coloca la norma, porque so variables MINIMO SON 25, oficinas lo maximo que van a tener es internet y telefono por eso </a:t>
          </a:r>
        </a:p>
        <a:p>
          <a:br>
            <a:rPr lang="es-GT" sz="1100" baseline="0"/>
          </a:br>
          <a:br>
            <a:rPr lang="es-GT" sz="1100" baseline="0"/>
          </a:br>
          <a:endParaRPr lang="es-GT" sz="1100"/>
        </a:p>
      </xdr:txBody>
    </xdr:sp>
    <xdr:clientData/>
  </xdr:twoCellAnchor>
  <xdr:twoCellAnchor>
    <xdr:from>
      <xdr:col>4</xdr:col>
      <xdr:colOff>609600</xdr:colOff>
      <xdr:row>8</xdr:row>
      <xdr:rowOff>53340</xdr:rowOff>
    </xdr:from>
    <xdr:to>
      <xdr:col>9</xdr:col>
      <xdr:colOff>701040</xdr:colOff>
      <xdr:row>12</xdr:row>
      <xdr:rowOff>7620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2446995-4513-E7D9-6F20-D0299CE68312}"/>
            </a:ext>
          </a:extLst>
        </xdr:cNvPr>
        <xdr:cNvSpPr txBox="1"/>
      </xdr:nvSpPr>
      <xdr:spPr>
        <a:xfrm>
          <a:off x="3855720" y="1516380"/>
          <a:ext cx="405384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inge considero 7 cm aprox de pañuelo</a:t>
          </a:r>
          <a:r>
            <a:rPr lang="es-GT" sz="1100" baseline="0"/>
            <a:t> de desniveles, es 1.7 por que se va a colocar concreto pomez y no concreto solido obviamente, los 7cm como un espesor uniforme </a:t>
          </a:r>
          <a:endParaRPr lang="es-GT" sz="1100"/>
        </a:p>
      </xdr:txBody>
    </xdr:sp>
    <xdr:clientData/>
  </xdr:twoCellAnchor>
  <xdr:twoCellAnchor>
    <xdr:from>
      <xdr:col>9</xdr:col>
      <xdr:colOff>434340</xdr:colOff>
      <xdr:row>12</xdr:row>
      <xdr:rowOff>104755</xdr:rowOff>
    </xdr:from>
    <xdr:to>
      <xdr:col>15</xdr:col>
      <xdr:colOff>435334</xdr:colOff>
      <xdr:row>23</xdr:row>
      <xdr:rowOff>99061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2C760650-0440-3F54-00D2-A78022864FC2}"/>
            </a:ext>
          </a:extLst>
        </xdr:cNvPr>
        <xdr:cNvGrpSpPr/>
      </xdr:nvGrpSpPr>
      <xdr:grpSpPr>
        <a:xfrm>
          <a:off x="8432027" y="2331120"/>
          <a:ext cx="4771777" cy="2035141"/>
          <a:chOff x="7818120" y="2299315"/>
          <a:chExt cx="4755874" cy="2005986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01313796-257A-BFC3-5665-30B2B7AAAE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818120" y="2299315"/>
            <a:ext cx="4755874" cy="2005986"/>
          </a:xfrm>
          <a:prstGeom prst="rect">
            <a:avLst/>
          </a:prstGeom>
        </xdr:spPr>
      </xdr:pic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51757C16-F398-7D01-B33B-01DD8F3FB588}"/>
              </a:ext>
            </a:extLst>
          </xdr:cNvPr>
          <xdr:cNvSpPr txBox="1"/>
        </xdr:nvSpPr>
        <xdr:spPr>
          <a:xfrm>
            <a:off x="10530840" y="3253740"/>
            <a:ext cx="1402080" cy="4343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GT" sz="1100"/>
              <a:t>armado cada 80 cm---813mm</a:t>
            </a:r>
          </a:p>
        </xdr:txBody>
      </xdr:sp>
    </xdr:grpSp>
    <xdr:clientData/>
  </xdr:twoCellAnchor>
  <xdr:twoCellAnchor>
    <xdr:from>
      <xdr:col>7</xdr:col>
      <xdr:colOff>401485</xdr:colOff>
      <xdr:row>12</xdr:row>
      <xdr:rowOff>126504</xdr:rowOff>
    </xdr:from>
    <xdr:to>
      <xdr:col>9</xdr:col>
      <xdr:colOff>240195</xdr:colOff>
      <xdr:row>16</xdr:row>
      <xdr:rowOff>137933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6F00E41-55E8-8881-4327-356C5E90E088}"/>
            </a:ext>
          </a:extLst>
        </xdr:cNvPr>
        <xdr:cNvSpPr txBox="1"/>
      </xdr:nvSpPr>
      <xdr:spPr>
        <a:xfrm>
          <a:off x="6736024" y="2352869"/>
          <a:ext cx="1362710" cy="75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Ya</a:t>
          </a:r>
          <a:r>
            <a:rPr lang="es-GT" sz="1100" baseline="0"/>
            <a:t> = es la densidad del acabado, espesor de acabado 1cm </a:t>
          </a:r>
          <a:endParaRPr lang="es-GT" sz="1100"/>
        </a:p>
      </xdr:txBody>
    </xdr:sp>
    <xdr:clientData/>
  </xdr:twoCellAnchor>
  <xdr:twoCellAnchor>
    <xdr:from>
      <xdr:col>6</xdr:col>
      <xdr:colOff>480060</xdr:colOff>
      <xdr:row>17</xdr:row>
      <xdr:rowOff>83820</xdr:rowOff>
    </xdr:from>
    <xdr:to>
      <xdr:col>9</xdr:col>
      <xdr:colOff>304800</xdr:colOff>
      <xdr:row>23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A4C1F92B-9561-4A35-8636-AD2F2E65AFCD}"/>
            </a:ext>
          </a:extLst>
        </xdr:cNvPr>
        <xdr:cNvSpPr txBox="1"/>
      </xdr:nvSpPr>
      <xdr:spPr>
        <a:xfrm>
          <a:off x="6088380" y="3192780"/>
          <a:ext cx="220218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Altura de</a:t>
          </a:r>
          <a:r>
            <a:rPr lang="es-GT" sz="1100" baseline="0"/>
            <a:t> muro, 3m -.50 de la viga queda 2.50, luego que ya tenemos la densidad del muro que esd 183 lo multiplicamos por 2.50, nos da 457.5 </a:t>
          </a:r>
          <a:endParaRPr lang="es-GT" sz="1100"/>
        </a:p>
      </xdr:txBody>
    </xdr:sp>
    <xdr:clientData/>
  </xdr:twoCellAnchor>
  <xdr:twoCellAnchor editAs="oneCell">
    <xdr:from>
      <xdr:col>15</xdr:col>
      <xdr:colOff>304800</xdr:colOff>
      <xdr:row>15</xdr:row>
      <xdr:rowOff>15240</xdr:rowOff>
    </xdr:from>
    <xdr:to>
      <xdr:col>18</xdr:col>
      <xdr:colOff>403629</xdr:colOff>
      <xdr:row>31</xdr:row>
      <xdr:rowOff>137160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147892B-122A-4AF4-6B4C-C1883DA3A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43460" y="2758440"/>
          <a:ext cx="2485159" cy="304800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</xdr:colOff>
      <xdr:row>23</xdr:row>
      <xdr:rowOff>80605</xdr:rowOff>
    </xdr:from>
    <xdr:to>
      <xdr:col>13</xdr:col>
      <xdr:colOff>268879</xdr:colOff>
      <xdr:row>33</xdr:row>
      <xdr:rowOff>99061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F25D473-39FA-D59D-15DA-680CF806A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4286845"/>
          <a:ext cx="3377839" cy="1847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92697</xdr:colOff>
      <xdr:row>32</xdr:row>
      <xdr:rowOff>121920</xdr:rowOff>
    </xdr:from>
    <xdr:to>
      <xdr:col>14</xdr:col>
      <xdr:colOff>477520</xdr:colOff>
      <xdr:row>41</xdr:row>
      <xdr:rowOff>38100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72B0A45-DFFE-9A98-9B54-A80BFD5F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85977" y="5974080"/>
          <a:ext cx="5134623" cy="1562100"/>
        </a:xfrm>
        <a:prstGeom prst="rect">
          <a:avLst/>
        </a:prstGeom>
      </xdr:spPr>
    </xdr:pic>
    <xdr:clientData/>
  </xdr:twoCellAnchor>
  <xdr:twoCellAnchor editAs="oneCell">
    <xdr:from>
      <xdr:col>14</xdr:col>
      <xdr:colOff>405527</xdr:colOff>
      <xdr:row>47</xdr:row>
      <xdr:rowOff>148409</xdr:rowOff>
    </xdr:from>
    <xdr:to>
      <xdr:col>20</xdr:col>
      <xdr:colOff>440875</xdr:colOff>
      <xdr:row>63</xdr:row>
      <xdr:rowOff>20500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04B9777-CE78-769D-FF59-80A99D4AC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075013" y="7180580"/>
          <a:ext cx="4608618" cy="2834277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48</xdr:row>
      <xdr:rowOff>31750</xdr:rowOff>
    </xdr:from>
    <xdr:to>
      <xdr:col>14</xdr:col>
      <xdr:colOff>747885</xdr:colOff>
      <xdr:row>50</xdr:row>
      <xdr:rowOff>111187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C26CCCC-244D-6331-6993-485B1EDA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8800" y="7213600"/>
          <a:ext cx="8059275" cy="447737"/>
        </a:xfrm>
        <a:prstGeom prst="rect">
          <a:avLst/>
        </a:prstGeom>
      </xdr:spPr>
    </xdr:pic>
    <xdr:clientData/>
  </xdr:twoCellAnchor>
  <xdr:twoCellAnchor editAs="oneCell">
    <xdr:from>
      <xdr:col>7</xdr:col>
      <xdr:colOff>96701</xdr:colOff>
      <xdr:row>52</xdr:row>
      <xdr:rowOff>87085</xdr:rowOff>
    </xdr:from>
    <xdr:to>
      <xdr:col>14</xdr:col>
      <xdr:colOff>365395</xdr:colOff>
      <xdr:row>60</xdr:row>
      <xdr:rowOff>153278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46CF1040-8776-442F-8305-D8A96345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32187" y="8044542"/>
          <a:ext cx="5587454" cy="1546650"/>
        </a:xfrm>
        <a:prstGeom prst="rect">
          <a:avLst/>
        </a:prstGeom>
      </xdr:spPr>
    </xdr:pic>
    <xdr:clientData/>
  </xdr:twoCellAnchor>
  <xdr:twoCellAnchor editAs="oneCell">
    <xdr:from>
      <xdr:col>5</xdr:col>
      <xdr:colOff>100662</xdr:colOff>
      <xdr:row>60</xdr:row>
      <xdr:rowOff>125895</xdr:rowOff>
    </xdr:from>
    <xdr:to>
      <xdr:col>12</xdr:col>
      <xdr:colOff>253062</xdr:colOff>
      <xdr:row>63</xdr:row>
      <xdr:rowOff>21690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E4FE1C6-F53E-719C-379E-FE7A9FC4F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11201" y="9587947"/>
          <a:ext cx="5487670" cy="447306"/>
        </a:xfrm>
        <a:prstGeom prst="rect">
          <a:avLst/>
        </a:prstGeom>
      </xdr:spPr>
    </xdr:pic>
    <xdr:clientData/>
  </xdr:twoCellAnchor>
  <xdr:twoCellAnchor>
    <xdr:from>
      <xdr:col>3</xdr:col>
      <xdr:colOff>568573</xdr:colOff>
      <xdr:row>12</xdr:row>
      <xdr:rowOff>63720</xdr:rowOff>
    </xdr:from>
    <xdr:to>
      <xdr:col>7</xdr:col>
      <xdr:colOff>278296</xdr:colOff>
      <xdr:row>17</xdr:row>
      <xdr:rowOff>120539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8FD08DB-3A52-4D0B-952F-C322255EF578}"/>
            </a:ext>
          </a:extLst>
        </xdr:cNvPr>
        <xdr:cNvSpPr txBox="1"/>
      </xdr:nvSpPr>
      <xdr:spPr>
        <a:xfrm>
          <a:off x="3855112" y="2290085"/>
          <a:ext cx="2757723" cy="984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pauñuelo</a:t>
          </a:r>
          <a:r>
            <a:rPr lang="es-GT" sz="1100" baseline="0"/>
            <a:t> si la distancia de la losa es 18 en x, el movimiento del agua es un 75%= 75% * 18= 13.5cm  aprox 14cm</a:t>
          </a:r>
        </a:p>
        <a:p>
          <a:r>
            <a:rPr lang="es-GT" sz="1100"/>
            <a:t>75% por</a:t>
          </a:r>
          <a:r>
            <a:rPr lang="es-GT" sz="1100" baseline="0"/>
            <a:t> que no se pueden tener pendientes inferiores a 75%</a:t>
          </a:r>
          <a:endParaRPr lang="es-GT" sz="1100"/>
        </a:p>
      </xdr:txBody>
    </xdr:sp>
    <xdr:clientData/>
  </xdr:twoCellAnchor>
  <xdr:twoCellAnchor>
    <xdr:from>
      <xdr:col>5</xdr:col>
      <xdr:colOff>298174</xdr:colOff>
      <xdr:row>67</xdr:row>
      <xdr:rowOff>26505</xdr:rowOff>
    </xdr:from>
    <xdr:to>
      <xdr:col>9</xdr:col>
      <xdr:colOff>16787</xdr:colOff>
      <xdr:row>72</xdr:row>
      <xdr:rowOff>88404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BBCDB6A0-A0BA-48F9-AB3B-7ED4724F20E2}"/>
            </a:ext>
          </a:extLst>
        </xdr:cNvPr>
        <xdr:cNvSpPr txBox="1"/>
      </xdr:nvSpPr>
      <xdr:spPr>
        <a:xfrm>
          <a:off x="5108713" y="10787270"/>
          <a:ext cx="2766613" cy="98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pauñuelo</a:t>
          </a:r>
          <a:r>
            <a:rPr lang="es-GT" sz="1100" baseline="0"/>
            <a:t> si la distancia de la losa es 18 en x, el movimiento del agua es un 75%= 75% * 18= 13.5cm  aprox 14cm REBALSE </a:t>
          </a:r>
        </a:p>
        <a:p>
          <a:r>
            <a:rPr lang="es-GT" sz="1100"/>
            <a:t>75% por</a:t>
          </a:r>
          <a:r>
            <a:rPr lang="es-GT" sz="1100" baseline="0"/>
            <a:t> que no se pueden tener pendientes inferiores a 75%</a:t>
          </a:r>
          <a:endParaRPr lang="es-GT" sz="1100"/>
        </a:p>
      </xdr:txBody>
    </xdr:sp>
    <xdr:clientData/>
  </xdr:twoCellAnchor>
  <xdr:twoCellAnchor editAs="oneCell">
    <xdr:from>
      <xdr:col>9</xdr:col>
      <xdr:colOff>213581</xdr:colOff>
      <xdr:row>63</xdr:row>
      <xdr:rowOff>167872</xdr:rowOff>
    </xdr:from>
    <xdr:to>
      <xdr:col>16</xdr:col>
      <xdr:colOff>138155</xdr:colOff>
      <xdr:row>76</xdr:row>
      <xdr:rowOff>114932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4622849-328A-1B78-F013-31F9C1BC2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72120" y="10186515"/>
          <a:ext cx="5266194" cy="23589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160296</xdr:rowOff>
    </xdr:from>
    <xdr:to>
      <xdr:col>5</xdr:col>
      <xdr:colOff>174266</xdr:colOff>
      <xdr:row>74</xdr:row>
      <xdr:rowOff>38743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F8E7DA32-AD57-A1F7-C662-8FE43F750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9807879"/>
          <a:ext cx="4969564" cy="2290342"/>
        </a:xfrm>
        <a:prstGeom prst="rect">
          <a:avLst/>
        </a:prstGeom>
      </xdr:spPr>
    </xdr:pic>
    <xdr:clientData/>
  </xdr:twoCellAnchor>
  <xdr:twoCellAnchor>
    <xdr:from>
      <xdr:col>1</xdr:col>
      <xdr:colOff>176088</xdr:colOff>
      <xdr:row>57</xdr:row>
      <xdr:rowOff>23964</xdr:rowOff>
    </xdr:from>
    <xdr:to>
      <xdr:col>3</xdr:col>
      <xdr:colOff>602974</xdr:colOff>
      <xdr:row>60</xdr:row>
      <xdr:rowOff>172278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6DAC014-0C8E-9D56-C26C-7EB945899CA0}"/>
            </a:ext>
          </a:extLst>
        </xdr:cNvPr>
        <xdr:cNvSpPr txBox="1"/>
      </xdr:nvSpPr>
      <xdr:spPr>
        <a:xfrm>
          <a:off x="1600697" y="8929425"/>
          <a:ext cx="2288816" cy="704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carga de techo </a:t>
          </a:r>
          <a:r>
            <a:rPr lang="es-GT" sz="1100"/>
            <a:t>No</a:t>
          </a:r>
          <a:r>
            <a:rPr lang="es-GT" sz="1100" baseline="0"/>
            <a:t> se aplican al mismo tiempo, solo se elige el mayor, o el que genera mayor efecto </a:t>
          </a:r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563880</xdr:colOff>
      <xdr:row>2</xdr:row>
      <xdr:rowOff>99060</xdr:rowOff>
    </xdr:from>
    <xdr:to>
      <xdr:col>17</xdr:col>
      <xdr:colOff>624426</xdr:colOff>
      <xdr:row>6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99C436-A2F4-96F2-7F7F-E4BF841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9780" y="464820"/>
          <a:ext cx="9078592" cy="64008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7</xdr:row>
      <xdr:rowOff>15240</xdr:rowOff>
    </xdr:from>
    <xdr:to>
      <xdr:col>20</xdr:col>
      <xdr:colOff>504058</xdr:colOff>
      <xdr:row>11</xdr:row>
      <xdr:rowOff>74405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58BFEE-767F-86F8-0F0F-ED9755C9B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6080" y="1295400"/>
          <a:ext cx="11098174" cy="790685"/>
        </a:xfrm>
        <a:prstGeom prst="rect">
          <a:avLst/>
        </a:prstGeom>
      </xdr:spPr>
    </xdr:pic>
    <xdr:clientData/>
  </xdr:twoCellAnchor>
  <xdr:twoCellAnchor editAs="oneCell">
    <xdr:from>
      <xdr:col>8</xdr:col>
      <xdr:colOff>297180</xdr:colOff>
      <xdr:row>10</xdr:row>
      <xdr:rowOff>22860</xdr:rowOff>
    </xdr:from>
    <xdr:to>
      <xdr:col>10</xdr:col>
      <xdr:colOff>136089</xdr:colOff>
      <xdr:row>19</xdr:row>
      <xdr:rowOff>96126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0FAC6F-05B2-CB2F-8C4A-B8A3CFB14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0" y="1851660"/>
          <a:ext cx="1428949" cy="1724266"/>
        </a:xfrm>
        <a:prstGeom prst="rect">
          <a:avLst/>
        </a:prstGeom>
      </xdr:spPr>
    </xdr:pic>
    <xdr:clientData/>
  </xdr:twoCellAnchor>
  <xdr:twoCellAnchor editAs="oneCell">
    <xdr:from>
      <xdr:col>11</xdr:col>
      <xdr:colOff>556260</xdr:colOff>
      <xdr:row>12</xdr:row>
      <xdr:rowOff>156845</xdr:rowOff>
    </xdr:from>
    <xdr:to>
      <xdr:col>21</xdr:col>
      <xdr:colOff>190919</xdr:colOff>
      <xdr:row>32</xdr:row>
      <xdr:rowOff>175136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49A3815-C9AB-378E-9E17-41C44EFCA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3510" y="2442845"/>
          <a:ext cx="7254659" cy="3828291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29</xdr:row>
      <xdr:rowOff>42862</xdr:rowOff>
    </xdr:from>
    <xdr:to>
      <xdr:col>9</xdr:col>
      <xdr:colOff>581291</xdr:colOff>
      <xdr:row>35</xdr:row>
      <xdr:rowOff>23813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B047951-7778-34B3-E99E-5F6DBDC22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6677"/>
        <a:stretch/>
      </xdr:blipFill>
      <xdr:spPr>
        <a:xfrm>
          <a:off x="4481513" y="5291137"/>
          <a:ext cx="4848902" cy="1047751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128588</xdr:colOff>
      <xdr:row>35</xdr:row>
      <xdr:rowOff>142875</xdr:rowOff>
    </xdr:from>
    <xdr:to>
      <xdr:col>9</xdr:col>
      <xdr:colOff>100622</xdr:colOff>
      <xdr:row>41</xdr:row>
      <xdr:rowOff>96665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D0B06B-0446-374E-8237-B2014EE55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67226" y="6477000"/>
          <a:ext cx="4363059" cy="103837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38</xdr:row>
      <xdr:rowOff>157230</xdr:rowOff>
    </xdr:from>
    <xdr:to>
      <xdr:col>2</xdr:col>
      <xdr:colOff>403763</xdr:colOff>
      <xdr:row>44</xdr:row>
      <xdr:rowOff>177114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82DB22E-C09A-93D8-CCB1-E730D150D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" y="7034280"/>
          <a:ext cx="2990850" cy="1104464"/>
        </a:xfrm>
        <a:prstGeom prst="rect">
          <a:avLst/>
        </a:prstGeom>
      </xdr:spPr>
    </xdr:pic>
    <xdr:clientData/>
  </xdr:twoCellAnchor>
  <xdr:twoCellAnchor editAs="oneCell">
    <xdr:from>
      <xdr:col>4</xdr:col>
      <xdr:colOff>118124</xdr:colOff>
      <xdr:row>47</xdr:row>
      <xdr:rowOff>15239</xdr:rowOff>
    </xdr:from>
    <xdr:to>
      <xdr:col>8</xdr:col>
      <xdr:colOff>174347</xdr:colOff>
      <xdr:row>55</xdr:row>
      <xdr:rowOff>139806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AEB083-CCB4-0BB4-563E-07D66AB77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61524" y="8610599"/>
          <a:ext cx="3668103" cy="1586337"/>
        </a:xfrm>
        <a:prstGeom prst="rect">
          <a:avLst/>
        </a:prstGeom>
      </xdr:spPr>
    </xdr:pic>
    <xdr:clientData/>
  </xdr:twoCellAnchor>
  <xdr:twoCellAnchor editAs="oneCell">
    <xdr:from>
      <xdr:col>5</xdr:col>
      <xdr:colOff>778908</xdr:colOff>
      <xdr:row>61</xdr:row>
      <xdr:rowOff>35597</xdr:rowOff>
    </xdr:from>
    <xdr:to>
      <xdr:col>10</xdr:col>
      <xdr:colOff>700358</xdr:colOff>
      <xdr:row>69</xdr:row>
      <xdr:rowOff>173841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157C9DB-53E3-033C-F25C-24334D952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6720" y="10972538"/>
          <a:ext cx="4305339" cy="1577677"/>
        </a:xfrm>
        <a:prstGeom prst="rect">
          <a:avLst/>
        </a:prstGeom>
      </xdr:spPr>
    </xdr:pic>
    <xdr:clientData/>
  </xdr:twoCellAnchor>
  <xdr:twoCellAnchor>
    <xdr:from>
      <xdr:col>15</xdr:col>
      <xdr:colOff>486140</xdr:colOff>
      <xdr:row>170</xdr:row>
      <xdr:rowOff>97942</xdr:rowOff>
    </xdr:from>
    <xdr:to>
      <xdr:col>25</xdr:col>
      <xdr:colOff>70281</xdr:colOff>
      <xdr:row>193</xdr:row>
      <xdr:rowOff>95840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784402B-2E91-2E42-EFF9-500D9A5B9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625365</xdr:colOff>
      <xdr:row>160</xdr:row>
      <xdr:rowOff>141890</xdr:rowOff>
    </xdr:from>
    <xdr:to>
      <xdr:col>8</xdr:col>
      <xdr:colOff>356056</xdr:colOff>
      <xdr:row>163</xdr:row>
      <xdr:rowOff>61266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3F66CE0-9D16-56FF-D493-3C9FD696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5365" y="29570856"/>
          <a:ext cx="7798819" cy="457199"/>
        </a:xfrm>
        <a:prstGeom prst="rect">
          <a:avLst/>
        </a:prstGeom>
      </xdr:spPr>
    </xdr:pic>
    <xdr:clientData/>
  </xdr:twoCellAnchor>
  <xdr:twoCellAnchor editAs="oneCell">
    <xdr:from>
      <xdr:col>9</xdr:col>
      <xdr:colOff>634275</xdr:colOff>
      <xdr:row>153</xdr:row>
      <xdr:rowOff>54577</xdr:rowOff>
    </xdr:from>
    <xdr:to>
      <xdr:col>17</xdr:col>
      <xdr:colOff>401502</xdr:colOff>
      <xdr:row>165</xdr:row>
      <xdr:rowOff>96419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D3103A8-256D-EFC5-8F2D-068044B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71495" y="28035217"/>
          <a:ext cx="5851797" cy="2244022"/>
        </a:xfrm>
        <a:prstGeom prst="rect">
          <a:avLst/>
        </a:prstGeom>
      </xdr:spPr>
    </xdr:pic>
    <xdr:clientData/>
  </xdr:twoCellAnchor>
  <xdr:twoCellAnchor editAs="oneCell">
    <xdr:from>
      <xdr:col>17</xdr:col>
      <xdr:colOff>449517</xdr:colOff>
      <xdr:row>170</xdr:row>
      <xdr:rowOff>142122</xdr:rowOff>
    </xdr:from>
    <xdr:to>
      <xdr:col>25</xdr:col>
      <xdr:colOff>437384</xdr:colOff>
      <xdr:row>182</xdr:row>
      <xdr:rowOff>113233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00F2BE-7FB0-C5A1-84AB-F10E1943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133705" y="30622122"/>
          <a:ext cx="6299020" cy="2122640"/>
        </a:xfrm>
        <a:prstGeom prst="rect">
          <a:avLst/>
        </a:prstGeom>
      </xdr:spPr>
    </xdr:pic>
    <xdr:clientData/>
  </xdr:twoCellAnchor>
  <xdr:twoCellAnchor editAs="oneCell">
    <xdr:from>
      <xdr:col>4</xdr:col>
      <xdr:colOff>441219</xdr:colOff>
      <xdr:row>164</xdr:row>
      <xdr:rowOff>33521</xdr:rowOff>
    </xdr:from>
    <xdr:to>
      <xdr:col>6</xdr:col>
      <xdr:colOff>346190</xdr:colOff>
      <xdr:row>170</xdr:row>
      <xdr:rowOff>62228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CB6BD26-9D93-9F11-44AD-D6D3AEC17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69784" y="29437756"/>
          <a:ext cx="1635159" cy="1104472"/>
        </a:xfrm>
        <a:prstGeom prst="rect">
          <a:avLst/>
        </a:prstGeom>
      </xdr:spPr>
    </xdr:pic>
    <xdr:clientData/>
  </xdr:twoCellAnchor>
  <xdr:twoCellAnchor editAs="oneCell">
    <xdr:from>
      <xdr:col>3</xdr:col>
      <xdr:colOff>589446</xdr:colOff>
      <xdr:row>171</xdr:row>
      <xdr:rowOff>68802</xdr:rowOff>
    </xdr:from>
    <xdr:to>
      <xdr:col>5</xdr:col>
      <xdr:colOff>927766</xdr:colOff>
      <xdr:row>177</xdr:row>
      <xdr:rowOff>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A9239A-6643-E4A9-E600-CCF7CC6530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r="59482"/>
        <a:stretch/>
      </xdr:blipFill>
      <xdr:spPr>
        <a:xfrm>
          <a:off x="4253672" y="31794506"/>
          <a:ext cx="1829076" cy="1045356"/>
        </a:xfrm>
        <a:prstGeom prst="rect">
          <a:avLst/>
        </a:prstGeom>
      </xdr:spPr>
    </xdr:pic>
    <xdr:clientData/>
  </xdr:twoCellAnchor>
  <xdr:twoCellAnchor editAs="oneCell">
    <xdr:from>
      <xdr:col>4</xdr:col>
      <xdr:colOff>6350</xdr:colOff>
      <xdr:row>177</xdr:row>
      <xdr:rowOff>101932</xdr:rowOff>
    </xdr:from>
    <xdr:to>
      <xdr:col>6</xdr:col>
      <xdr:colOff>554028</xdr:colOff>
      <xdr:row>181</xdr:row>
      <xdr:rowOff>58408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760C0A3-3B16-239C-CD84-6EF9754C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32576" y="32940819"/>
          <a:ext cx="2210108" cy="70494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38</xdr:col>
      <xdr:colOff>58542</xdr:colOff>
      <xdr:row>180</xdr:row>
      <xdr:rowOff>22134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E7D50A1-B3EA-5685-1C44-F0AF9D1FF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863455" y="29357782"/>
          <a:ext cx="14527652" cy="3067478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508000</xdr:colOff>
      <xdr:row>165</xdr:row>
      <xdr:rowOff>153670</xdr:rowOff>
    </xdr:from>
    <xdr:to>
      <xdr:col>16</xdr:col>
      <xdr:colOff>676989</xdr:colOff>
      <xdr:row>170</xdr:row>
      <xdr:rowOff>137919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9516161-78B2-57AD-C034-54CF9C114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59220" y="30328870"/>
          <a:ext cx="8066895" cy="888489"/>
        </a:xfrm>
        <a:prstGeom prst="rect">
          <a:avLst/>
        </a:prstGeom>
      </xdr:spPr>
    </xdr:pic>
    <xdr:clientData/>
  </xdr:twoCellAnchor>
  <xdr:twoCellAnchor editAs="oneCell">
    <xdr:from>
      <xdr:col>9</xdr:col>
      <xdr:colOff>31519</xdr:colOff>
      <xdr:row>119</xdr:row>
      <xdr:rowOff>69273</xdr:rowOff>
    </xdr:from>
    <xdr:to>
      <xdr:col>24</xdr:col>
      <xdr:colOff>725996</xdr:colOff>
      <xdr:row>148</xdr:row>
      <xdr:rowOff>129413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7DDE1C-F88F-F8DC-FC0B-6EE62E29E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274974" y="21502255"/>
          <a:ext cx="12124477" cy="5283303"/>
        </a:xfrm>
        <a:prstGeom prst="rect">
          <a:avLst/>
        </a:prstGeom>
      </xdr:spPr>
    </xdr:pic>
    <xdr:clientData/>
  </xdr:twoCellAnchor>
  <xdr:twoCellAnchor editAs="oneCell">
    <xdr:from>
      <xdr:col>28</xdr:col>
      <xdr:colOff>55419</xdr:colOff>
      <xdr:row>117</xdr:row>
      <xdr:rowOff>138545</xdr:rowOff>
    </xdr:from>
    <xdr:to>
      <xdr:col>40</xdr:col>
      <xdr:colOff>236426</xdr:colOff>
      <xdr:row>146</xdr:row>
      <xdr:rowOff>173916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CBEB348-381A-8B8F-4D19-2338E1A5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776874" y="21211309"/>
          <a:ext cx="9325007" cy="5258534"/>
        </a:xfrm>
        <a:prstGeom prst="rect">
          <a:avLst/>
        </a:prstGeom>
      </xdr:spPr>
    </xdr:pic>
    <xdr:clientData/>
  </xdr:twoCellAnchor>
  <xdr:twoCellAnchor editAs="oneCell">
    <xdr:from>
      <xdr:col>17</xdr:col>
      <xdr:colOff>674915</xdr:colOff>
      <xdr:row>0</xdr:row>
      <xdr:rowOff>0</xdr:rowOff>
    </xdr:from>
    <xdr:to>
      <xdr:col>25</xdr:col>
      <xdr:colOff>154939</xdr:colOff>
      <xdr:row>8</xdr:row>
      <xdr:rowOff>71273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A29EC51-D97E-A37D-2C75-710E6F2EF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011401" y="0"/>
          <a:ext cx="5576024" cy="1551730"/>
        </a:xfrm>
        <a:prstGeom prst="rect">
          <a:avLst/>
        </a:prstGeom>
      </xdr:spPr>
    </xdr:pic>
    <xdr:clientData/>
  </xdr:twoCellAnchor>
  <xdr:twoCellAnchor editAs="oneCell">
    <xdr:from>
      <xdr:col>0</xdr:col>
      <xdr:colOff>251012</xdr:colOff>
      <xdr:row>191</xdr:row>
      <xdr:rowOff>8967</xdr:rowOff>
    </xdr:from>
    <xdr:to>
      <xdr:col>3</xdr:col>
      <xdr:colOff>89647</xdr:colOff>
      <xdr:row>194</xdr:row>
      <xdr:rowOff>44514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199AEDAD-7D16-648C-996D-B0C61AC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1012" y="34254143"/>
          <a:ext cx="3478306" cy="573430"/>
        </a:xfrm>
        <a:prstGeom prst="rect">
          <a:avLst/>
        </a:prstGeom>
      </xdr:spPr>
    </xdr:pic>
    <xdr:clientData/>
  </xdr:twoCellAnchor>
  <xdr:oneCellAnchor>
    <xdr:from>
      <xdr:col>0</xdr:col>
      <xdr:colOff>251012</xdr:colOff>
      <xdr:row>203</xdr:row>
      <xdr:rowOff>8967</xdr:rowOff>
    </xdr:from>
    <xdr:ext cx="3478306" cy="573430"/>
    <xdr:pic>
      <xdr:nvPicPr>
        <xdr:cNvPr id="24" name="Imagen 23">
          <a:extLst>
            <a:ext uri="{FF2B5EF4-FFF2-40B4-BE49-F238E27FC236}">
              <a16:creationId xmlns:a16="http://schemas.microsoft.com/office/drawing/2014/main" id="{68C1B62A-84EA-45B4-8E2C-D66D86127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1012" y="34254143"/>
          <a:ext cx="3478306" cy="5734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9E3E-3ADD-4119-B5DB-094A910E7B22}">
  <dimension ref="A1:F81"/>
  <sheetViews>
    <sheetView topLeftCell="A70" zoomScale="55" zoomScaleNormal="55" workbookViewId="0">
      <selection activeCell="A57" sqref="A57:C57"/>
    </sheetView>
  </sheetViews>
  <sheetFormatPr baseColWidth="10" defaultRowHeight="14.4" x14ac:dyDescent="0.3"/>
  <cols>
    <col min="2" max="2" width="18.33203125" customWidth="1"/>
    <col min="3" max="3" width="19" customWidth="1"/>
    <col min="5" max="5" width="16.77734375" bestFit="1" customWidth="1"/>
  </cols>
  <sheetData>
    <row r="1" spans="1:6" x14ac:dyDescent="0.3">
      <c r="C1" t="s">
        <v>0</v>
      </c>
    </row>
    <row r="2" spans="1:6" x14ac:dyDescent="0.3">
      <c r="A2" t="s">
        <v>1</v>
      </c>
      <c r="B2" s="5">
        <v>4000</v>
      </c>
      <c r="C2" s="6">
        <f>B2/14.22</f>
        <v>281.2939521800281</v>
      </c>
      <c r="D2" t="s">
        <v>19</v>
      </c>
      <c r="E2" s="6">
        <f>15100*SQRT(C2)</f>
        <v>253254.48473140257</v>
      </c>
      <c r="F2" t="s">
        <v>2</v>
      </c>
    </row>
    <row r="3" spans="1:6" x14ac:dyDescent="0.3">
      <c r="A3" t="s">
        <v>3</v>
      </c>
      <c r="B3" s="5">
        <v>60000</v>
      </c>
      <c r="C3" s="6">
        <f>B3/14.22</f>
        <v>4219.4092827004215</v>
      </c>
      <c r="D3" t="s">
        <v>20</v>
      </c>
      <c r="E3" s="6">
        <v>2039321.85</v>
      </c>
      <c r="F3" t="s">
        <v>4</v>
      </c>
    </row>
    <row r="4" spans="1:6" x14ac:dyDescent="0.3">
      <c r="A4" t="s">
        <v>5</v>
      </c>
      <c r="B4" s="6">
        <v>39.200000000000003</v>
      </c>
      <c r="C4" t="s">
        <v>6</v>
      </c>
      <c r="F4" t="s">
        <v>7</v>
      </c>
    </row>
    <row r="6" spans="1:6" x14ac:dyDescent="0.3">
      <c r="A6" t="s">
        <v>8</v>
      </c>
    </row>
    <row r="7" spans="1:6" x14ac:dyDescent="0.3">
      <c r="A7" t="s">
        <v>9</v>
      </c>
    </row>
    <row r="8" spans="1:6" x14ac:dyDescent="0.3">
      <c r="A8" t="s">
        <v>10</v>
      </c>
    </row>
    <row r="9" spans="1:6" x14ac:dyDescent="0.3">
      <c r="A9" s="1" t="s">
        <v>11</v>
      </c>
      <c r="B9" s="2">
        <v>6</v>
      </c>
    </row>
    <row r="11" spans="1:6" x14ac:dyDescent="0.3">
      <c r="A11" s="4" t="s">
        <v>12</v>
      </c>
      <c r="B11" s="4" t="s">
        <v>13</v>
      </c>
      <c r="C11" s="4" t="s">
        <v>14</v>
      </c>
    </row>
    <row r="12" spans="1:6" x14ac:dyDescent="0.3">
      <c r="A12" s="3">
        <f>B9/14</f>
        <v>0.42857142857142855</v>
      </c>
      <c r="B12" s="2">
        <v>0.5</v>
      </c>
      <c r="C12" s="3">
        <f>B9/10</f>
        <v>0.6</v>
      </c>
    </row>
    <row r="14" spans="1:6" x14ac:dyDescent="0.3">
      <c r="A14" s="4" t="s">
        <v>16</v>
      </c>
      <c r="B14" s="4" t="s">
        <v>15</v>
      </c>
      <c r="C14" s="4" t="s">
        <v>17</v>
      </c>
    </row>
    <row r="15" spans="1:6" x14ac:dyDescent="0.3">
      <c r="A15" s="3">
        <f>B12/2</f>
        <v>0.25</v>
      </c>
      <c r="B15" s="2">
        <v>0.3</v>
      </c>
      <c r="C15" s="3">
        <f>2*B12/3</f>
        <v>0.33333333333333331</v>
      </c>
      <c r="D15" s="1" t="s">
        <v>18</v>
      </c>
      <c r="E15" s="3">
        <f>MAX(0.3*B12,0.25)</f>
        <v>0.25</v>
      </c>
    </row>
    <row r="17" spans="1:5" x14ac:dyDescent="0.3">
      <c r="A17" s="49" t="str">
        <f>CONCATENATE("VX ",B12*100,"cm X ",B15*100,"cm")</f>
        <v>VX 50cm X 30cm</v>
      </c>
      <c r="B17" s="49"/>
      <c r="C17" s="49"/>
    </row>
    <row r="18" spans="1:5" x14ac:dyDescent="0.3">
      <c r="A18" t="s">
        <v>21</v>
      </c>
      <c r="B18" s="7">
        <f>(14/$C$3)*B15*100*(B12-0.06)*100</f>
        <v>4.3797600000000001</v>
      </c>
    </row>
    <row r="19" spans="1:5" x14ac:dyDescent="0.3">
      <c r="A19" t="s">
        <v>22</v>
      </c>
      <c r="B19">
        <f>(0.85*0.85*$C$2/$C$3)*(0.003/(0.003+($C$3/$E$3)+0.003))</f>
        <v>1.7907986129220434E-2</v>
      </c>
    </row>
    <row r="20" spans="1:5" x14ac:dyDescent="0.3">
      <c r="A20" t="s">
        <v>23</v>
      </c>
      <c r="B20" s="7">
        <f>B19*B15*100*(B12-0.06)*100</f>
        <v>23.638541690570971</v>
      </c>
    </row>
    <row r="23" spans="1:5" x14ac:dyDescent="0.3">
      <c r="A23" t="s">
        <v>24</v>
      </c>
    </row>
    <row r="24" spans="1:5" x14ac:dyDescent="0.3">
      <c r="A24" s="1" t="s">
        <v>11</v>
      </c>
      <c r="B24" s="2">
        <v>5</v>
      </c>
    </row>
    <row r="26" spans="1:5" x14ac:dyDescent="0.3">
      <c r="A26" s="4" t="s">
        <v>12</v>
      </c>
      <c r="B26" s="4" t="s">
        <v>13</v>
      </c>
      <c r="C26" s="4" t="s">
        <v>14</v>
      </c>
    </row>
    <row r="27" spans="1:5" x14ac:dyDescent="0.3">
      <c r="A27" s="3">
        <f>B24/14</f>
        <v>0.35714285714285715</v>
      </c>
      <c r="B27" s="2">
        <v>0.45</v>
      </c>
      <c r="C27" s="3">
        <f>B24/10</f>
        <v>0.5</v>
      </c>
    </row>
    <row r="29" spans="1:5" x14ac:dyDescent="0.3">
      <c r="A29" s="4" t="s">
        <v>16</v>
      </c>
      <c r="B29" s="4" t="s">
        <v>15</v>
      </c>
      <c r="C29" s="4" t="s">
        <v>17</v>
      </c>
    </row>
    <row r="30" spans="1:5" x14ac:dyDescent="0.3">
      <c r="A30" s="3">
        <f>B27/2</f>
        <v>0.22500000000000001</v>
      </c>
      <c r="B30" s="2">
        <v>0.25</v>
      </c>
      <c r="C30" s="3">
        <f>2*B27/3</f>
        <v>0.3</v>
      </c>
      <c r="D30" s="1" t="s">
        <v>18</v>
      </c>
      <c r="E30" s="3">
        <f>MAX(0.3*B27,0.25)</f>
        <v>0.25</v>
      </c>
    </row>
    <row r="32" spans="1:5" x14ac:dyDescent="0.3">
      <c r="A32" s="49" t="str">
        <f>CONCATENATE("VY ",B27*100,"cm X ",B30*100,"cm")</f>
        <v>VY 45cm X 25cm</v>
      </c>
      <c r="B32" s="49"/>
      <c r="C32" s="49"/>
    </row>
    <row r="33" spans="1:6" x14ac:dyDescent="0.3">
      <c r="A33" t="s">
        <v>21</v>
      </c>
      <c r="B33" s="7">
        <f>(14/$C$3)*B30*100*(B27-0.06)*100</f>
        <v>3.2350500000000002</v>
      </c>
    </row>
    <row r="34" spans="1:6" x14ac:dyDescent="0.3">
      <c r="A34" t="s">
        <v>22</v>
      </c>
      <c r="B34">
        <f>(0.85*0.85*$C$2/$C$3)*(0.003/(0.003+($C$3/$E$3)+0.003))</f>
        <v>1.7907986129220434E-2</v>
      </c>
    </row>
    <row r="35" spans="1:6" x14ac:dyDescent="0.3">
      <c r="A35" t="s">
        <v>23</v>
      </c>
      <c r="B35" s="7">
        <f>B34*B30*100*(B27-0.06)*100</f>
        <v>17.460286475989925</v>
      </c>
    </row>
    <row r="37" spans="1:6" x14ac:dyDescent="0.3">
      <c r="A37" t="s">
        <v>25</v>
      </c>
    </row>
    <row r="39" spans="1:6" x14ac:dyDescent="0.3">
      <c r="A39" s="1" t="s">
        <v>26</v>
      </c>
      <c r="B39" s="11">
        <v>500</v>
      </c>
    </row>
    <row r="40" spans="1:6" x14ac:dyDescent="0.3">
      <c r="A40" s="1" t="s">
        <v>27</v>
      </c>
      <c r="B40" s="11">
        <v>400</v>
      </c>
    </row>
    <row r="41" spans="1:6" x14ac:dyDescent="0.3">
      <c r="A41" s="1" t="s">
        <v>28</v>
      </c>
      <c r="B41" s="12">
        <v>3</v>
      </c>
    </row>
    <row r="43" spans="1:6" x14ac:dyDescent="0.3">
      <c r="A43" s="1" t="s">
        <v>29</v>
      </c>
      <c r="B43" s="8">
        <f>5*6</f>
        <v>30</v>
      </c>
      <c r="C43" s="1" t="s">
        <v>30</v>
      </c>
      <c r="D43" s="8">
        <f>6*2.5</f>
        <v>15</v>
      </c>
      <c r="E43" s="1" t="s">
        <v>31</v>
      </c>
      <c r="F43" s="8">
        <f>3*2.5</f>
        <v>7.5</v>
      </c>
    </row>
    <row r="44" spans="1:6" x14ac:dyDescent="0.3">
      <c r="A44" s="1" t="s">
        <v>32</v>
      </c>
      <c r="B44" s="9">
        <f>(1.2*$B$40+1.6*$B$39)*B43*$B$41</f>
        <v>115200</v>
      </c>
      <c r="C44" s="1" t="s">
        <v>32</v>
      </c>
      <c r="D44" s="9">
        <f>(1.2*$B$40+1.6*$B$39)*D43*$B$41</f>
        <v>57600</v>
      </c>
      <c r="E44" s="1" t="s">
        <v>32</v>
      </c>
      <c r="F44" s="9">
        <f>(1.2*$B$40+1.6*$B$39)*F43*$B$41</f>
        <v>28800</v>
      </c>
    </row>
    <row r="45" spans="1:6" x14ac:dyDescent="0.3">
      <c r="A45" s="1" t="s">
        <v>33</v>
      </c>
      <c r="B45" s="1">
        <v>1.1000000000000001</v>
      </c>
      <c r="C45" s="1" t="s">
        <v>33</v>
      </c>
      <c r="D45" s="1">
        <v>1.25</v>
      </c>
      <c r="E45" s="1" t="s">
        <v>33</v>
      </c>
      <c r="F45" s="1">
        <v>1.5</v>
      </c>
    </row>
    <row r="46" spans="1:6" x14ac:dyDescent="0.3">
      <c r="A46" s="10" t="s">
        <v>34</v>
      </c>
      <c r="B46" s="1">
        <v>0.3</v>
      </c>
      <c r="C46" s="10" t="s">
        <v>34</v>
      </c>
      <c r="D46" s="1">
        <v>0.25</v>
      </c>
      <c r="E46" s="10" t="s">
        <v>34</v>
      </c>
      <c r="F46" s="1">
        <v>0.2</v>
      </c>
    </row>
    <row r="47" spans="1:6" x14ac:dyDescent="0.3">
      <c r="A47" s="1" t="s">
        <v>35</v>
      </c>
      <c r="B47" s="1">
        <f>B45*B44/(B46*$C$2)</f>
        <v>1501.6320000000005</v>
      </c>
      <c r="C47" s="1" t="s">
        <v>35</v>
      </c>
      <c r="D47" s="1">
        <f>D45*D44/(D46*$C$2)</f>
        <v>1023.8400000000001</v>
      </c>
      <c r="E47" s="1" t="s">
        <v>35</v>
      </c>
      <c r="F47" s="1">
        <f>F45*F44/(F46*$C$2)</f>
        <v>767.88</v>
      </c>
    </row>
    <row r="49" spans="1:6" x14ac:dyDescent="0.3">
      <c r="A49" s="1" t="s">
        <v>15</v>
      </c>
      <c r="B49" s="1" t="s">
        <v>13</v>
      </c>
      <c r="C49" t="s">
        <v>15</v>
      </c>
      <c r="D49" t="s">
        <v>13</v>
      </c>
      <c r="E49" t="s">
        <v>15</v>
      </c>
      <c r="F49" t="s">
        <v>13</v>
      </c>
    </row>
    <row r="50" spans="1:6" x14ac:dyDescent="0.3">
      <c r="A50" s="1">
        <v>30</v>
      </c>
      <c r="B50" s="13">
        <f>($B$47/A50)</f>
        <v>50.054400000000015</v>
      </c>
      <c r="C50">
        <v>30</v>
      </c>
      <c r="D50">
        <f>(D47/C50)</f>
        <v>34.128000000000007</v>
      </c>
      <c r="E50">
        <v>30</v>
      </c>
      <c r="F50">
        <f>(F47/E50)</f>
        <v>25.596</v>
      </c>
    </row>
    <row r="51" spans="1:6" x14ac:dyDescent="0.3">
      <c r="A51" s="1">
        <f>A50+5</f>
        <v>35</v>
      </c>
      <c r="B51" s="13">
        <f t="shared" ref="B51:B53" si="0">($B$47/A51)</f>
        <v>42.903771428571446</v>
      </c>
    </row>
    <row r="52" spans="1:6" x14ac:dyDescent="0.3">
      <c r="A52" s="14">
        <f t="shared" ref="A52:A53" si="1">A51+5</f>
        <v>40</v>
      </c>
      <c r="B52" s="15">
        <f t="shared" si="0"/>
        <v>37.540800000000011</v>
      </c>
    </row>
    <row r="53" spans="1:6" x14ac:dyDescent="0.3">
      <c r="A53" s="1">
        <f t="shared" si="1"/>
        <v>45</v>
      </c>
      <c r="B53" s="13">
        <f t="shared" si="0"/>
        <v>33.369600000000013</v>
      </c>
    </row>
    <row r="55" spans="1:6" x14ac:dyDescent="0.3">
      <c r="A55" s="16">
        <v>45</v>
      </c>
      <c r="B55" s="16">
        <v>45</v>
      </c>
    </row>
    <row r="57" spans="1:6" x14ac:dyDescent="0.3">
      <c r="A57" s="50" t="str">
        <f>CONCATENATE( "Columna= ", A55, "cm X ",B55,"cm")</f>
        <v>Columna= 45cm X 45cm</v>
      </c>
      <c r="B57" s="50"/>
      <c r="C57" s="50"/>
    </row>
    <row r="58" spans="1:6" x14ac:dyDescent="0.3">
      <c r="A58" s="18" t="s">
        <v>21</v>
      </c>
      <c r="B58" s="19">
        <f>1%*A55*B55</f>
        <v>20.25</v>
      </c>
    </row>
    <row r="59" spans="1:6" x14ac:dyDescent="0.3">
      <c r="A59" s="1" t="s">
        <v>23</v>
      </c>
      <c r="B59" s="17">
        <f>6%*A55*B55</f>
        <v>121.49999999999999</v>
      </c>
    </row>
    <row r="61" spans="1:6" x14ac:dyDescent="0.3">
      <c r="A61" t="s">
        <v>36</v>
      </c>
      <c r="B61">
        <v>8</v>
      </c>
    </row>
    <row r="62" spans="1:6" x14ac:dyDescent="0.3">
      <c r="A62" t="s">
        <v>37</v>
      </c>
      <c r="B62" s="7">
        <f>B58/B61</f>
        <v>2.53125</v>
      </c>
      <c r="C62" s="7" t="s">
        <v>39</v>
      </c>
    </row>
    <row r="64" spans="1:6" x14ac:dyDescent="0.3">
      <c r="A64" t="s">
        <v>38</v>
      </c>
    </row>
    <row r="65" spans="1:3" x14ac:dyDescent="0.3">
      <c r="A65" t="s">
        <v>40</v>
      </c>
      <c r="B65" s="2">
        <f>IF(B9&gt;B24,B24,B9)</f>
        <v>5</v>
      </c>
    </row>
    <row r="66" spans="1:3" x14ac:dyDescent="0.3">
      <c r="A66" t="s">
        <v>15</v>
      </c>
      <c r="B66" s="2">
        <f>IF(B9&lt;B24,B24,B9)</f>
        <v>6</v>
      </c>
    </row>
    <row r="68" spans="1:3" x14ac:dyDescent="0.3">
      <c r="A68" t="s">
        <v>41</v>
      </c>
      <c r="B68" s="2">
        <f>(2*B65+2*B66)/180</f>
        <v>0.12222222222222222</v>
      </c>
    </row>
    <row r="69" spans="1:3" x14ac:dyDescent="0.3">
      <c r="A69" t="s">
        <v>42</v>
      </c>
      <c r="B69" s="5">
        <f>B3</f>
        <v>60000</v>
      </c>
    </row>
    <row r="70" spans="1:3" x14ac:dyDescent="0.3">
      <c r="A70" t="s">
        <v>43</v>
      </c>
      <c r="B70">
        <f>B66/B65</f>
        <v>1.2</v>
      </c>
    </row>
    <row r="71" spans="1:3" x14ac:dyDescent="0.3">
      <c r="A71" t="s">
        <v>44</v>
      </c>
      <c r="B71" s="2">
        <f>B66*(0.8+B69/200000)/(36+9*B70)</f>
        <v>0.14102564102564105</v>
      </c>
    </row>
    <row r="72" spans="1:3" x14ac:dyDescent="0.3">
      <c r="A72" t="s">
        <v>46</v>
      </c>
      <c r="B72" s="2">
        <f>3.5*2.54/100</f>
        <v>8.8900000000000007E-2</v>
      </c>
    </row>
    <row r="73" spans="1:3" x14ac:dyDescent="0.3">
      <c r="A73" t="s">
        <v>47</v>
      </c>
      <c r="B73" s="16">
        <v>14</v>
      </c>
    </row>
    <row r="74" spans="1:3" x14ac:dyDescent="0.3">
      <c r="A74" t="s">
        <v>48</v>
      </c>
      <c r="B74">
        <f>(IF(B9&gt;B24,B24,B9)*100)/B73</f>
        <v>35.714285714285715</v>
      </c>
      <c r="C74" t="s">
        <v>49</v>
      </c>
    </row>
    <row r="75" spans="1:3" x14ac:dyDescent="0.3">
      <c r="A75" s="50" t="str">
        <f>CONCATENATE( " Losa= ", B73, "cm")</f>
        <v xml:space="preserve"> Losa= 14cm</v>
      </c>
      <c r="B75" s="50"/>
      <c r="C75" s="50"/>
    </row>
    <row r="81" spans="2:2" x14ac:dyDescent="0.3">
      <c r="B81" t="s">
        <v>45</v>
      </c>
    </row>
  </sheetData>
  <mergeCells count="4">
    <mergeCell ref="A17:C17"/>
    <mergeCell ref="A32:C32"/>
    <mergeCell ref="A57:C57"/>
    <mergeCell ref="A75:C75"/>
  </mergeCells>
  <dataValidations disablePrompts="1" count="1">
    <dataValidation type="decimal" operator="greaterThanOrEqual" allowBlank="1" showInputMessage="1" showErrorMessage="1" sqref="B15 B30" xr:uid="{25381A17-ADE0-4078-B9A5-373B61B458DF}">
      <formula1>E15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0894-DB23-47C5-AD51-ECCC23AE0501}">
  <dimension ref="A2:G65"/>
  <sheetViews>
    <sheetView topLeftCell="A70" zoomScale="115" zoomScaleNormal="115" workbookViewId="0">
      <selection activeCell="A38" sqref="A38"/>
    </sheetView>
  </sheetViews>
  <sheetFormatPr baseColWidth="10" defaultRowHeight="14.4" x14ac:dyDescent="0.3"/>
  <cols>
    <col min="1" max="1" width="20.33203125" customWidth="1"/>
    <col min="2" max="2" width="14.109375" customWidth="1"/>
    <col min="3" max="3" width="12.6640625" bestFit="1" customWidth="1"/>
  </cols>
  <sheetData>
    <row r="2" spans="1:4" x14ac:dyDescent="0.3">
      <c r="A2" t="s">
        <v>50</v>
      </c>
    </row>
    <row r="4" spans="1:4" x14ac:dyDescent="0.3">
      <c r="B4" t="s">
        <v>51</v>
      </c>
      <c r="C4" s="20">
        <v>85</v>
      </c>
      <c r="D4" t="s">
        <v>57</v>
      </c>
    </row>
    <row r="5" spans="1:4" x14ac:dyDescent="0.3">
      <c r="B5" t="s">
        <v>52</v>
      </c>
      <c r="C5" s="20">
        <v>77</v>
      </c>
    </row>
    <row r="6" spans="1:4" x14ac:dyDescent="0.3">
      <c r="B6" t="s">
        <v>53</v>
      </c>
      <c r="C6" s="20">
        <v>20</v>
      </c>
      <c r="D6" t="s">
        <v>58</v>
      </c>
    </row>
    <row r="7" spans="1:4" x14ac:dyDescent="0.3">
      <c r="B7" t="s">
        <v>54</v>
      </c>
      <c r="C7" s="20">
        <v>25</v>
      </c>
    </row>
    <row r="8" spans="1:4" x14ac:dyDescent="0.3">
      <c r="C8" s="21">
        <f>SUM(C4:C7)</f>
        <v>207</v>
      </c>
    </row>
    <row r="10" spans="1:4" x14ac:dyDescent="0.3">
      <c r="A10" t="s">
        <v>55</v>
      </c>
    </row>
    <row r="11" spans="1:4" x14ac:dyDescent="0.3">
      <c r="B11" t="s">
        <v>56</v>
      </c>
      <c r="C11" s="20">
        <v>119</v>
      </c>
      <c r="D11" t="s">
        <v>60</v>
      </c>
    </row>
    <row r="12" spans="1:4" x14ac:dyDescent="0.3">
      <c r="B12" t="s">
        <v>53</v>
      </c>
      <c r="C12" s="20">
        <v>20</v>
      </c>
      <c r="D12" t="s">
        <v>58</v>
      </c>
    </row>
    <row r="13" spans="1:4" x14ac:dyDescent="0.3">
      <c r="B13" t="s">
        <v>59</v>
      </c>
      <c r="C13" s="20">
        <v>25</v>
      </c>
    </row>
    <row r="14" spans="1:4" x14ac:dyDescent="0.3">
      <c r="C14" s="21">
        <f>SUM(C11:C13)</f>
        <v>164</v>
      </c>
    </row>
    <row r="16" spans="1:4" x14ac:dyDescent="0.3">
      <c r="A16" s="25" t="s">
        <v>61</v>
      </c>
    </row>
    <row r="17" spans="1:3" x14ac:dyDescent="0.3">
      <c r="A17" s="25" t="s">
        <v>62</v>
      </c>
    </row>
    <row r="18" spans="1:3" x14ac:dyDescent="0.3">
      <c r="B18" s="20">
        <v>163</v>
      </c>
      <c r="C18" t="s">
        <v>63</v>
      </c>
    </row>
    <row r="19" spans="1:3" x14ac:dyDescent="0.3">
      <c r="B19" s="20">
        <v>20</v>
      </c>
      <c r="C19" t="s">
        <v>64</v>
      </c>
    </row>
    <row r="20" spans="1:3" x14ac:dyDescent="0.3">
      <c r="A20" t="s">
        <v>66</v>
      </c>
      <c r="B20" s="23">
        <v>183</v>
      </c>
    </row>
    <row r="21" spans="1:3" x14ac:dyDescent="0.3">
      <c r="A21" t="s">
        <v>13</v>
      </c>
      <c r="B21" s="22">
        <v>2.5</v>
      </c>
    </row>
    <row r="22" spans="1:3" x14ac:dyDescent="0.3">
      <c r="B22" s="24">
        <f>B20*B21</f>
        <v>457.5</v>
      </c>
    </row>
    <row r="24" spans="1:3" x14ac:dyDescent="0.3">
      <c r="A24" s="42" t="s">
        <v>65</v>
      </c>
      <c r="B24" s="1"/>
    </row>
    <row r="25" spans="1:3" x14ac:dyDescent="0.3">
      <c r="A25" s="1"/>
      <c r="B25" s="43">
        <v>163</v>
      </c>
      <c r="C25" t="s">
        <v>63</v>
      </c>
    </row>
    <row r="26" spans="1:3" x14ac:dyDescent="0.3">
      <c r="A26" s="1"/>
      <c r="B26" s="43">
        <v>20</v>
      </c>
      <c r="C26" t="s">
        <v>64</v>
      </c>
    </row>
    <row r="27" spans="1:3" x14ac:dyDescent="0.3">
      <c r="A27" s="1"/>
      <c r="B27" s="44">
        <v>183</v>
      </c>
    </row>
    <row r="28" spans="1:3" x14ac:dyDescent="0.3">
      <c r="A28" s="1" t="s">
        <v>67</v>
      </c>
      <c r="B28" s="3">
        <v>1</v>
      </c>
    </row>
    <row r="29" spans="1:3" x14ac:dyDescent="0.3">
      <c r="A29" s="1" t="s">
        <v>68</v>
      </c>
      <c r="B29" s="45">
        <f>B27*B28</f>
        <v>183</v>
      </c>
    </row>
    <row r="30" spans="1:3" x14ac:dyDescent="0.3">
      <c r="A30" s="1"/>
      <c r="B30" s="1"/>
    </row>
    <row r="31" spans="1:3" x14ac:dyDescent="0.3">
      <c r="A31" s="1"/>
      <c r="B31" s="43">
        <v>38</v>
      </c>
      <c r="C31" t="s">
        <v>70</v>
      </c>
    </row>
    <row r="32" spans="1:3" x14ac:dyDescent="0.3">
      <c r="A32" s="1" t="s">
        <v>69</v>
      </c>
      <c r="B32" s="46">
        <v>1.5</v>
      </c>
    </row>
    <row r="33" spans="1:5" x14ac:dyDescent="0.3">
      <c r="A33" s="1"/>
      <c r="B33" s="47">
        <f>B31*B32</f>
        <v>57</v>
      </c>
    </row>
    <row r="34" spans="1:5" x14ac:dyDescent="0.3">
      <c r="A34" s="1" t="s">
        <v>71</v>
      </c>
      <c r="B34" s="45">
        <f>B27+B33</f>
        <v>240</v>
      </c>
      <c r="C34" t="s">
        <v>72</v>
      </c>
      <c r="E34" t="s">
        <v>147</v>
      </c>
    </row>
    <row r="36" spans="1:5" x14ac:dyDescent="0.3">
      <c r="A36" s="42" t="s">
        <v>148</v>
      </c>
      <c r="B36" s="1"/>
    </row>
    <row r="37" spans="1:5" x14ac:dyDescent="0.3">
      <c r="A37" s="1"/>
      <c r="B37" s="43">
        <v>163</v>
      </c>
      <c r="C37" t="s">
        <v>63</v>
      </c>
    </row>
    <row r="38" spans="1:5" x14ac:dyDescent="0.3">
      <c r="A38" s="1"/>
      <c r="B38" s="43">
        <v>20</v>
      </c>
      <c r="C38" t="s">
        <v>64</v>
      </c>
    </row>
    <row r="39" spans="1:5" x14ac:dyDescent="0.3">
      <c r="A39" s="1"/>
      <c r="B39" s="44">
        <v>183</v>
      </c>
    </row>
    <row r="40" spans="1:5" x14ac:dyDescent="0.3">
      <c r="A40" s="1" t="s">
        <v>67</v>
      </c>
      <c r="B40" s="3">
        <v>1</v>
      </c>
    </row>
    <row r="41" spans="1:5" x14ac:dyDescent="0.3">
      <c r="A41" s="1" t="s">
        <v>68</v>
      </c>
      <c r="B41" s="45">
        <f>B39*B40</f>
        <v>183</v>
      </c>
    </row>
    <row r="45" spans="1:5" x14ac:dyDescent="0.3">
      <c r="A45" s="25" t="s">
        <v>73</v>
      </c>
    </row>
    <row r="46" spans="1:5" x14ac:dyDescent="0.3">
      <c r="A46" t="s">
        <v>74</v>
      </c>
      <c r="B46" s="20">
        <v>250</v>
      </c>
      <c r="C46" t="s">
        <v>77</v>
      </c>
    </row>
    <row r="47" spans="1:5" x14ac:dyDescent="0.3">
      <c r="B47" s="20">
        <v>75</v>
      </c>
      <c r="C47" t="s">
        <v>78</v>
      </c>
    </row>
    <row r="48" spans="1:5" x14ac:dyDescent="0.3">
      <c r="B48" s="21">
        <f>SUM(B46+B47)</f>
        <v>325</v>
      </c>
    </row>
    <row r="49" spans="1:5" x14ac:dyDescent="0.3">
      <c r="A49" t="s">
        <v>75</v>
      </c>
      <c r="B49" s="21">
        <v>300</v>
      </c>
      <c r="C49" t="s">
        <v>79</v>
      </c>
    </row>
    <row r="50" spans="1:5" x14ac:dyDescent="0.3">
      <c r="A50" t="s">
        <v>76</v>
      </c>
      <c r="B50" s="21">
        <v>500</v>
      </c>
      <c r="C50" t="s">
        <v>80</v>
      </c>
    </row>
    <row r="52" spans="1:5" x14ac:dyDescent="0.3">
      <c r="A52" t="s">
        <v>137</v>
      </c>
      <c r="B52" s="20">
        <v>200</v>
      </c>
      <c r="C52" t="s">
        <v>140</v>
      </c>
      <c r="E52" t="s">
        <v>143</v>
      </c>
    </row>
    <row r="53" spans="1:5" x14ac:dyDescent="0.3">
      <c r="A53" s="41" t="s">
        <v>138</v>
      </c>
      <c r="B53" s="20">
        <v>85</v>
      </c>
      <c r="C53" s="41" t="s">
        <v>141</v>
      </c>
      <c r="E53" t="s">
        <v>145</v>
      </c>
    </row>
    <row r="54" spans="1:5" x14ac:dyDescent="0.3">
      <c r="A54" s="41" t="s">
        <v>139</v>
      </c>
      <c r="B54" s="20">
        <f>10*14</f>
        <v>140</v>
      </c>
      <c r="C54" s="41" t="s">
        <v>142</v>
      </c>
    </row>
    <row r="65" spans="7:7" x14ac:dyDescent="0.3">
      <c r="G65" t="s">
        <v>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0304-80B9-433E-BE7B-4A95C8DD3DA6}">
  <dimension ref="A2:S208"/>
  <sheetViews>
    <sheetView tabSelected="1" topLeftCell="A16" zoomScale="55" zoomScaleNormal="55" workbookViewId="0">
      <selection activeCell="D170" sqref="D170"/>
    </sheetView>
  </sheetViews>
  <sheetFormatPr baseColWidth="10" defaultRowHeight="14.4" x14ac:dyDescent="0.3"/>
  <cols>
    <col min="1" max="1" width="26.88671875" customWidth="1"/>
    <col min="2" max="2" width="14.6640625" customWidth="1"/>
    <col min="6" max="6" width="13.6640625" customWidth="1"/>
    <col min="8" max="8" width="16" customWidth="1"/>
  </cols>
  <sheetData>
    <row r="2" spans="1:4" x14ac:dyDescent="0.3">
      <c r="A2" s="25" t="s">
        <v>81</v>
      </c>
    </row>
    <row r="3" spans="1:4" x14ac:dyDescent="0.3">
      <c r="A3" s="1" t="s">
        <v>82</v>
      </c>
      <c r="B3" s="26">
        <v>180</v>
      </c>
    </row>
    <row r="4" spans="1:4" x14ac:dyDescent="0.3">
      <c r="A4" s="1" t="s">
        <v>83</v>
      </c>
      <c r="B4" s="1">
        <v>3</v>
      </c>
    </row>
    <row r="5" spans="1:4" x14ac:dyDescent="0.3">
      <c r="A5" s="1" t="s">
        <v>84</v>
      </c>
      <c r="B5" s="8">
        <f>B4*B3</f>
        <v>540</v>
      </c>
    </row>
    <row r="6" spans="1:4" x14ac:dyDescent="0.3">
      <c r="A6" s="1" t="s">
        <v>86</v>
      </c>
      <c r="B6" s="1">
        <v>11</v>
      </c>
      <c r="C6" t="s">
        <v>85</v>
      </c>
    </row>
    <row r="7" spans="1:4" x14ac:dyDescent="0.3">
      <c r="A7" s="28" t="s">
        <v>87</v>
      </c>
      <c r="B7" s="27">
        <f>ROUNDUP(B5/B6,0)</f>
        <v>50</v>
      </c>
    </row>
    <row r="9" spans="1:4" x14ac:dyDescent="0.3">
      <c r="A9" s="28" t="s">
        <v>88</v>
      </c>
      <c r="B9" s="27" t="s">
        <v>89</v>
      </c>
      <c r="C9" t="s">
        <v>144</v>
      </c>
    </row>
    <row r="11" spans="1:4" x14ac:dyDescent="0.3">
      <c r="A11" s="25" t="s">
        <v>90</v>
      </c>
    </row>
    <row r="12" spans="1:4" x14ac:dyDescent="0.3">
      <c r="A12" s="1" t="s">
        <v>93</v>
      </c>
      <c r="B12" s="11">
        <v>0.16</v>
      </c>
      <c r="C12" s="29">
        <f>B12*100*100*9.81/1000</f>
        <v>15.696</v>
      </c>
      <c r="D12" t="s">
        <v>91</v>
      </c>
    </row>
    <row r="13" spans="1:4" x14ac:dyDescent="0.3">
      <c r="A13" s="1" t="s">
        <v>92</v>
      </c>
    </row>
    <row r="15" spans="1:4" x14ac:dyDescent="0.3">
      <c r="A15" s="25" t="s">
        <v>94</v>
      </c>
    </row>
    <row r="16" spans="1:4" x14ac:dyDescent="0.3">
      <c r="A16" t="s">
        <v>95</v>
      </c>
    </row>
    <row r="18" spans="1:3" x14ac:dyDescent="0.3">
      <c r="A18" s="25" t="s">
        <v>96</v>
      </c>
    </row>
    <row r="19" spans="1:3" x14ac:dyDescent="0.3">
      <c r="B19" s="1" t="s">
        <v>97</v>
      </c>
      <c r="C19" s="12">
        <v>1.46</v>
      </c>
    </row>
    <row r="20" spans="1:3" x14ac:dyDescent="0.3">
      <c r="B20" s="1" t="s">
        <v>98</v>
      </c>
      <c r="C20" s="12">
        <v>1.39</v>
      </c>
    </row>
    <row r="21" spans="1:3" x14ac:dyDescent="0.3">
      <c r="B21" s="1" t="s">
        <v>99</v>
      </c>
      <c r="C21" s="12">
        <v>3.9</v>
      </c>
    </row>
    <row r="22" spans="1:3" x14ac:dyDescent="0.3">
      <c r="B22" s="1" t="s">
        <v>100</v>
      </c>
      <c r="C22" s="12">
        <v>4.0999999999999996</v>
      </c>
    </row>
    <row r="24" spans="1:3" x14ac:dyDescent="0.3">
      <c r="A24" t="s">
        <v>101</v>
      </c>
    </row>
    <row r="25" spans="1:3" x14ac:dyDescent="0.3">
      <c r="B25" s="1" t="s">
        <v>102</v>
      </c>
      <c r="C25" s="12">
        <v>1</v>
      </c>
    </row>
    <row r="26" spans="1:3" x14ac:dyDescent="0.3">
      <c r="B26" s="1" t="s">
        <v>103</v>
      </c>
      <c r="C26" s="12">
        <v>1</v>
      </c>
    </row>
    <row r="28" spans="1:3" x14ac:dyDescent="0.3">
      <c r="A28" t="s">
        <v>104</v>
      </c>
    </row>
    <row r="29" spans="1:3" x14ac:dyDescent="0.3">
      <c r="B29" s="1" t="s">
        <v>105</v>
      </c>
      <c r="C29" s="12">
        <v>1</v>
      </c>
    </row>
    <row r="30" spans="1:3" x14ac:dyDescent="0.3">
      <c r="B30" s="1" t="s">
        <v>106</v>
      </c>
      <c r="C30" s="12">
        <v>1</v>
      </c>
    </row>
    <row r="32" spans="1:3" x14ac:dyDescent="0.3">
      <c r="B32" s="1" t="s">
        <v>107</v>
      </c>
      <c r="C32" s="1">
        <f>C19*C25*C29</f>
        <v>1.46</v>
      </c>
    </row>
    <row r="33" spans="1:3" x14ac:dyDescent="0.3">
      <c r="B33" s="1" t="s">
        <v>108</v>
      </c>
      <c r="C33" s="1">
        <f>C20*C26*C30</f>
        <v>1.39</v>
      </c>
    </row>
    <row r="35" spans="1:3" x14ac:dyDescent="0.3">
      <c r="A35" t="s">
        <v>109</v>
      </c>
    </row>
    <row r="36" spans="1:3" x14ac:dyDescent="0.3">
      <c r="B36" s="1" t="s">
        <v>110</v>
      </c>
      <c r="C36" s="31">
        <f>C33/C32</f>
        <v>0.95205479452054786</v>
      </c>
    </row>
    <row r="37" spans="1:3" x14ac:dyDescent="0.3">
      <c r="B37" s="1" t="s">
        <v>111</v>
      </c>
      <c r="C37" s="31">
        <f>0.2*C36</f>
        <v>0.19041095890410958</v>
      </c>
    </row>
    <row r="39" spans="1:3" x14ac:dyDescent="0.3">
      <c r="A39" t="s">
        <v>112</v>
      </c>
    </row>
    <row r="47" spans="1:3" x14ac:dyDescent="0.3">
      <c r="A47" t="s">
        <v>113</v>
      </c>
      <c r="B47" t="s">
        <v>114</v>
      </c>
    </row>
    <row r="48" spans="1:3" x14ac:dyDescent="0.3">
      <c r="B48" t="s">
        <v>115</v>
      </c>
      <c r="C48" s="30">
        <v>0.66</v>
      </c>
    </row>
    <row r="50" spans="1:3" x14ac:dyDescent="0.3">
      <c r="A50" t="s">
        <v>116</v>
      </c>
    </row>
    <row r="51" spans="1:3" x14ac:dyDescent="0.3">
      <c r="B51" s="32" t="s">
        <v>119</v>
      </c>
      <c r="C51" s="32">
        <f>C48*C32</f>
        <v>0.96360000000000001</v>
      </c>
    </row>
    <row r="52" spans="1:3" x14ac:dyDescent="0.3">
      <c r="B52" s="32" t="s">
        <v>118</v>
      </c>
      <c r="C52" s="32">
        <f>C48*C33</f>
        <v>0.91739999999999999</v>
      </c>
    </row>
    <row r="53" spans="1:3" x14ac:dyDescent="0.3">
      <c r="B53" s="32" t="s">
        <v>117</v>
      </c>
      <c r="C53" s="32">
        <f>0.4*C51</f>
        <v>0.38544</v>
      </c>
    </row>
    <row r="54" spans="1:3" x14ac:dyDescent="0.3">
      <c r="B54" s="32" t="s">
        <v>120</v>
      </c>
      <c r="C54" s="32">
        <f>0.2*C51</f>
        <v>0.19272</v>
      </c>
    </row>
    <row r="56" spans="1:3" x14ac:dyDescent="0.3">
      <c r="A56" t="s">
        <v>121</v>
      </c>
    </row>
    <row r="57" spans="1:3" x14ac:dyDescent="0.3">
      <c r="B57" s="33" t="s">
        <v>122</v>
      </c>
      <c r="C57" s="33" t="s">
        <v>123</v>
      </c>
    </row>
    <row r="58" spans="1:3" x14ac:dyDescent="0.3">
      <c r="B58">
        <v>0</v>
      </c>
      <c r="C58">
        <f>IF(B58&lt;$C$37,$C$51*(0.4+0.6*B58/$C$37),IF(AND(B58&gt;=$C$37,B58&lt;=$C$36),$C$51,IF(B58&gt;=$C$21,$C$52*$C$21/B58^2,$C$52/B58)))</f>
        <v>0.38544</v>
      </c>
    </row>
    <row r="59" spans="1:3" x14ac:dyDescent="0.3">
      <c r="B59">
        <f>0.1+B58</f>
        <v>0.1</v>
      </c>
      <c r="C59">
        <f t="shared" ref="C59:C122" si="0">IF(B59&lt;$C$37,$C$51*(0.4+0.6*B59/$C$37),IF(AND(B59&gt;=$C$37,B59&lt;=$C$36),$C$51,IF(B59&gt;=$C$21,$C$52*$C$21/B59^2,$C$52/B59)))</f>
        <v>0.68907798561151079</v>
      </c>
    </row>
    <row r="60" spans="1:3" x14ac:dyDescent="0.3">
      <c r="B60">
        <f t="shared" ref="B60:B123" si="1">0.1+B59</f>
        <v>0.2</v>
      </c>
      <c r="C60">
        <f t="shared" si="0"/>
        <v>0.96360000000000001</v>
      </c>
    </row>
    <row r="61" spans="1:3" x14ac:dyDescent="0.3">
      <c r="B61">
        <f t="shared" si="1"/>
        <v>0.30000000000000004</v>
      </c>
      <c r="C61">
        <f t="shared" si="0"/>
        <v>0.96360000000000001</v>
      </c>
    </row>
    <row r="62" spans="1:3" x14ac:dyDescent="0.3">
      <c r="B62">
        <f t="shared" si="1"/>
        <v>0.4</v>
      </c>
      <c r="C62">
        <f t="shared" si="0"/>
        <v>0.96360000000000001</v>
      </c>
    </row>
    <row r="63" spans="1:3" x14ac:dyDescent="0.3">
      <c r="B63">
        <f t="shared" si="1"/>
        <v>0.5</v>
      </c>
      <c r="C63">
        <f t="shared" si="0"/>
        <v>0.96360000000000001</v>
      </c>
    </row>
    <row r="64" spans="1:3" x14ac:dyDescent="0.3">
      <c r="B64">
        <f t="shared" si="1"/>
        <v>0.6</v>
      </c>
      <c r="C64">
        <f t="shared" si="0"/>
        <v>0.96360000000000001</v>
      </c>
    </row>
    <row r="65" spans="2:3" x14ac:dyDescent="0.3">
      <c r="B65">
        <f t="shared" si="1"/>
        <v>0.7</v>
      </c>
      <c r="C65">
        <f t="shared" si="0"/>
        <v>0.96360000000000001</v>
      </c>
    </row>
    <row r="66" spans="2:3" x14ac:dyDescent="0.3">
      <c r="B66">
        <f t="shared" si="1"/>
        <v>0.79999999999999993</v>
      </c>
      <c r="C66">
        <f t="shared" si="0"/>
        <v>0.96360000000000001</v>
      </c>
    </row>
    <row r="67" spans="2:3" x14ac:dyDescent="0.3">
      <c r="B67">
        <f t="shared" si="1"/>
        <v>0.89999999999999991</v>
      </c>
      <c r="C67">
        <f t="shared" si="0"/>
        <v>0.96360000000000001</v>
      </c>
    </row>
    <row r="68" spans="2:3" x14ac:dyDescent="0.3">
      <c r="B68">
        <f t="shared" si="1"/>
        <v>0.99999999999999989</v>
      </c>
      <c r="C68">
        <f t="shared" si="0"/>
        <v>0.9174000000000001</v>
      </c>
    </row>
    <row r="69" spans="2:3" x14ac:dyDescent="0.3">
      <c r="B69">
        <f t="shared" si="1"/>
        <v>1.0999999999999999</v>
      </c>
      <c r="C69">
        <f t="shared" si="0"/>
        <v>0.83400000000000007</v>
      </c>
    </row>
    <row r="70" spans="2:3" x14ac:dyDescent="0.3">
      <c r="B70">
        <f t="shared" si="1"/>
        <v>1.2</v>
      </c>
      <c r="C70">
        <f t="shared" si="0"/>
        <v>0.76450000000000007</v>
      </c>
    </row>
    <row r="71" spans="2:3" x14ac:dyDescent="0.3">
      <c r="B71">
        <f t="shared" si="1"/>
        <v>1.3</v>
      </c>
      <c r="C71">
        <f t="shared" si="0"/>
        <v>0.70569230769230762</v>
      </c>
    </row>
    <row r="72" spans="2:3" x14ac:dyDescent="0.3">
      <c r="B72">
        <f t="shared" si="1"/>
        <v>1.4000000000000001</v>
      </c>
      <c r="C72">
        <f t="shared" si="0"/>
        <v>0.65528571428571425</v>
      </c>
    </row>
    <row r="73" spans="2:3" x14ac:dyDescent="0.3">
      <c r="B73">
        <f t="shared" si="1"/>
        <v>1.5000000000000002</v>
      </c>
      <c r="C73">
        <f t="shared" si="0"/>
        <v>0.61159999999999992</v>
      </c>
    </row>
    <row r="74" spans="2:3" x14ac:dyDescent="0.3">
      <c r="B74">
        <f t="shared" si="1"/>
        <v>1.6000000000000003</v>
      </c>
      <c r="C74">
        <f t="shared" si="0"/>
        <v>0.57337499999999986</v>
      </c>
    </row>
    <row r="75" spans="2:3" x14ac:dyDescent="0.3">
      <c r="B75">
        <f t="shared" si="1"/>
        <v>1.7000000000000004</v>
      </c>
      <c r="C75">
        <f t="shared" si="0"/>
        <v>0.53964705882352926</v>
      </c>
    </row>
    <row r="76" spans="2:3" x14ac:dyDescent="0.3">
      <c r="B76">
        <f t="shared" si="1"/>
        <v>1.8000000000000005</v>
      </c>
      <c r="C76">
        <f t="shared" si="0"/>
        <v>0.50966666666666649</v>
      </c>
    </row>
    <row r="77" spans="2:3" x14ac:dyDescent="0.3">
      <c r="B77">
        <f t="shared" si="1"/>
        <v>1.9000000000000006</v>
      </c>
      <c r="C77">
        <f t="shared" si="0"/>
        <v>0.48284210526315774</v>
      </c>
    </row>
    <row r="78" spans="2:3" x14ac:dyDescent="0.3">
      <c r="B78">
        <f t="shared" si="1"/>
        <v>2.0000000000000004</v>
      </c>
      <c r="C78">
        <f t="shared" si="0"/>
        <v>0.45869999999999989</v>
      </c>
    </row>
    <row r="79" spans="2:3" x14ac:dyDescent="0.3">
      <c r="B79">
        <f t="shared" si="1"/>
        <v>2.1000000000000005</v>
      </c>
      <c r="C79">
        <f t="shared" si="0"/>
        <v>0.43685714285714272</v>
      </c>
    </row>
    <row r="80" spans="2:3" x14ac:dyDescent="0.3">
      <c r="B80">
        <f t="shared" si="1"/>
        <v>2.2000000000000006</v>
      </c>
      <c r="C80">
        <f t="shared" si="0"/>
        <v>0.41699999999999987</v>
      </c>
    </row>
    <row r="81" spans="2:3" x14ac:dyDescent="0.3">
      <c r="B81">
        <f t="shared" si="1"/>
        <v>2.3000000000000007</v>
      </c>
      <c r="C81">
        <f t="shared" si="0"/>
        <v>0.3988695652173912</v>
      </c>
    </row>
    <row r="82" spans="2:3" x14ac:dyDescent="0.3">
      <c r="B82">
        <f t="shared" si="1"/>
        <v>2.4000000000000008</v>
      </c>
      <c r="C82">
        <f t="shared" si="0"/>
        <v>0.38224999999999987</v>
      </c>
    </row>
    <row r="83" spans="2:3" x14ac:dyDescent="0.3">
      <c r="B83">
        <f t="shared" si="1"/>
        <v>2.5000000000000009</v>
      </c>
      <c r="C83">
        <f t="shared" si="0"/>
        <v>0.36695999999999984</v>
      </c>
    </row>
    <row r="84" spans="2:3" x14ac:dyDescent="0.3">
      <c r="B84">
        <f t="shared" si="1"/>
        <v>2.600000000000001</v>
      </c>
      <c r="C84">
        <f t="shared" si="0"/>
        <v>0.3528461538461537</v>
      </c>
    </row>
    <row r="85" spans="2:3" x14ac:dyDescent="0.3">
      <c r="B85">
        <f t="shared" si="1"/>
        <v>2.7000000000000011</v>
      </c>
      <c r="C85">
        <f t="shared" si="0"/>
        <v>0.33977777777777762</v>
      </c>
    </row>
    <row r="86" spans="2:3" x14ac:dyDescent="0.3">
      <c r="B86">
        <f t="shared" si="1"/>
        <v>2.8000000000000012</v>
      </c>
      <c r="C86">
        <f t="shared" si="0"/>
        <v>0.32764285714285701</v>
      </c>
    </row>
    <row r="87" spans="2:3" x14ac:dyDescent="0.3">
      <c r="B87">
        <f t="shared" si="1"/>
        <v>2.9000000000000012</v>
      </c>
      <c r="C87">
        <f t="shared" si="0"/>
        <v>0.31634482758620674</v>
      </c>
    </row>
    <row r="88" spans="2:3" x14ac:dyDescent="0.3">
      <c r="B88">
        <f t="shared" si="1"/>
        <v>3.0000000000000013</v>
      </c>
      <c r="C88">
        <f t="shared" si="0"/>
        <v>0.30579999999999985</v>
      </c>
    </row>
    <row r="89" spans="2:3" x14ac:dyDescent="0.3">
      <c r="B89">
        <f t="shared" si="1"/>
        <v>3.1000000000000014</v>
      </c>
      <c r="C89">
        <f t="shared" si="0"/>
        <v>0.29593548387096763</v>
      </c>
    </row>
    <row r="90" spans="2:3" x14ac:dyDescent="0.3">
      <c r="B90">
        <f t="shared" si="1"/>
        <v>3.2000000000000015</v>
      </c>
      <c r="C90">
        <f t="shared" si="0"/>
        <v>0.28668749999999987</v>
      </c>
    </row>
    <row r="91" spans="2:3" x14ac:dyDescent="0.3">
      <c r="B91">
        <f t="shared" si="1"/>
        <v>3.3000000000000016</v>
      </c>
      <c r="C91">
        <f t="shared" si="0"/>
        <v>0.27799999999999986</v>
      </c>
    </row>
    <row r="92" spans="2:3" x14ac:dyDescent="0.3">
      <c r="B92">
        <f t="shared" si="1"/>
        <v>3.4000000000000017</v>
      </c>
      <c r="C92">
        <f t="shared" si="0"/>
        <v>0.26982352941176457</v>
      </c>
    </row>
    <row r="93" spans="2:3" x14ac:dyDescent="0.3">
      <c r="B93">
        <f t="shared" si="1"/>
        <v>3.5000000000000018</v>
      </c>
      <c r="C93">
        <f t="shared" si="0"/>
        <v>0.26211428571428558</v>
      </c>
    </row>
    <row r="94" spans="2:3" x14ac:dyDescent="0.3">
      <c r="B94">
        <f t="shared" si="1"/>
        <v>3.6000000000000019</v>
      </c>
      <c r="C94">
        <f t="shared" si="0"/>
        <v>0.25483333333333319</v>
      </c>
    </row>
    <row r="95" spans="2:3" x14ac:dyDescent="0.3">
      <c r="B95">
        <f t="shared" si="1"/>
        <v>3.700000000000002</v>
      </c>
      <c r="C95">
        <f t="shared" si="0"/>
        <v>0.24794594594594582</v>
      </c>
    </row>
    <row r="96" spans="2:3" x14ac:dyDescent="0.3">
      <c r="B96">
        <f t="shared" si="1"/>
        <v>3.800000000000002</v>
      </c>
      <c r="C96">
        <f t="shared" si="0"/>
        <v>0.24142105263157881</v>
      </c>
    </row>
    <row r="97" spans="2:3" x14ac:dyDescent="0.3">
      <c r="B97">
        <f t="shared" si="1"/>
        <v>3.9000000000000021</v>
      </c>
      <c r="C97">
        <f t="shared" si="0"/>
        <v>0.23523076923076897</v>
      </c>
    </row>
    <row r="98" spans="2:3" x14ac:dyDescent="0.3">
      <c r="B98">
        <f t="shared" si="1"/>
        <v>4.0000000000000018</v>
      </c>
      <c r="C98">
        <f t="shared" si="0"/>
        <v>0.22361624999999979</v>
      </c>
    </row>
    <row r="99" spans="2:3" x14ac:dyDescent="0.3">
      <c r="B99">
        <f t="shared" si="1"/>
        <v>4.1000000000000014</v>
      </c>
      <c r="C99">
        <f t="shared" si="0"/>
        <v>0.21284116597263517</v>
      </c>
    </row>
    <row r="100" spans="2:3" x14ac:dyDescent="0.3">
      <c r="B100">
        <f t="shared" si="1"/>
        <v>4.2000000000000011</v>
      </c>
      <c r="C100">
        <f t="shared" si="0"/>
        <v>0.20282653061224479</v>
      </c>
    </row>
    <row r="101" spans="2:3" x14ac:dyDescent="0.3">
      <c r="B101">
        <f t="shared" si="1"/>
        <v>4.3000000000000007</v>
      </c>
      <c r="C101">
        <f t="shared" si="0"/>
        <v>0.1935024337479718</v>
      </c>
    </row>
    <row r="102" spans="2:3" x14ac:dyDescent="0.3">
      <c r="B102">
        <f t="shared" si="1"/>
        <v>4.4000000000000004</v>
      </c>
      <c r="C102">
        <f t="shared" si="0"/>
        <v>0.18480681818181816</v>
      </c>
    </row>
    <row r="103" spans="2:3" x14ac:dyDescent="0.3">
      <c r="B103">
        <f t="shared" si="1"/>
        <v>4.5</v>
      </c>
      <c r="C103">
        <f t="shared" si="0"/>
        <v>0.17668444444444442</v>
      </c>
    </row>
    <row r="104" spans="2:3" x14ac:dyDescent="0.3">
      <c r="B104">
        <f t="shared" si="1"/>
        <v>4.5999999999999996</v>
      </c>
      <c r="C104">
        <f t="shared" si="0"/>
        <v>0.16908601134215503</v>
      </c>
    </row>
    <row r="105" spans="2:3" x14ac:dyDescent="0.3">
      <c r="B105">
        <f t="shared" si="1"/>
        <v>4.6999999999999993</v>
      </c>
      <c r="C105">
        <f t="shared" si="0"/>
        <v>0.16196740606609331</v>
      </c>
    </row>
    <row r="106" spans="2:3" x14ac:dyDescent="0.3">
      <c r="B106">
        <f t="shared" si="1"/>
        <v>4.7999999999999989</v>
      </c>
      <c r="C106">
        <f t="shared" si="0"/>
        <v>0.15528906250000007</v>
      </c>
    </row>
    <row r="107" spans="2:3" x14ac:dyDescent="0.3">
      <c r="B107">
        <f t="shared" si="1"/>
        <v>4.8999999999999986</v>
      </c>
      <c r="C107">
        <f t="shared" si="0"/>
        <v>0.14901541024573101</v>
      </c>
    </row>
    <row r="108" spans="2:3" x14ac:dyDescent="0.3">
      <c r="B108">
        <f t="shared" si="1"/>
        <v>4.9999999999999982</v>
      </c>
      <c r="C108">
        <f t="shared" si="0"/>
        <v>0.14311440000000009</v>
      </c>
    </row>
    <row r="109" spans="2:3" x14ac:dyDescent="0.3">
      <c r="B109">
        <f t="shared" si="1"/>
        <v>5.0999999999999979</v>
      </c>
      <c r="C109">
        <f t="shared" si="0"/>
        <v>0.13755709342560565</v>
      </c>
    </row>
    <row r="110" spans="2:3" x14ac:dyDescent="0.3">
      <c r="B110">
        <f t="shared" si="1"/>
        <v>5.1999999999999975</v>
      </c>
      <c r="C110">
        <f t="shared" si="0"/>
        <v>0.13231730769230782</v>
      </c>
    </row>
    <row r="111" spans="2:3" x14ac:dyDescent="0.3">
      <c r="B111">
        <f t="shared" si="1"/>
        <v>5.2999999999999972</v>
      </c>
      <c r="C111">
        <f t="shared" si="0"/>
        <v>0.12737130651477407</v>
      </c>
    </row>
    <row r="112" spans="2:3" x14ac:dyDescent="0.3">
      <c r="B112">
        <f t="shared" si="1"/>
        <v>5.3999999999999968</v>
      </c>
      <c r="C112">
        <f t="shared" si="0"/>
        <v>0.12269753086419767</v>
      </c>
    </row>
    <row r="113" spans="2:3" x14ac:dyDescent="0.3">
      <c r="B113">
        <f t="shared" si="1"/>
        <v>5.4999999999999964</v>
      </c>
      <c r="C113">
        <f t="shared" si="0"/>
        <v>0.11827636363636378</v>
      </c>
    </row>
    <row r="114" spans="2:3" x14ac:dyDescent="0.3">
      <c r="B114">
        <f t="shared" si="1"/>
        <v>5.5999999999999961</v>
      </c>
      <c r="C114">
        <f t="shared" si="0"/>
        <v>0.11408992346938791</v>
      </c>
    </row>
    <row r="115" spans="2:3" x14ac:dyDescent="0.3">
      <c r="B115">
        <f t="shared" si="1"/>
        <v>5.6999999999999957</v>
      </c>
      <c r="C115">
        <f t="shared" si="0"/>
        <v>0.11012188365650985</v>
      </c>
    </row>
    <row r="116" spans="2:3" x14ac:dyDescent="0.3">
      <c r="B116">
        <f t="shared" si="1"/>
        <v>5.7999999999999954</v>
      </c>
      <c r="C116">
        <f t="shared" si="0"/>
        <v>0.10635731272294904</v>
      </c>
    </row>
    <row r="117" spans="2:3" x14ac:dyDescent="0.3">
      <c r="B117">
        <f t="shared" si="1"/>
        <v>5.899999999999995</v>
      </c>
      <c r="C117">
        <f t="shared" si="0"/>
        <v>0.10278253375466838</v>
      </c>
    </row>
    <row r="118" spans="2:3" x14ac:dyDescent="0.3">
      <c r="B118">
        <f t="shared" si="1"/>
        <v>5.9999999999999947</v>
      </c>
      <c r="C118">
        <f t="shared" si="0"/>
        <v>9.9385000000000168E-2</v>
      </c>
    </row>
    <row r="119" spans="2:3" x14ac:dyDescent="0.3">
      <c r="B119">
        <f t="shared" si="1"/>
        <v>6.0999999999999943</v>
      </c>
      <c r="C119">
        <f t="shared" si="0"/>
        <v>9.6153184627788407E-2</v>
      </c>
    </row>
    <row r="120" spans="2:3" x14ac:dyDescent="0.3">
      <c r="B120">
        <f t="shared" si="1"/>
        <v>6.199999999999994</v>
      </c>
      <c r="C120">
        <f t="shared" si="0"/>
        <v>9.3076482830385193E-2</v>
      </c>
    </row>
    <row r="121" spans="2:3" x14ac:dyDescent="0.3">
      <c r="B121">
        <f t="shared" si="1"/>
        <v>6.2999999999999936</v>
      </c>
      <c r="C121">
        <f t="shared" si="0"/>
        <v>9.0145124716553462E-2</v>
      </c>
    </row>
    <row r="122" spans="2:3" x14ac:dyDescent="0.3">
      <c r="B122">
        <f t="shared" si="1"/>
        <v>6.3999999999999932</v>
      </c>
      <c r="C122">
        <f t="shared" si="0"/>
        <v>8.7350097656250181E-2</v>
      </c>
    </row>
    <row r="123" spans="2:3" x14ac:dyDescent="0.3">
      <c r="B123">
        <f t="shared" si="1"/>
        <v>6.4999999999999929</v>
      </c>
      <c r="C123">
        <f t="shared" ref="C123:C158" si="2">IF(B123&lt;$C$37,$C$51*(0.4+0.6*B123/$C$37),IF(AND(B123&gt;=$C$37,B123&lt;=$C$36),$C$51,IF(B123&gt;=$C$21,$C$52*$C$21/B123^2,$C$52/B123)))</f>
        <v>8.4683076923077111E-2</v>
      </c>
    </row>
    <row r="124" spans="2:3" x14ac:dyDescent="0.3">
      <c r="B124">
        <f t="shared" ref="B124:B158" si="3">0.1+B123</f>
        <v>6.5999999999999925</v>
      </c>
      <c r="C124">
        <f t="shared" si="2"/>
        <v>8.2136363636363813E-2</v>
      </c>
    </row>
    <row r="125" spans="2:3" x14ac:dyDescent="0.3">
      <c r="B125">
        <f t="shared" si="3"/>
        <v>6.6999999999999922</v>
      </c>
      <c r="C125">
        <f t="shared" si="2"/>
        <v>7.9702829137892811E-2</v>
      </c>
    </row>
    <row r="126" spans="2:3" x14ac:dyDescent="0.3">
      <c r="B126">
        <f t="shared" si="3"/>
        <v>6.7999999999999918</v>
      </c>
      <c r="C126">
        <f t="shared" si="2"/>
        <v>7.7375865051903303E-2</v>
      </c>
    </row>
    <row r="127" spans="2:3" x14ac:dyDescent="0.3">
      <c r="B127">
        <f t="shared" si="3"/>
        <v>6.8999999999999915</v>
      </c>
      <c r="C127">
        <f t="shared" si="2"/>
        <v>7.5149338374291288E-2</v>
      </c>
    </row>
    <row r="128" spans="2:3" x14ac:dyDescent="0.3">
      <c r="B128">
        <f t="shared" si="3"/>
        <v>6.9999999999999911</v>
      </c>
      <c r="C128">
        <f t="shared" si="2"/>
        <v>7.3017551020408356E-2</v>
      </c>
    </row>
    <row r="129" spans="2:3" x14ac:dyDescent="0.3">
      <c r="B129">
        <f t="shared" si="3"/>
        <v>7.0999999999999908</v>
      </c>
      <c r="C129">
        <f t="shared" si="2"/>
        <v>7.0975203332672265E-2</v>
      </c>
    </row>
    <row r="130" spans="2:3" x14ac:dyDescent="0.3">
      <c r="B130">
        <f t="shared" si="3"/>
        <v>7.1999999999999904</v>
      </c>
      <c r="C130">
        <f t="shared" si="2"/>
        <v>6.9017361111111286E-2</v>
      </c>
    </row>
    <row r="131" spans="2:3" x14ac:dyDescent="0.3">
      <c r="B131">
        <f t="shared" si="3"/>
        <v>7.2999999999999901</v>
      </c>
      <c r="C131">
        <f t="shared" si="2"/>
        <v>6.7139425783449225E-2</v>
      </c>
    </row>
    <row r="132" spans="2:3" x14ac:dyDescent="0.3">
      <c r="B132">
        <f t="shared" si="3"/>
        <v>7.3999999999999897</v>
      </c>
      <c r="C132">
        <f t="shared" si="2"/>
        <v>6.5337107377648099E-2</v>
      </c>
    </row>
    <row r="133" spans="2:3" x14ac:dyDescent="0.3">
      <c r="B133">
        <f t="shared" si="3"/>
        <v>7.4999999999999893</v>
      </c>
      <c r="C133">
        <f t="shared" si="2"/>
        <v>6.3606400000000174E-2</v>
      </c>
    </row>
    <row r="134" spans="2:3" x14ac:dyDescent="0.3">
      <c r="B134">
        <f t="shared" si="3"/>
        <v>7.599999999999989</v>
      </c>
      <c r="C134">
        <f t="shared" si="2"/>
        <v>6.1943559556786876E-2</v>
      </c>
    </row>
    <row r="135" spans="2:3" x14ac:dyDescent="0.3">
      <c r="B135">
        <f t="shared" si="3"/>
        <v>7.6999999999999886</v>
      </c>
      <c r="C135">
        <f t="shared" si="2"/>
        <v>6.0345083487940807E-2</v>
      </c>
    </row>
    <row r="136" spans="2:3" x14ac:dyDescent="0.3">
      <c r="B136">
        <f t="shared" si="3"/>
        <v>7.7999999999999883</v>
      </c>
      <c r="C136">
        <f t="shared" si="2"/>
        <v>5.8807692307692477E-2</v>
      </c>
    </row>
    <row r="137" spans="2:3" x14ac:dyDescent="0.3">
      <c r="B137">
        <f t="shared" si="3"/>
        <v>7.8999999999999879</v>
      </c>
      <c r="C137">
        <f t="shared" si="2"/>
        <v>5.7328312770389529E-2</v>
      </c>
    </row>
    <row r="138" spans="2:3" x14ac:dyDescent="0.3">
      <c r="B138">
        <f t="shared" si="3"/>
        <v>7.9999999999999876</v>
      </c>
      <c r="C138">
        <f t="shared" si="2"/>
        <v>5.5904062500000171E-2</v>
      </c>
    </row>
    <row r="139" spans="2:3" x14ac:dyDescent="0.3">
      <c r="B139">
        <f t="shared" si="3"/>
        <v>8.0999999999999872</v>
      </c>
      <c r="C139">
        <f t="shared" si="2"/>
        <v>5.4532235939643521E-2</v>
      </c>
    </row>
    <row r="140" spans="2:3" x14ac:dyDescent="0.3">
      <c r="B140">
        <f t="shared" si="3"/>
        <v>8.1999999999999869</v>
      </c>
      <c r="C140">
        <f t="shared" si="2"/>
        <v>5.3210291493159007E-2</v>
      </c>
    </row>
    <row r="141" spans="2:3" x14ac:dyDescent="0.3">
      <c r="B141">
        <f t="shared" si="3"/>
        <v>8.2999999999999865</v>
      </c>
      <c r="C141">
        <f t="shared" si="2"/>
        <v>5.1935839744520415E-2</v>
      </c>
    </row>
    <row r="142" spans="2:3" x14ac:dyDescent="0.3">
      <c r="B142">
        <f t="shared" si="3"/>
        <v>8.3999999999999861</v>
      </c>
      <c r="C142">
        <f t="shared" si="2"/>
        <v>5.0706632653061391E-2</v>
      </c>
    </row>
    <row r="143" spans="2:3" x14ac:dyDescent="0.3">
      <c r="B143">
        <f t="shared" si="3"/>
        <v>8.4999999999999858</v>
      </c>
      <c r="C143">
        <f t="shared" si="2"/>
        <v>4.9520553633218153E-2</v>
      </c>
    </row>
    <row r="144" spans="2:3" x14ac:dyDescent="0.3">
      <c r="B144">
        <f t="shared" si="3"/>
        <v>8.5999999999999854</v>
      </c>
      <c r="C144">
        <f t="shared" si="2"/>
        <v>4.837560843699313E-2</v>
      </c>
    </row>
    <row r="145" spans="2:3" x14ac:dyDescent="0.3">
      <c r="B145">
        <f t="shared" si="3"/>
        <v>8.6999999999999851</v>
      </c>
      <c r="C145">
        <f t="shared" si="2"/>
        <v>4.7269916765755211E-2</v>
      </c>
    </row>
    <row r="146" spans="2:3" x14ac:dyDescent="0.3">
      <c r="B146">
        <f t="shared" si="3"/>
        <v>8.7999999999999847</v>
      </c>
      <c r="C146">
        <f t="shared" si="2"/>
        <v>4.6201704545454705E-2</v>
      </c>
    </row>
    <row r="147" spans="2:3" x14ac:dyDescent="0.3">
      <c r="B147">
        <f t="shared" si="3"/>
        <v>8.8999999999999844</v>
      </c>
      <c r="C147">
        <f t="shared" si="2"/>
        <v>4.5169296805958999E-2</v>
      </c>
    </row>
    <row r="148" spans="2:3" x14ac:dyDescent="0.3">
      <c r="B148">
        <f t="shared" si="3"/>
        <v>8.999999999999984</v>
      </c>
      <c r="C148">
        <f t="shared" si="2"/>
        <v>4.4171111111111265E-2</v>
      </c>
    </row>
    <row r="149" spans="2:3" x14ac:dyDescent="0.3">
      <c r="B149">
        <f t="shared" si="3"/>
        <v>9.0999999999999837</v>
      </c>
      <c r="C149">
        <f t="shared" si="2"/>
        <v>4.3205651491365932E-2</v>
      </c>
    </row>
    <row r="150" spans="2:3" x14ac:dyDescent="0.3">
      <c r="B150">
        <f t="shared" si="3"/>
        <v>9.1999999999999833</v>
      </c>
      <c r="C150">
        <f t="shared" si="2"/>
        <v>4.2271502835538904E-2</v>
      </c>
    </row>
    <row r="151" spans="2:3" x14ac:dyDescent="0.3">
      <c r="B151">
        <f t="shared" si="3"/>
        <v>9.2999999999999829</v>
      </c>
      <c r="C151">
        <f t="shared" si="2"/>
        <v>4.1367325702393487E-2</v>
      </c>
    </row>
    <row r="152" spans="2:3" x14ac:dyDescent="0.3">
      <c r="B152">
        <f t="shared" si="3"/>
        <v>9.3999999999999826</v>
      </c>
      <c r="C152">
        <f t="shared" si="2"/>
        <v>4.0491851516523458E-2</v>
      </c>
    </row>
    <row r="153" spans="2:3" x14ac:dyDescent="0.3">
      <c r="B153">
        <f t="shared" si="3"/>
        <v>9.4999999999999822</v>
      </c>
      <c r="C153">
        <f t="shared" si="2"/>
        <v>3.9643878116343637E-2</v>
      </c>
    </row>
    <row r="154" spans="2:3" x14ac:dyDescent="0.3">
      <c r="B154">
        <f t="shared" si="3"/>
        <v>9.5999999999999819</v>
      </c>
      <c r="C154">
        <f t="shared" si="2"/>
        <v>3.8822265625000144E-2</v>
      </c>
    </row>
    <row r="155" spans="2:3" x14ac:dyDescent="0.3">
      <c r="B155">
        <f t="shared" si="3"/>
        <v>9.6999999999999815</v>
      </c>
      <c r="C155">
        <f t="shared" si="2"/>
        <v>3.8025932617706593E-2</v>
      </c>
    </row>
    <row r="156" spans="2:3" x14ac:dyDescent="0.3">
      <c r="B156">
        <f t="shared" si="3"/>
        <v>9.7999999999999812</v>
      </c>
      <c r="C156">
        <f t="shared" si="2"/>
        <v>3.7253852561432876E-2</v>
      </c>
    </row>
    <row r="157" spans="2:3" x14ac:dyDescent="0.3">
      <c r="B157">
        <f t="shared" si="3"/>
        <v>9.8999999999999808</v>
      </c>
      <c r="C157">
        <f t="shared" si="2"/>
        <v>3.6505050505050644E-2</v>
      </c>
    </row>
    <row r="158" spans="2:3" x14ac:dyDescent="0.3">
      <c r="B158">
        <f t="shared" si="3"/>
        <v>9.9999999999999805</v>
      </c>
      <c r="C158">
        <f t="shared" si="2"/>
        <v>3.5778600000000139E-2</v>
      </c>
    </row>
    <row r="161" spans="1:4" x14ac:dyDescent="0.3">
      <c r="A161" t="s">
        <v>124</v>
      </c>
    </row>
    <row r="166" spans="1:4" x14ac:dyDescent="0.3">
      <c r="B166" s="1" t="s">
        <v>125</v>
      </c>
      <c r="C166" s="12">
        <v>4.7E-2</v>
      </c>
    </row>
    <row r="167" spans="1:4" x14ac:dyDescent="0.3">
      <c r="B167" s="1" t="s">
        <v>126</v>
      </c>
      <c r="C167" s="12">
        <v>0.85</v>
      </c>
    </row>
    <row r="168" spans="1:4" x14ac:dyDescent="0.3">
      <c r="B168" s="12" t="s">
        <v>127</v>
      </c>
      <c r="C168" s="2">
        <v>9</v>
      </c>
    </row>
    <row r="169" spans="1:4" x14ac:dyDescent="0.3">
      <c r="B169" s="28" t="s">
        <v>128</v>
      </c>
      <c r="C169" s="34">
        <f>C166*(POWER(C168,C167))</f>
        <v>0.30423136847641769</v>
      </c>
      <c r="D169">
        <f>1.4*C169</f>
        <v>0.42592391586698475</v>
      </c>
    </row>
    <row r="172" spans="1:4" x14ac:dyDescent="0.3">
      <c r="A172" t="s">
        <v>129</v>
      </c>
    </row>
    <row r="173" spans="1:4" x14ac:dyDescent="0.3">
      <c r="B173" s="34">
        <f>C169</f>
        <v>0.30423136847641769</v>
      </c>
      <c r="C173" s="1">
        <v>0</v>
      </c>
    </row>
    <row r="174" spans="1:4" x14ac:dyDescent="0.3">
      <c r="B174" s="37">
        <f>B173</f>
        <v>0.30423136847641769</v>
      </c>
      <c r="C174" s="1">
        <f t="shared" ref="C174" si="4">IF(B174&lt;$C$37,$C$51*(0.4+0.6*B174/$C$37),IF(AND(B174&gt;=$C$37,B174&lt;=$C$36),$C$51,IF(B174&gt;=$C$21,$C$52*$C$21/B174^2,$C$52/B174)))</f>
        <v>0.96360000000000001</v>
      </c>
    </row>
    <row r="175" spans="1:4" x14ac:dyDescent="0.3">
      <c r="A175" s="1" t="s">
        <v>130</v>
      </c>
      <c r="B175" s="1">
        <f>C174</f>
        <v>0.96360000000000001</v>
      </c>
    </row>
    <row r="176" spans="1:4" x14ac:dyDescent="0.3">
      <c r="A176" s="1" t="s">
        <v>132</v>
      </c>
      <c r="B176" s="1">
        <v>8</v>
      </c>
    </row>
    <row r="177" spans="1:19" x14ac:dyDescent="0.3">
      <c r="A177" s="38" t="s">
        <v>134</v>
      </c>
      <c r="B177" s="39">
        <v>0.05</v>
      </c>
    </row>
    <row r="178" spans="1:19" x14ac:dyDescent="0.3">
      <c r="A178" s="40" t="s">
        <v>133</v>
      </c>
      <c r="B178" s="1">
        <f>4/(1-LN(B177))</f>
        <v>1.0010680711703974</v>
      </c>
    </row>
    <row r="179" spans="1:19" x14ac:dyDescent="0.3">
      <c r="A179" s="40"/>
      <c r="B179" s="1"/>
    </row>
    <row r="180" spans="1:19" x14ac:dyDescent="0.3">
      <c r="A180" s="35" t="s">
        <v>135</v>
      </c>
      <c r="B180" s="36">
        <f>B175/(B176*B178)</f>
        <v>0.12032148808739454</v>
      </c>
    </row>
    <row r="181" spans="1:19" x14ac:dyDescent="0.3">
      <c r="A181" s="35" t="s">
        <v>136</v>
      </c>
      <c r="B181" s="36">
        <v>1</v>
      </c>
      <c r="S181" t="s">
        <v>131</v>
      </c>
    </row>
    <row r="185" spans="1:19" x14ac:dyDescent="0.3">
      <c r="A185" t="s">
        <v>149</v>
      </c>
    </row>
    <row r="186" spans="1:19" x14ac:dyDescent="0.3">
      <c r="B186" s="51" t="s">
        <v>150</v>
      </c>
      <c r="C186" s="51" t="s">
        <v>151</v>
      </c>
      <c r="D186" s="52" t="s">
        <v>152</v>
      </c>
      <c r="E186" s="1"/>
      <c r="F186" s="1"/>
      <c r="G186" s="1"/>
      <c r="H186" s="1"/>
      <c r="I186" s="1"/>
    </row>
    <row r="187" spans="1:19" x14ac:dyDescent="0.3">
      <c r="B187" s="51"/>
      <c r="C187" s="51"/>
      <c r="D187" s="52" t="s">
        <v>153</v>
      </c>
      <c r="E187" s="1" t="s">
        <v>161</v>
      </c>
      <c r="F187" s="1" t="s">
        <v>162</v>
      </c>
      <c r="G187" s="1" t="s">
        <v>160</v>
      </c>
      <c r="H187" s="1" t="s">
        <v>163</v>
      </c>
      <c r="I187" s="1" t="s">
        <v>165</v>
      </c>
    </row>
    <row r="188" spans="1:19" x14ac:dyDescent="0.3">
      <c r="B188" s="53" t="s">
        <v>154</v>
      </c>
      <c r="C188" s="53" t="s">
        <v>155</v>
      </c>
      <c r="D188" s="53">
        <v>26.272030000000001</v>
      </c>
      <c r="E188" s="53">
        <v>26.272030000000001</v>
      </c>
      <c r="F188" s="53">
        <v>3.2899999999999997E-4</v>
      </c>
      <c r="G188" s="53">
        <v>16.190000000000001</v>
      </c>
      <c r="H188" s="1">
        <f t="shared" ref="H188:H190" si="5">E188*POWER(F188,2)</f>
        <v>2.8437107992299998E-6</v>
      </c>
      <c r="I188" s="1">
        <f>G188*F188</f>
        <v>5.3265099999999996E-3</v>
      </c>
    </row>
    <row r="189" spans="1:19" x14ac:dyDescent="0.3">
      <c r="B189" s="53" t="s">
        <v>156</v>
      </c>
      <c r="C189" s="53" t="s">
        <v>157</v>
      </c>
      <c r="D189" s="53">
        <v>26.272030000000001</v>
      </c>
      <c r="E189" s="53">
        <v>26.272030000000001</v>
      </c>
      <c r="F189" s="53">
        <v>7.5500000000000003E-4</v>
      </c>
      <c r="G189" s="53">
        <v>32.380000000000003</v>
      </c>
      <c r="H189" s="1">
        <f t="shared" si="5"/>
        <v>1.497571390075E-5</v>
      </c>
      <c r="I189" s="1">
        <f t="shared" ref="I189:I190" si="6">G189*F189</f>
        <v>2.4446900000000004E-2</v>
      </c>
    </row>
    <row r="190" spans="1:19" x14ac:dyDescent="0.3">
      <c r="B190" s="53" t="s">
        <v>158</v>
      </c>
      <c r="C190" s="53" t="s">
        <v>159</v>
      </c>
      <c r="D190" s="53">
        <v>19.723960000000002</v>
      </c>
      <c r="E190" s="53">
        <v>19.723960000000002</v>
      </c>
      <c r="F190" s="53">
        <v>1.026E-3</v>
      </c>
      <c r="G190" s="53">
        <v>36.47</v>
      </c>
      <c r="H190" s="1">
        <f t="shared" si="5"/>
        <v>2.0762939316960004E-5</v>
      </c>
      <c r="I190" s="1">
        <f t="shared" si="6"/>
        <v>3.7418220000000002E-2</v>
      </c>
    </row>
    <row r="191" spans="1:19" x14ac:dyDescent="0.3">
      <c r="G191" s="1" t="s">
        <v>164</v>
      </c>
      <c r="H191" s="1">
        <f>SUM(H188:H190)</f>
        <v>3.8582364016940008E-5</v>
      </c>
      <c r="I191" s="1">
        <f>SUM(I188:I190)</f>
        <v>6.7191630000000002E-2</v>
      </c>
    </row>
    <row r="193" spans="2:10" x14ac:dyDescent="0.3">
      <c r="E193" s="1" t="s">
        <v>164</v>
      </c>
      <c r="F193" s="1">
        <f>H191</f>
        <v>3.8582364016940008E-5</v>
      </c>
    </row>
    <row r="194" spans="2:10" x14ac:dyDescent="0.3">
      <c r="E194" s="1" t="s">
        <v>166</v>
      </c>
      <c r="F194" s="1">
        <f>I191</f>
        <v>6.7191630000000002E-2</v>
      </c>
    </row>
    <row r="195" spans="2:10" x14ac:dyDescent="0.3">
      <c r="J195" s="48">
        <v>1.026E-3</v>
      </c>
    </row>
    <row r="196" spans="2:10" x14ac:dyDescent="0.3">
      <c r="D196" s="54" t="s">
        <v>167</v>
      </c>
      <c r="E196" s="54">
        <f>2*PI()*SQRT(F193/F194)</f>
        <v>0.15056245830638623</v>
      </c>
    </row>
    <row r="198" spans="2:10" x14ac:dyDescent="0.3">
      <c r="B198" s="51" t="s">
        <v>150</v>
      </c>
      <c r="C198" s="51" t="s">
        <v>151</v>
      </c>
      <c r="D198" s="52" t="s">
        <v>152</v>
      </c>
      <c r="E198" s="1"/>
      <c r="F198" s="1"/>
      <c r="G198" s="1"/>
      <c r="H198" s="1"/>
      <c r="I198" s="1"/>
    </row>
    <row r="199" spans="2:10" x14ac:dyDescent="0.3">
      <c r="B199" s="51"/>
      <c r="C199" s="51"/>
      <c r="D199" s="52" t="s">
        <v>153</v>
      </c>
      <c r="E199" s="1" t="s">
        <v>161</v>
      </c>
      <c r="F199" s="1" t="s">
        <v>168</v>
      </c>
      <c r="G199" s="1" t="s">
        <v>160</v>
      </c>
      <c r="H199" s="1" t="s">
        <v>163</v>
      </c>
      <c r="I199" s="1" t="s">
        <v>165</v>
      </c>
    </row>
    <row r="200" spans="2:10" x14ac:dyDescent="0.3">
      <c r="B200" s="53" t="s">
        <v>154</v>
      </c>
      <c r="C200" s="53" t="s">
        <v>155</v>
      </c>
      <c r="D200" s="53">
        <v>26.272030000000001</v>
      </c>
      <c r="E200" s="53">
        <v>26.272030000000001</v>
      </c>
      <c r="F200" s="48">
        <v>3.7399999999999998E-4</v>
      </c>
      <c r="G200" s="53">
        <v>16.190000000000001</v>
      </c>
      <c r="H200" s="1">
        <f t="shared" ref="H200:H202" si="7">E200*POWER(F200,2)</f>
        <v>3.6748264682799993E-6</v>
      </c>
      <c r="I200" s="1">
        <f>G200*F200</f>
        <v>6.0550600000000001E-3</v>
      </c>
    </row>
    <row r="201" spans="2:10" x14ac:dyDescent="0.3">
      <c r="B201" s="53" t="s">
        <v>156</v>
      </c>
      <c r="C201" s="53" t="s">
        <v>157</v>
      </c>
      <c r="D201" s="53">
        <v>26.272030000000001</v>
      </c>
      <c r="E201" s="53">
        <v>26.272030000000001</v>
      </c>
      <c r="F201" s="48">
        <v>8.8599999999999996E-4</v>
      </c>
      <c r="G201" s="53">
        <v>32.380000000000003</v>
      </c>
      <c r="H201" s="1">
        <f t="shared" si="7"/>
        <v>2.0623438461879999E-5</v>
      </c>
      <c r="I201" s="1">
        <f t="shared" ref="I201:I202" si="8">G201*F201</f>
        <v>2.8688680000000001E-2</v>
      </c>
    </row>
    <row r="202" spans="2:10" x14ac:dyDescent="0.3">
      <c r="B202" s="53" t="s">
        <v>158</v>
      </c>
      <c r="C202" s="53" t="s">
        <v>159</v>
      </c>
      <c r="D202" s="53">
        <v>19.723960000000002</v>
      </c>
      <c r="E202" s="53">
        <v>19.723960000000002</v>
      </c>
      <c r="F202" s="48">
        <v>1.227E-3</v>
      </c>
      <c r="G202" s="53">
        <v>36.47</v>
      </c>
      <c r="H202" s="1">
        <f t="shared" si="7"/>
        <v>2.9694993774840001E-5</v>
      </c>
      <c r="I202" s="1">
        <f t="shared" si="8"/>
        <v>4.4748690000000001E-2</v>
      </c>
    </row>
    <row r="203" spans="2:10" x14ac:dyDescent="0.3">
      <c r="G203" s="1" t="s">
        <v>164</v>
      </c>
      <c r="H203" s="1">
        <f>SUM(H200:H202)</f>
        <v>5.3993258704999998E-5</v>
      </c>
      <c r="I203" s="1">
        <f>SUM(I200:I202)</f>
        <v>7.9492430000000003E-2</v>
      </c>
    </row>
    <row r="205" spans="2:10" x14ac:dyDescent="0.3">
      <c r="E205" s="1" t="s">
        <v>164</v>
      </c>
      <c r="F205" s="1">
        <f>H203</f>
        <v>5.3993258704999998E-5</v>
      </c>
    </row>
    <row r="206" spans="2:10" x14ac:dyDescent="0.3">
      <c r="E206" s="1" t="s">
        <v>166</v>
      </c>
      <c r="F206" s="1">
        <f>I203</f>
        <v>7.9492430000000003E-2</v>
      </c>
    </row>
    <row r="208" spans="2:10" x14ac:dyDescent="0.3">
      <c r="D208" s="54" t="s">
        <v>167</v>
      </c>
      <c r="E208" s="54">
        <f>2*PI()*SQRT(F205/F206)</f>
        <v>0.16375205227067466</v>
      </c>
    </row>
  </sheetData>
  <mergeCells count="4">
    <mergeCell ref="B186:B187"/>
    <mergeCell ref="C186:C187"/>
    <mergeCell ref="B198:B199"/>
    <mergeCell ref="C198:C1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2025-04-20T20:50:41Z</dcterms:created>
  <dcterms:modified xsi:type="dcterms:W3CDTF">2025-05-04T05:18:28Z</dcterms:modified>
</cp:coreProperties>
</file>