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PRACTICA ETBS\PROYECTO\"/>
    </mc:Choice>
  </mc:AlternateContent>
  <xr:revisionPtr revIDLastSave="0" documentId="13_ncr:1_{7BB3A7DE-A1A1-4382-BD67-0DAC80EDFFAB}" xr6:coauthVersionLast="47" xr6:coauthVersionMax="47" xr10:uidLastSave="{00000000-0000-0000-0000-000000000000}"/>
  <bookViews>
    <workbookView xWindow="20370" yWindow="-120" windowWidth="20730" windowHeight="11160" activeTab="1" xr2:uid="{A6F4C03D-0FB8-4EB4-81C4-6D3248E700FE}"/>
  </bookViews>
  <sheets>
    <sheet name="PREDIMENCIONAMIENTO" sheetId="1" r:id="rId1"/>
    <sheet name="ESPECTRO" sheetId="2" r:id="rId2"/>
    <sheet name="CALCULO DE ACER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13" i="3"/>
  <c r="C34" i="3"/>
  <c r="B22" i="3"/>
  <c r="B14" i="3"/>
  <c r="B62" i="3"/>
  <c r="B69" i="3"/>
  <c r="B61" i="3"/>
  <c r="B51" i="3"/>
  <c r="B41" i="3"/>
  <c r="B33" i="3"/>
  <c r="B32" i="3"/>
  <c r="B25" i="3"/>
  <c r="B11" i="3"/>
  <c r="F317" i="2"/>
  <c r="H317" i="2" s="1"/>
  <c r="E319" i="2"/>
  <c r="G319" i="2" s="1"/>
  <c r="E317" i="2"/>
  <c r="G317" i="2" s="1"/>
  <c r="N318" i="2"/>
  <c r="N319" i="2"/>
  <c r="N320" i="2"/>
  <c r="N317" i="2"/>
  <c r="G320" i="2"/>
  <c r="I320" i="2" s="1"/>
  <c r="K320" i="2" s="1"/>
  <c r="H320" i="2"/>
  <c r="J320" i="2" s="1"/>
  <c r="L320" i="2" s="1"/>
  <c r="F319" i="2"/>
  <c r="H319" i="2" s="1"/>
  <c r="F318" i="2"/>
  <c r="H318" i="2" s="1"/>
  <c r="E318" i="2"/>
  <c r="G318" i="2" s="1"/>
  <c r="G285" i="2"/>
  <c r="D285" i="2"/>
  <c r="J285" i="2" s="1"/>
  <c r="G284" i="2"/>
  <c r="D284" i="2"/>
  <c r="J284" i="2" s="1"/>
  <c r="G264" i="2"/>
  <c r="G263" i="2"/>
  <c r="D264" i="2"/>
  <c r="J264" i="2" s="1"/>
  <c r="D263" i="2"/>
  <c r="J263" i="2" s="1"/>
  <c r="O245" i="2"/>
  <c r="P245" i="2"/>
  <c r="O246" i="2"/>
  <c r="P246" i="2"/>
  <c r="P244" i="2"/>
  <c r="O244" i="2"/>
  <c r="F214" i="2"/>
  <c r="I214" i="2" s="1"/>
  <c r="F213" i="2"/>
  <c r="I213" i="2" s="1"/>
  <c r="F212" i="2"/>
  <c r="I212" i="2" s="1"/>
  <c r="E214" i="2"/>
  <c r="E213" i="2"/>
  <c r="E212" i="2"/>
  <c r="I199" i="2"/>
  <c r="F200" i="2"/>
  <c r="I200" i="2" s="1"/>
  <c r="F198" i="2"/>
  <c r="I198" i="2" s="1"/>
  <c r="E199" i="2"/>
  <c r="H199" i="2" s="1"/>
  <c r="E200" i="2"/>
  <c r="E198" i="2"/>
  <c r="B188" i="2"/>
  <c r="C177" i="2"/>
  <c r="C181" i="2" s="1"/>
  <c r="C182" i="2" s="1"/>
  <c r="C68" i="2"/>
  <c r="C38" i="2"/>
  <c r="C59" i="2" s="1"/>
  <c r="C37" i="2"/>
  <c r="C58" i="2" s="1"/>
  <c r="D14" i="2"/>
  <c r="C6" i="2"/>
  <c r="C8" i="2" s="1"/>
  <c r="C142" i="1"/>
  <c r="C143" i="1" s="1"/>
  <c r="C145" i="1" s="1"/>
  <c r="C160" i="1"/>
  <c r="C135" i="1"/>
  <c r="C128" i="1"/>
  <c r="C129" i="1" s="1"/>
  <c r="C131" i="1" s="1"/>
  <c r="C137" i="1" s="1"/>
  <c r="C119" i="1"/>
  <c r="C120" i="1" s="1"/>
  <c r="C122" i="1" s="1"/>
  <c r="C108" i="1"/>
  <c r="C111" i="1" s="1"/>
  <c r="C99" i="1"/>
  <c r="C103" i="1" s="1"/>
  <c r="B88" i="1"/>
  <c r="A90" i="1"/>
  <c r="B86" i="1"/>
  <c r="B84" i="1"/>
  <c r="B83" i="1"/>
  <c r="B85" i="1" s="1"/>
  <c r="B82" i="1"/>
  <c r="B72" i="1"/>
  <c r="B71" i="1"/>
  <c r="B75" i="1" s="1"/>
  <c r="A69" i="1"/>
  <c r="A63" i="1"/>
  <c r="A64" i="1" s="1"/>
  <c r="A65" i="1" s="1"/>
  <c r="F55" i="1"/>
  <c r="F56" i="1" s="1"/>
  <c r="D55" i="1"/>
  <c r="D56" i="1" s="1"/>
  <c r="B55" i="1"/>
  <c r="B56" i="1" s="1"/>
  <c r="A43" i="1"/>
  <c r="E41" i="1"/>
  <c r="C41" i="1"/>
  <c r="A41" i="1"/>
  <c r="C38" i="1"/>
  <c r="A38" i="1"/>
  <c r="A28" i="1"/>
  <c r="E26" i="1"/>
  <c r="C26" i="1"/>
  <c r="A26" i="1"/>
  <c r="C23" i="1"/>
  <c r="A23" i="1"/>
  <c r="B9" i="1"/>
  <c r="C14" i="1"/>
  <c r="B44" i="1" s="1"/>
  <c r="C13" i="1"/>
  <c r="I319" i="2" l="1"/>
  <c r="K319" i="2" s="1"/>
  <c r="J317" i="2"/>
  <c r="L317" i="2" s="1"/>
  <c r="J319" i="2"/>
  <c r="L319" i="2" s="1"/>
  <c r="H200" i="2"/>
  <c r="H214" i="2"/>
  <c r="N263" i="2"/>
  <c r="N284" i="2"/>
  <c r="I318" i="2"/>
  <c r="K318" i="2" s="1"/>
  <c r="J318" i="2"/>
  <c r="L318" i="2" s="1"/>
  <c r="I317" i="2"/>
  <c r="K317" i="2" s="1"/>
  <c r="N285" i="2"/>
  <c r="N264" i="2"/>
  <c r="H198" i="2"/>
  <c r="H213" i="2"/>
  <c r="C61" i="2"/>
  <c r="C60" i="2"/>
  <c r="I201" i="2"/>
  <c r="D205" i="2" s="1"/>
  <c r="C41" i="2"/>
  <c r="C42" i="2" s="1"/>
  <c r="D67" i="2" s="1"/>
  <c r="C69" i="2"/>
  <c r="G177" i="2"/>
  <c r="I215" i="2"/>
  <c r="D219" i="2" s="1"/>
  <c r="H212" i="2"/>
  <c r="H215" i="2" s="1"/>
  <c r="D218" i="2" s="1"/>
  <c r="C221" i="2" s="1"/>
  <c r="B30" i="1"/>
  <c r="B31" i="1" s="1"/>
  <c r="B59" i="1"/>
  <c r="B62" i="1" s="1"/>
  <c r="D59" i="1"/>
  <c r="D62" i="1" s="1"/>
  <c r="F59" i="1"/>
  <c r="F62" i="1" s="1"/>
  <c r="B29" i="1"/>
  <c r="E13" i="1"/>
  <c r="B45" i="1"/>
  <c r="B46" i="1" s="1"/>
  <c r="H201" i="2" l="1"/>
  <c r="D204" i="2" s="1"/>
  <c r="C207" i="2"/>
  <c r="D182" i="2"/>
  <c r="B184" i="2" s="1"/>
  <c r="B190" i="2" s="1"/>
  <c r="D69" i="2"/>
  <c r="C70" i="2"/>
  <c r="D68" i="2"/>
  <c r="B63" i="1"/>
  <c r="B64" i="1"/>
  <c r="B65" i="1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D112" i="2" l="1"/>
  <c r="C113" i="2"/>
  <c r="D113" i="2" l="1"/>
  <c r="C114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D135" i="2" l="1"/>
  <c r="C136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D158" i="2" l="1"/>
  <c r="C159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7" i="2" s="1"/>
  <c r="D166" i="2"/>
</calcChain>
</file>

<file path=xl/sharedStrings.xml><?xml version="1.0" encoding="utf-8"?>
<sst xmlns="http://schemas.openxmlformats.org/spreadsheetml/2006/main" count="545" uniqueCount="336">
  <si>
    <t xml:space="preserve">Uso: </t>
  </si>
  <si>
    <t>Oficinas</t>
  </si>
  <si>
    <t>Ubicación:</t>
  </si>
  <si>
    <t>Quetzaltenango, Quetzaltenango</t>
  </si>
  <si>
    <t>Clasificacion de obra:</t>
  </si>
  <si>
    <t>Ordinaria</t>
  </si>
  <si>
    <t>MATERIALES</t>
  </si>
  <si>
    <t>Concreto f'c:</t>
  </si>
  <si>
    <t>Acero fy:</t>
  </si>
  <si>
    <t>No. Niveles:</t>
  </si>
  <si>
    <t>Area por nivel:</t>
  </si>
  <si>
    <t>Altura total</t>
  </si>
  <si>
    <t>Area total:</t>
  </si>
  <si>
    <t>f'm:</t>
  </si>
  <si>
    <t>No estructural</t>
  </si>
  <si>
    <t>Ec=</t>
  </si>
  <si>
    <t>Es=</t>
  </si>
  <si>
    <t>Concreto premezclado ASTM C685 ó ASTM C94</t>
  </si>
  <si>
    <t>Acero de refuerzo ASTM A706 (barras SI)</t>
  </si>
  <si>
    <t>Bloque clase C NTG 41054 + mortero tipo "S" NTG 41050</t>
  </si>
  <si>
    <t>PROYECTO</t>
  </si>
  <si>
    <t>VIGAS</t>
  </si>
  <si>
    <t>PREDIMENSIONAMIENTO</t>
  </si>
  <si>
    <t>Direccion X-X</t>
  </si>
  <si>
    <t>L=</t>
  </si>
  <si>
    <t>L/14</t>
  </si>
  <si>
    <t>h</t>
  </si>
  <si>
    <t>L/10</t>
  </si>
  <si>
    <t>b</t>
  </si>
  <si>
    <t>h/2</t>
  </si>
  <si>
    <t>2h/3</t>
  </si>
  <si>
    <t>bmin=</t>
  </si>
  <si>
    <t>Asmin=</t>
  </si>
  <si>
    <t>ρmax=</t>
  </si>
  <si>
    <t>Asmax=</t>
  </si>
  <si>
    <t>Direccion Y-Y</t>
  </si>
  <si>
    <t>COLUMNAS</t>
  </si>
  <si>
    <t>CV=</t>
  </si>
  <si>
    <t>CM=</t>
  </si>
  <si>
    <t>No. Pisos</t>
  </si>
  <si>
    <t>At central=</t>
  </si>
  <si>
    <t>At perimetral=</t>
  </si>
  <si>
    <t>At esquina=</t>
  </si>
  <si>
    <t>Pg=</t>
  </si>
  <si>
    <t>λ=</t>
  </si>
  <si>
    <t>η=</t>
  </si>
  <si>
    <t>Acol=</t>
  </si>
  <si>
    <t>Cantidad=</t>
  </si>
  <si>
    <t>As=</t>
  </si>
  <si>
    <t>#6=2.85 cm2</t>
  </si>
  <si>
    <t>LOSAS</t>
  </si>
  <si>
    <t>a=</t>
  </si>
  <si>
    <t>b=</t>
  </si>
  <si>
    <t>t=</t>
  </si>
  <si>
    <t>fy=</t>
  </si>
  <si>
    <t>β=</t>
  </si>
  <si>
    <t>tmin=</t>
  </si>
  <si>
    <t>l/t=</t>
  </si>
  <si>
    <t>Shell thin</t>
  </si>
  <si>
    <t>INTEGRACION DE CARGAS</t>
  </si>
  <si>
    <t>SOBRECARGA ENTREPISO</t>
  </si>
  <si>
    <t>Cielo falso=</t>
  </si>
  <si>
    <t>Contrapiso=</t>
  </si>
  <si>
    <t>Piso=</t>
  </si>
  <si>
    <t>Instalaciones=</t>
  </si>
  <si>
    <t>50mm*1.7</t>
  </si>
  <si>
    <t>25.4mm*0.8</t>
  </si>
  <si>
    <t>SOBRECARGA TECHO</t>
  </si>
  <si>
    <t>Pañuelos=</t>
  </si>
  <si>
    <t>70mm*1.7</t>
  </si>
  <si>
    <t>SOBRECARGA EN LOSA</t>
  </si>
  <si>
    <t>SOBRECARGA LINEAL</t>
  </si>
  <si>
    <t>MURO COMPLETO</t>
  </si>
  <si>
    <t>h=</t>
  </si>
  <si>
    <t>Block=</t>
  </si>
  <si>
    <t>Repello=</t>
  </si>
  <si>
    <t>Bloque clase "C" 14x19x39 cm, pin #3 @ 80 cm</t>
  </si>
  <si>
    <t>Acabado 1 cm, γa= 2000 kg/m3, t*γa (2 caras)</t>
  </si>
  <si>
    <t>MURO + VENTANA</t>
  </si>
  <si>
    <t>h sillar=</t>
  </si>
  <si>
    <t>h ventana=</t>
  </si>
  <si>
    <t>Peso muro + ventana=</t>
  </si>
  <si>
    <t>CARGA VIVA</t>
  </si>
  <si>
    <t>Oficinas=</t>
  </si>
  <si>
    <t>Pasillos =</t>
  </si>
  <si>
    <t>Cafeteria=</t>
  </si>
  <si>
    <t>Losas I,II y III</t>
  </si>
  <si>
    <t>Particiones</t>
  </si>
  <si>
    <t>Losas V y VI</t>
  </si>
  <si>
    <t>Losa IV</t>
  </si>
  <si>
    <t>VIVA DE TECHO</t>
  </si>
  <si>
    <t>Viva de techo=</t>
  </si>
  <si>
    <t>Tefra volcanica=</t>
  </si>
  <si>
    <t>Carga de lluvia=</t>
  </si>
  <si>
    <t>Vt Losas I,II,III,IV,V y VI</t>
  </si>
  <si>
    <t>Ar Losas I,II,III,IV,V y VI</t>
  </si>
  <si>
    <t>Pl Losas I,II,III,IV,V y VI</t>
  </si>
  <si>
    <t>Nota: elegir la mayor(solo se aplica una)</t>
  </si>
  <si>
    <t>MURO CENEFA</t>
  </si>
  <si>
    <t>CARGA DE UBICACIÓN</t>
  </si>
  <si>
    <t>Area bruta de piso=</t>
  </si>
  <si>
    <t>No. Niveles=</t>
  </si>
  <si>
    <t>Σarea bruta de piso=</t>
  </si>
  <si>
    <t>Factor de carga de ocupacion=</t>
  </si>
  <si>
    <t>Carga de ocupacion=</t>
  </si>
  <si>
    <t>NSE1</t>
  </si>
  <si>
    <t>Clasificacion de obra=</t>
  </si>
  <si>
    <t>II Ordinaria</t>
  </si>
  <si>
    <t>Clasificacion de sitio</t>
  </si>
  <si>
    <t>Cu=Sv=</t>
  </si>
  <si>
    <t>NSE 2.1</t>
  </si>
  <si>
    <t>Lugar</t>
  </si>
  <si>
    <t>Uso</t>
  </si>
  <si>
    <t>ACELERACIONES ESPECTRALES (NSE2)</t>
  </si>
  <si>
    <t>Scr=</t>
  </si>
  <si>
    <t>S1r=</t>
  </si>
  <si>
    <t>TL=</t>
  </si>
  <si>
    <t>Io=</t>
  </si>
  <si>
    <t>Tabla A1 NSE2</t>
  </si>
  <si>
    <t>Ajustes por clase de sitio</t>
  </si>
  <si>
    <t>Fa=</t>
  </si>
  <si>
    <t>Fv=</t>
  </si>
  <si>
    <t>Ajuste por intensidades sismicas especiales</t>
  </si>
  <si>
    <t>Na=</t>
  </si>
  <si>
    <t>Nv=</t>
  </si>
  <si>
    <t>Scs=</t>
  </si>
  <si>
    <t>S1s=</t>
  </si>
  <si>
    <t>Periodos de vibracion por transicion</t>
  </si>
  <si>
    <t>Ts=</t>
  </si>
  <si>
    <t>T0=</t>
  </si>
  <si>
    <t>Factor Kd</t>
  </si>
  <si>
    <t>Sismo de diseño=</t>
  </si>
  <si>
    <t>10% en 50 años / sismo ordinario</t>
  </si>
  <si>
    <t>Kd=</t>
  </si>
  <si>
    <t>Calibracion de aceleraciones espectrales</t>
  </si>
  <si>
    <t>Scd=</t>
  </si>
  <si>
    <t>S1d=</t>
  </si>
  <si>
    <t>AMSd=</t>
  </si>
  <si>
    <t>Aceleracion maxima del suelo de diseño</t>
  </si>
  <si>
    <t>Componente vertical del sismo de diseño</t>
  </si>
  <si>
    <t>Svd=</t>
  </si>
  <si>
    <t>T</t>
  </si>
  <si>
    <t>Sa(T)</t>
  </si>
  <si>
    <t>Periodo empirico de vibracion</t>
  </si>
  <si>
    <t>KT=</t>
  </si>
  <si>
    <t>X=</t>
  </si>
  <si>
    <t>hn</t>
  </si>
  <si>
    <t>Ta=</t>
  </si>
  <si>
    <t>NSE3</t>
  </si>
  <si>
    <t>Coeficiente sismico</t>
  </si>
  <si>
    <t>Sa (T) =</t>
  </si>
  <si>
    <t>Pseudo aceleracion</t>
  </si>
  <si>
    <t>Periodo aproximado</t>
  </si>
  <si>
    <t>R=</t>
  </si>
  <si>
    <t>ξ=</t>
  </si>
  <si>
    <t>βd=</t>
  </si>
  <si>
    <t>Cs=</t>
  </si>
  <si>
    <t>K=</t>
  </si>
  <si>
    <t>Periodo Natural de Vibracion</t>
  </si>
  <si>
    <t>Wi=</t>
  </si>
  <si>
    <t>Story</t>
  </si>
  <si>
    <t>Diaphragm</t>
  </si>
  <si>
    <t>Mass X</t>
  </si>
  <si>
    <t>tonf-s²/m</t>
  </si>
  <si>
    <t>Story1</t>
  </si>
  <si>
    <t>D1</t>
  </si>
  <si>
    <t>Story2</t>
  </si>
  <si>
    <t>D2</t>
  </si>
  <si>
    <t>Story3</t>
  </si>
  <si>
    <t>D3</t>
  </si>
  <si>
    <t>Wi/g</t>
  </si>
  <si>
    <t>Sale del centro de masa y rigidez (etabs)</t>
  </si>
  <si>
    <t>U1</t>
  </si>
  <si>
    <t>Fi</t>
  </si>
  <si>
    <t>Wi*Ui^2</t>
  </si>
  <si>
    <t>Σwi*Ui^2/g=</t>
  </si>
  <si>
    <t>Fi*Ui</t>
  </si>
  <si>
    <t>Σfi*Ui=</t>
  </si>
  <si>
    <t>TfX=</t>
  </si>
  <si>
    <t>TfY=</t>
  </si>
  <si>
    <t>U2</t>
  </si>
  <si>
    <t>1.4 Ta =</t>
  </si>
  <si>
    <t>CONSTRUCCION DEL ESPECTRO ELASTICO</t>
  </si>
  <si>
    <t>PARTICIPACION DE MASA</t>
  </si>
  <si>
    <t>Case</t>
  </si>
  <si>
    <t>Mode</t>
  </si>
  <si>
    <t>Period</t>
  </si>
  <si>
    <t>sec</t>
  </si>
  <si>
    <t>UX</t>
  </si>
  <si>
    <t>UY</t>
  </si>
  <si>
    <t>UZ</t>
  </si>
  <si>
    <t>SumUX</t>
  </si>
  <si>
    <t>SumUY</t>
  </si>
  <si>
    <t>SumUZ</t>
  </si>
  <si>
    <t>RX</t>
  </si>
  <si>
    <t>RY</t>
  </si>
  <si>
    <t>RZ</t>
  </si>
  <si>
    <t>SumRX</t>
  </si>
  <si>
    <t>SumRY</t>
  </si>
  <si>
    <t>SumRZ</t>
  </si>
  <si>
    <t>Modal</t>
  </si>
  <si>
    <t>CENTRO DE MASA, RIGIDEZ Y EXCENTRICIDADES</t>
  </si>
  <si>
    <t>kgf-s²/m</t>
  </si>
  <si>
    <t>Mass Y</t>
  </si>
  <si>
    <t>XCM</t>
  </si>
  <si>
    <t>m</t>
  </si>
  <si>
    <t>YCM</t>
  </si>
  <si>
    <t>Cum Mass X</t>
  </si>
  <si>
    <t>Cum Mass Y</t>
  </si>
  <si>
    <t>XCCM</t>
  </si>
  <si>
    <t>YCCM</t>
  </si>
  <si>
    <t>XCR</t>
  </si>
  <si>
    <t>YCR</t>
  </si>
  <si>
    <t>eix</t>
  </si>
  <si>
    <t>eiy</t>
  </si>
  <si>
    <t>CALIBRACION</t>
  </si>
  <si>
    <t>Output Case</t>
  </si>
  <si>
    <t>Case Type</t>
  </si>
  <si>
    <t>Step Type</t>
  </si>
  <si>
    <t>Step Number</t>
  </si>
  <si>
    <t>Step Label</t>
  </si>
  <si>
    <t>FX</t>
  </si>
  <si>
    <t>tonf</t>
  </si>
  <si>
    <t>FY</t>
  </si>
  <si>
    <t>FZ</t>
  </si>
  <si>
    <t>MX</t>
  </si>
  <si>
    <t>tonf-m</t>
  </si>
  <si>
    <t>MY</t>
  </si>
  <si>
    <t>MZ</t>
  </si>
  <si>
    <t>X</t>
  </si>
  <si>
    <t>Y</t>
  </si>
  <si>
    <t>Z</t>
  </si>
  <si>
    <t>LinStatic</t>
  </si>
  <si>
    <t>Sismo estatico</t>
  </si>
  <si>
    <t>Step By Step</t>
  </si>
  <si>
    <t>Sx Modal</t>
  </si>
  <si>
    <t>LinRespSpec</t>
  </si>
  <si>
    <t>Max</t>
  </si>
  <si>
    <t>Sy Modal</t>
  </si>
  <si>
    <t>VEX (corte basal==</t>
  </si>
  <si>
    <t>VEY =</t>
  </si>
  <si>
    <t>V1X (modal)=</t>
  </si>
  <si>
    <t>V1Y (modal)=</t>
  </si>
  <si>
    <t>VDX (diseño)=</t>
  </si>
  <si>
    <t>VDY (diseño)=</t>
  </si>
  <si>
    <t>F1X (correccion)=</t>
  </si>
  <si>
    <t>F1Y (correccion)=</t>
  </si>
  <si>
    <t>F1X=</t>
  </si>
  <si>
    <t>VDX/ V1X</t>
  </si>
  <si>
    <t>CALIBRACION CON SECCION AGRIETADA</t>
  </si>
  <si>
    <t>Label</t>
  </si>
  <si>
    <t>Unique Name</t>
  </si>
  <si>
    <t>Ux</t>
  </si>
  <si>
    <t>cm</t>
  </si>
  <si>
    <t>Uy</t>
  </si>
  <si>
    <t>Uz</t>
  </si>
  <si>
    <t>Rx</t>
  </si>
  <si>
    <t>rad</t>
  </si>
  <si>
    <t>Ry</t>
  </si>
  <si>
    <t>Rz</t>
  </si>
  <si>
    <t>Cd=</t>
  </si>
  <si>
    <t>Nivel</t>
  </si>
  <si>
    <t>base</t>
  </si>
  <si>
    <t>Altura</t>
  </si>
  <si>
    <t>desplazamiento cedente</t>
  </si>
  <si>
    <t>δcx</t>
  </si>
  <si>
    <t>δcy</t>
  </si>
  <si>
    <t>Tabla desplazamiento de puntos</t>
  </si>
  <si>
    <t>δux</t>
  </si>
  <si>
    <t>δuy</t>
  </si>
  <si>
    <t>desplazamiento ultimo</t>
  </si>
  <si>
    <t>deriva</t>
  </si>
  <si>
    <t>Δux</t>
  </si>
  <si>
    <t>Δuy</t>
  </si>
  <si>
    <t>θux</t>
  </si>
  <si>
    <t>θuy</t>
  </si>
  <si>
    <t>distorcion</t>
  </si>
  <si>
    <t>θp</t>
  </si>
  <si>
    <t>Δp</t>
  </si>
  <si>
    <t>Svd= o.193</t>
  </si>
  <si>
    <t>CR5X-=</t>
  </si>
  <si>
    <t>0.9M-(Svd*M)-Sx modal</t>
  </si>
  <si>
    <t>0.9M-0.193M-Sx modal</t>
  </si>
  <si>
    <t>0.707M-Sx modal</t>
  </si>
  <si>
    <t>DISEÑO DE VIGAS</t>
  </si>
  <si>
    <t># de varillas=</t>
  </si>
  <si>
    <t>No varilla</t>
  </si>
  <si>
    <t>Area</t>
  </si>
  <si>
    <t># varillas=</t>
  </si>
  <si>
    <t>Varillas #5</t>
  </si>
  <si>
    <t>Dato mayor Etabs=</t>
  </si>
  <si>
    <t>Dato a comparar=</t>
  </si>
  <si>
    <t>As minimo=</t>
  </si>
  <si>
    <t>Nota: elegir el mayor entre As minimo y dato a comparar para hallar numero de varillas</t>
  </si>
  <si>
    <t>dato elegido/ A varilla</t>
  </si>
  <si>
    <t>Varillas #6</t>
  </si>
  <si>
    <t>Nota: del numero mayor de etabs, restarle el As total varillas</t>
  </si>
  <si>
    <t>As tot varillas=</t>
  </si>
  <si>
    <t>As bastones=</t>
  </si>
  <si>
    <t>As bastones/ A varilla</t>
  </si>
  <si>
    <t>Longitud baston=</t>
  </si>
  <si>
    <t>Armado Transversal por corte y torsion (estribos)</t>
  </si>
  <si>
    <t>Nota: Etabs muestra cuantia de acero (tomar el mayor)</t>
  </si>
  <si>
    <t>Cuantia de acero=</t>
  </si>
  <si>
    <t>As estribo=</t>
  </si>
  <si>
    <t>Separacion de estr=</t>
  </si>
  <si>
    <t>Acero #3</t>
  </si>
  <si>
    <t>L confinamiento=</t>
  </si>
  <si>
    <t>L confinamiento extremos=</t>
  </si>
  <si>
    <t>h viga=</t>
  </si>
  <si>
    <t>L viga mayor del eje=</t>
  </si>
  <si>
    <t>b viga=</t>
  </si>
  <si>
    <t>Nota: Repetir el procedimiento para cada cuantia de acero. Cambia la separacion en la longitud de confinamiento</t>
  </si>
  <si>
    <t>Armado longitudinal por torsión</t>
  </si>
  <si>
    <t>Nota: El programa muestra area de acero necesario, elegir el mayor.</t>
  </si>
  <si>
    <t>As necesario=</t>
  </si>
  <si>
    <t># de varillas</t>
  </si>
  <si>
    <t>Nota: Este refuerzo se coloca entre el refuerzo superior y el inferior, a ambos lados de la viga. Mitad para un lado y la otra mitad para el otro lado.</t>
  </si>
  <si>
    <t>DISEÑO DE COLUMNAS</t>
  </si>
  <si>
    <t>El armado de las columnas es el que se tiene propuesto en etabs, siempre y cuando cumpla con todos los chequeos.</t>
  </si>
  <si>
    <t>Longitud de confinamiento</t>
  </si>
  <si>
    <t>DISEÑO DE LOSAS</t>
  </si>
  <si>
    <t>Cama superior (bastones)</t>
  </si>
  <si>
    <t># barras</t>
  </si>
  <si>
    <t>Luz libre=</t>
  </si>
  <si>
    <t>Separacion=</t>
  </si>
  <si>
    <t>Tomar el numero mayor de lo que muestre el programa (color amarillo)</t>
  </si>
  <si>
    <t>Tomar el numero mayor de lo que muestre el programa (color rojo)</t>
  </si>
  <si>
    <t>Nota: realizar el diseño para cada eje.</t>
  </si>
  <si>
    <t>Cama inferior (tensiones)</t>
  </si>
  <si>
    <t>Longitud=</t>
  </si>
  <si>
    <t>Armado longitudinal (flexion)</t>
  </si>
  <si>
    <t>Armado para bastones (flexion)</t>
  </si>
  <si>
    <t>Apartamentos</t>
  </si>
  <si>
    <t>Suelo tipo "C"</t>
  </si>
  <si>
    <t xml:space="preserve">Cobán, Alta Verapáz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</si>
</sst>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&quot;PSI&quot;"/>
    <numFmt numFmtId="165" formatCode="0.00&quot;kg/cm2&quot;"/>
    <numFmt numFmtId="166" formatCode="0.00&quot;m2&quot;"/>
    <numFmt numFmtId="167" formatCode="0.00&quot;m&quot;"/>
    <numFmt numFmtId="168" formatCode="0.00&quot;cm2&quot;"/>
    <numFmt numFmtId="169" formatCode="0.00&quot;kg/m2&quot;"/>
    <numFmt numFmtId="170" formatCode="0.00&quot;kg&quot;"/>
    <numFmt numFmtId="171" formatCode="0.00&quot;cm&quot;"/>
    <numFmt numFmtId="172" formatCode="0&quot;cm2&quot;"/>
    <numFmt numFmtId="173" formatCode="0.00&quot;kg/m&quot;"/>
    <numFmt numFmtId="174" formatCode="0\ &quot;personas&quot;"/>
    <numFmt numFmtId="175" formatCode="0.00&quot;kpa&quot;"/>
    <numFmt numFmtId="176" formatCode="0.000\ &quot;s&quot;"/>
    <numFmt numFmtId="177" formatCode="0.000"/>
    <numFmt numFmtId="178" formatCode="0.000&quot;cm&quot;"/>
    <numFmt numFmtId="179" formatCode="0.00\ &quot;cm2&quot;"/>
    <numFmt numFmtId="180" formatCode="0.0000"/>
    <numFmt numFmtId="181" formatCode="0\ &quot;superior&quot;"/>
    <numFmt numFmtId="182" formatCode="0\ &quot;inferior&quot;"/>
  </numFmts>
  <fonts count="4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b/>
      <sz val="24"/>
      <color theme="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/>
    <xf numFmtId="16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6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70" fontId="0" fillId="0" borderId="1" xfId="0" applyNumberFormat="1" applyBorder="1"/>
    <xf numFmtId="171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71" fontId="0" fillId="2" borderId="0" xfId="0" applyNumberFormat="1" applyFill="1" applyAlignment="1">
      <alignment horizontal="center"/>
    </xf>
    <xf numFmtId="17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1" fontId="0" fillId="2" borderId="1" xfId="0" applyNumberFormat="1" applyFill="1" applyBorder="1"/>
    <xf numFmtId="2" fontId="0" fillId="0" borderId="1" xfId="0" applyNumberFormat="1" applyBorder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169" fontId="0" fillId="2" borderId="1" xfId="0" applyNumberFormat="1" applyFill="1" applyBorder="1"/>
    <xf numFmtId="169" fontId="0" fillId="4" borderId="0" xfId="0" applyNumberFormat="1" applyFill="1"/>
    <xf numFmtId="169" fontId="0" fillId="9" borderId="1" xfId="0" applyNumberFormat="1" applyFill="1" applyBorder="1"/>
    <xf numFmtId="173" fontId="0" fillId="10" borderId="1" xfId="0" applyNumberFormat="1" applyFill="1" applyBorder="1"/>
    <xf numFmtId="167" fontId="0" fillId="2" borderId="1" xfId="0" applyNumberFormat="1" applyFill="1" applyBorder="1"/>
    <xf numFmtId="173" fontId="0" fillId="11" borderId="1" xfId="0" applyNumberFormat="1" applyFill="1" applyBorder="1"/>
    <xf numFmtId="0" fontId="0" fillId="0" borderId="4" xfId="0" applyBorder="1" applyAlignment="1">
      <alignment horizontal="center"/>
    </xf>
    <xf numFmtId="169" fontId="0" fillId="2" borderId="4" xfId="0" applyNumberFormat="1" applyFill="1" applyBorder="1"/>
    <xf numFmtId="169" fontId="0" fillId="10" borderId="1" xfId="0" applyNumberFormat="1" applyFill="1" applyBorder="1"/>
    <xf numFmtId="0" fontId="1" fillId="0" borderId="0" xfId="0" applyFont="1"/>
    <xf numFmtId="174" fontId="0" fillId="1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75" fontId="0" fillId="0" borderId="0" xfId="0" applyNumberFormat="1"/>
    <xf numFmtId="165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76" fontId="0" fillId="0" borderId="1" xfId="0" applyNumberFormat="1" applyBorder="1"/>
    <xf numFmtId="0" fontId="1" fillId="1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177" fontId="0" fillId="12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6" fontId="0" fillId="12" borderId="1" xfId="0" applyNumberFormat="1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1" fontId="0" fillId="2" borderId="0" xfId="0" applyNumberFormat="1" applyFill="1" applyAlignment="1">
      <alignment vertical="center" wrapText="1"/>
    </xf>
    <xf numFmtId="177" fontId="0" fillId="13" borderId="0" xfId="0" applyNumberFormat="1" applyFill="1"/>
    <xf numFmtId="2" fontId="0" fillId="1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78" fontId="0" fillId="0" borderId="1" xfId="0" applyNumberFormat="1" applyBorder="1" applyAlignment="1">
      <alignment horizontal="center"/>
    </xf>
    <xf numFmtId="177" fontId="1" fillId="1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179" fontId="0" fillId="0" borderId="1" xfId="0" applyNumberFormat="1" applyBorder="1" applyAlignment="1">
      <alignment horizontal="center"/>
    </xf>
    <xf numFmtId="179" fontId="0" fillId="15" borderId="1" xfId="0" applyNumberFormat="1" applyFill="1" applyBorder="1" applyAlignment="1">
      <alignment horizontal="center"/>
    </xf>
    <xf numFmtId="182" fontId="0" fillId="3" borderId="0" xfId="0" applyNumberFormat="1" applyFill="1"/>
    <xf numFmtId="181" fontId="0" fillId="6" borderId="1" xfId="0" applyNumberFormat="1" applyFill="1" applyBorder="1"/>
    <xf numFmtId="182" fontId="0" fillId="6" borderId="1" xfId="0" applyNumberFormat="1" applyFill="1" applyBorder="1"/>
    <xf numFmtId="180" fontId="0" fillId="15" borderId="1" xfId="0" applyNumberFormat="1" applyFill="1" applyBorder="1" applyAlignment="1">
      <alignment horizontal="center"/>
    </xf>
    <xf numFmtId="0" fontId="0" fillId="15" borderId="1" xfId="0" applyFill="1" applyBorder="1"/>
    <xf numFmtId="171" fontId="0" fillId="15" borderId="1" xfId="0" applyNumberFormat="1" applyFill="1" applyBorder="1" applyAlignment="1">
      <alignment horizontal="center"/>
    </xf>
    <xf numFmtId="171" fontId="0" fillId="6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8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ESPECTRO!$D$66</c:f>
              <c:strCache>
                <c:ptCount val="1"/>
                <c:pt idx="0">
                  <c:v>Sa(T)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ESPECTRO!$C$67:$C$167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ESPECTRO!$D$67:$D$167</c:f>
              <c:numCache>
                <c:formatCode>General</c:formatCode>
                <c:ptCount val="101"/>
                <c:pt idx="0">
                  <c:v>0.46200000000000002</c:v>
                </c:pt>
                <c:pt idx="1">
                  <c:v>1.13575</c:v>
                </c:pt>
                <c:pt idx="2">
                  <c:v>1.155</c:v>
                </c:pt>
                <c:pt idx="3">
                  <c:v>1.155</c:v>
                </c:pt>
                <c:pt idx="4">
                  <c:v>1.155</c:v>
                </c:pt>
                <c:pt idx="5">
                  <c:v>1.155</c:v>
                </c:pt>
                <c:pt idx="6">
                  <c:v>0.99000000000000021</c:v>
                </c:pt>
                <c:pt idx="7">
                  <c:v>0.84857142857142875</c:v>
                </c:pt>
                <c:pt idx="8">
                  <c:v>0.74250000000000016</c:v>
                </c:pt>
                <c:pt idx="9">
                  <c:v>0.66000000000000014</c:v>
                </c:pt>
                <c:pt idx="10">
                  <c:v>0.59400000000000019</c:v>
                </c:pt>
                <c:pt idx="11">
                  <c:v>0.54000000000000015</c:v>
                </c:pt>
                <c:pt idx="12">
                  <c:v>0.49500000000000011</c:v>
                </c:pt>
                <c:pt idx="13">
                  <c:v>0.45692307692307699</c:v>
                </c:pt>
                <c:pt idx="14">
                  <c:v>0.42428571428571432</c:v>
                </c:pt>
                <c:pt idx="15">
                  <c:v>0.39600000000000002</c:v>
                </c:pt>
                <c:pt idx="16">
                  <c:v>0.37124999999999997</c:v>
                </c:pt>
                <c:pt idx="17">
                  <c:v>0.34941176470588231</c:v>
                </c:pt>
                <c:pt idx="18">
                  <c:v>0.32999999999999996</c:v>
                </c:pt>
                <c:pt idx="19">
                  <c:v>0.31263157894736837</c:v>
                </c:pt>
                <c:pt idx="20">
                  <c:v>0.29699999999999999</c:v>
                </c:pt>
                <c:pt idx="21">
                  <c:v>0.28285714285714281</c:v>
                </c:pt>
                <c:pt idx="22">
                  <c:v>0.26999999999999996</c:v>
                </c:pt>
                <c:pt idx="23">
                  <c:v>0.25826086956521732</c:v>
                </c:pt>
                <c:pt idx="24">
                  <c:v>0.24749999999999994</c:v>
                </c:pt>
                <c:pt idx="25">
                  <c:v>0.23759999999999995</c:v>
                </c:pt>
                <c:pt idx="26">
                  <c:v>0.22846153846153841</c:v>
                </c:pt>
                <c:pt idx="27">
                  <c:v>0.21999999999999995</c:v>
                </c:pt>
                <c:pt idx="28">
                  <c:v>0.21214285714285708</c:v>
                </c:pt>
                <c:pt idx="29">
                  <c:v>0.20482758620689651</c:v>
                </c:pt>
                <c:pt idx="30">
                  <c:v>0.19799999999999993</c:v>
                </c:pt>
                <c:pt idx="31">
                  <c:v>0.1916129032258064</c:v>
                </c:pt>
                <c:pt idx="32">
                  <c:v>0.18562499999999993</c:v>
                </c:pt>
                <c:pt idx="33">
                  <c:v>0.17999999999999994</c:v>
                </c:pt>
                <c:pt idx="34">
                  <c:v>0.17470588235294113</c:v>
                </c:pt>
                <c:pt idx="35">
                  <c:v>0.16971428571428565</c:v>
                </c:pt>
                <c:pt idx="36">
                  <c:v>0.16499999999999992</c:v>
                </c:pt>
                <c:pt idx="37">
                  <c:v>0.15880496712929132</c:v>
                </c:pt>
                <c:pt idx="38">
                  <c:v>0.15055678670360095</c:v>
                </c:pt>
                <c:pt idx="39">
                  <c:v>0.14293491124260341</c:v>
                </c:pt>
                <c:pt idx="40">
                  <c:v>0.1358774999999999</c:v>
                </c:pt>
                <c:pt idx="41">
                  <c:v>0.12933016061867927</c:v>
                </c:pt>
                <c:pt idx="42">
                  <c:v>0.12324489795918363</c:v>
                </c:pt>
                <c:pt idx="43">
                  <c:v>0.11757923201730663</c:v>
                </c:pt>
                <c:pt idx="44">
                  <c:v>0.11229545454545453</c:v>
                </c:pt>
                <c:pt idx="45">
                  <c:v>0.10736000000000001</c:v>
                </c:pt>
                <c:pt idx="46">
                  <c:v>0.10274291115311912</c:v>
                </c:pt>
                <c:pt idx="47">
                  <c:v>9.8417383431416969E-2</c:v>
                </c:pt>
                <c:pt idx="48">
                  <c:v>9.4359375000000051E-2</c:v>
                </c:pt>
                <c:pt idx="49">
                  <c:v>9.0547271970012555E-2</c:v>
                </c:pt>
                <c:pt idx="50">
                  <c:v>8.6961600000000069E-2</c:v>
                </c:pt>
                <c:pt idx="51">
                  <c:v>8.3584775086505275E-2</c:v>
                </c:pt>
                <c:pt idx="52">
                  <c:v>8.0400887573964575E-2</c:v>
                </c:pt>
                <c:pt idx="53">
                  <c:v>7.7395514417942415E-2</c:v>
                </c:pt>
                <c:pt idx="54">
                  <c:v>7.4555555555555653E-2</c:v>
                </c:pt>
                <c:pt idx="55">
                  <c:v>7.1869090909091007E-2</c:v>
                </c:pt>
                <c:pt idx="56">
                  <c:v>6.932525510204092E-2</c:v>
                </c:pt>
                <c:pt idx="57">
                  <c:v>6.6914127423822814E-2</c:v>
                </c:pt>
                <c:pt idx="58">
                  <c:v>6.4626634958382986E-2</c:v>
                </c:pt>
                <c:pt idx="59">
                  <c:v>6.245446710715323E-2</c:v>
                </c:pt>
                <c:pt idx="60">
                  <c:v>6.039000000000011E-2</c:v>
                </c:pt>
                <c:pt idx="61">
                  <c:v>5.8426229508196835E-2</c:v>
                </c:pt>
                <c:pt idx="62">
                  <c:v>5.655671175858492E-2</c:v>
                </c:pt>
                <c:pt idx="63">
                  <c:v>5.4775510204081751E-2</c:v>
                </c:pt>
                <c:pt idx="64">
                  <c:v>5.3077148437500117E-2</c:v>
                </c:pt>
                <c:pt idx="65">
                  <c:v>5.1456568047337392E-2</c:v>
                </c:pt>
                <c:pt idx="66">
                  <c:v>4.9909090909091028E-2</c:v>
                </c:pt>
                <c:pt idx="67">
                  <c:v>4.8430385386500456E-2</c:v>
                </c:pt>
                <c:pt idx="68">
                  <c:v>4.7016435986159288E-2</c:v>
                </c:pt>
                <c:pt idx="69">
                  <c:v>4.5663516068053044E-2</c:v>
                </c:pt>
                <c:pt idx="70">
                  <c:v>4.4368163265306244E-2</c:v>
                </c:pt>
                <c:pt idx="71">
                  <c:v>4.3127157310057646E-2</c:v>
                </c:pt>
                <c:pt idx="72">
                  <c:v>4.1937500000000114E-2</c:v>
                </c:pt>
                <c:pt idx="73">
                  <c:v>4.0796397072621615E-2</c:v>
                </c:pt>
                <c:pt idx="74">
                  <c:v>3.9701241782322975E-2</c:v>
                </c:pt>
                <c:pt idx="75">
                  <c:v>3.864960000000011E-2</c:v>
                </c:pt>
                <c:pt idx="76">
                  <c:v>3.7639196675900391E-2</c:v>
                </c:pt>
                <c:pt idx="77">
                  <c:v>3.6667903525046494E-2</c:v>
                </c:pt>
                <c:pt idx="78">
                  <c:v>3.5733727810650998E-2</c:v>
                </c:pt>
                <c:pt idx="79">
                  <c:v>3.4834802115045777E-2</c:v>
                </c:pt>
                <c:pt idx="80">
                  <c:v>3.3969375000000107E-2</c:v>
                </c:pt>
                <c:pt idx="81">
                  <c:v>3.3135802469135917E-2</c:v>
                </c:pt>
                <c:pt idx="82">
                  <c:v>3.233254015466995E-2</c:v>
                </c:pt>
                <c:pt idx="83">
                  <c:v>3.1558136159094315E-2</c:v>
                </c:pt>
                <c:pt idx="84">
                  <c:v>3.0811224489796025E-2</c:v>
                </c:pt>
                <c:pt idx="85">
                  <c:v>3.0090519031141971E-2</c:v>
                </c:pt>
                <c:pt idx="86">
                  <c:v>2.9394808004326763E-2</c:v>
                </c:pt>
                <c:pt idx="87">
                  <c:v>2.8722948870392489E-2</c:v>
                </c:pt>
                <c:pt idx="88">
                  <c:v>2.8073863636363737E-2</c:v>
                </c:pt>
                <c:pt idx="89">
                  <c:v>2.7446534528468725E-2</c:v>
                </c:pt>
                <c:pt idx="90">
                  <c:v>2.6840000000000096E-2</c:v>
                </c:pt>
                <c:pt idx="91">
                  <c:v>2.6253351044559933E-2</c:v>
                </c:pt>
                <c:pt idx="92">
                  <c:v>2.568572778827987E-2</c:v>
                </c:pt>
                <c:pt idx="93">
                  <c:v>2.5136316337148898E-2</c:v>
                </c:pt>
                <c:pt idx="94">
                  <c:v>2.4604345857854325E-2</c:v>
                </c:pt>
                <c:pt idx="95">
                  <c:v>2.4089085872576271E-2</c:v>
                </c:pt>
                <c:pt idx="96">
                  <c:v>2.3589843750000089E-2</c:v>
                </c:pt>
                <c:pt idx="97">
                  <c:v>2.3105962376448168E-2</c:v>
                </c:pt>
                <c:pt idx="98">
                  <c:v>2.2636817992503212E-2</c:v>
                </c:pt>
                <c:pt idx="99">
                  <c:v>2.2181818181818268E-2</c:v>
                </c:pt>
                <c:pt idx="100">
                  <c:v>2.1740400000000087E-2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B-4E66-9494-1E98983B300C}"/>
            </c:ext>
          </c:extLst>
        </c:ser>
        <c:ser>
          <c:idx val="1"/>
          <c:order val="1"/>
          <c:tx>
            <c:strRef>
              <c:f>ESPECTRO!$A$179</c:f>
              <c:strCache>
                <c:ptCount val="1"/>
                <c:pt idx="0">
                  <c:v>Coeficiente sismico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ESPECTRO!$C$181:$C$182</c:f>
              <c:numCache>
                <c:formatCode>0.000\ "s"</c:formatCode>
                <c:ptCount val="2"/>
                <c:pt idx="0">
                  <c:v>0.612475385659352</c:v>
                </c:pt>
                <c:pt idx="1">
                  <c:v>0.612475385659352</c:v>
                </c:pt>
              </c:numCache>
            </c:numRef>
          </c:xVal>
          <c:yVal>
            <c:numRef>
              <c:f>ESPECTRO!$D$181:$D$182</c:f>
              <c:numCache>
                <c:formatCode>General</c:formatCode>
                <c:ptCount val="2"/>
                <c:pt idx="0">
                  <c:v>0</c:v>
                </c:pt>
                <c:pt idx="1">
                  <c:v>0.96983489281048818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4-439D-B387-C0B85951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45967"/>
        <c:axId val="280456527"/>
      </c:scatterChart>
      <c:valAx>
        <c:axId val="280445967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 en segundos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0456527"/>
        <c:crosses val="autoZero"/>
        <c:crossBetween val="midCat"/>
        <c:majorUnit val="1"/>
      </c:valAx>
      <c:valAx>
        <c:axId val="2804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Sa(T) en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044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Distorciones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ESPECTRO!$K$316</c:f>
              <c:strCache>
                <c:ptCount val="1"/>
                <c:pt idx="0">
                  <c:v>θux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ESPECTRO!$K$317:$K$320</c:f>
              <c:numCache>
                <c:formatCode>General</c:formatCode>
                <c:ptCount val="4"/>
                <c:pt idx="0">
                  <c:v>7.0784999999999963E-3</c:v>
                </c:pt>
                <c:pt idx="1">
                  <c:v>1.0578333333333334E-2</c:v>
                </c:pt>
                <c:pt idx="2">
                  <c:v>7.6798333333333328E-3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3-4F95-82B2-BDF6B8DA94C5}"/>
            </c:ext>
          </c:extLst>
        </c:ser>
        <c:ser>
          <c:idx val="1"/>
          <c:order val="1"/>
          <c:tx>
            <c:strRef>
              <c:f>ESPECTRO!$L$316</c:f>
              <c:strCache>
                <c:ptCount val="1"/>
                <c:pt idx="0">
                  <c:v>θuy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ESPECTRO!$L$317:$L$320</c:f>
              <c:numCache>
                <c:formatCode>General</c:formatCode>
                <c:ptCount val="4"/>
                <c:pt idx="0">
                  <c:v>8.0281666666666678E-3</c:v>
                </c:pt>
                <c:pt idx="1">
                  <c:v>1.1647166666666669E-2</c:v>
                </c:pt>
                <c:pt idx="2">
                  <c:v>8.2279999999999992E-3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3-4F95-82B2-BDF6B8DA94C5}"/>
            </c:ext>
          </c:extLst>
        </c:ser>
        <c:ser>
          <c:idx val="2"/>
          <c:order val="2"/>
          <c:tx>
            <c:strRef>
              <c:f>ESPECTRO!$M$316</c:f>
              <c:strCache>
                <c:ptCount val="1"/>
                <c:pt idx="0">
                  <c:v>θp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ESPECTRO!$M$317:$M$320</c:f>
              <c:numCache>
                <c:formatCode>General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B3-4F95-82B2-BDF6B8DA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00559"/>
        <c:axId val="991496719"/>
      </c:scatterChart>
      <c:valAx>
        <c:axId val="9915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496719"/>
        <c:crosses val="autoZero"/>
        <c:crossBetween val="midCat"/>
      </c:valAx>
      <c:valAx>
        <c:axId val="9914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5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ESPECTRO!$I$316</c:f>
              <c:strCache>
                <c:ptCount val="1"/>
                <c:pt idx="0">
                  <c:v>Δux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ESPECTRO!$I$317:$I$320</c:f>
              <c:numCache>
                <c:formatCode>0.000"cm"</c:formatCode>
                <c:ptCount val="4"/>
                <c:pt idx="0">
                  <c:v>2.1235499999999989</c:v>
                </c:pt>
                <c:pt idx="1">
                  <c:v>3.1735000000000002</c:v>
                </c:pt>
                <c:pt idx="2">
                  <c:v>2.3039499999999999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0-4361-8962-8639D510DE70}"/>
            </c:ext>
          </c:extLst>
        </c:ser>
        <c:ser>
          <c:idx val="1"/>
          <c:order val="1"/>
          <c:tx>
            <c:strRef>
              <c:f>ESPECTRO!$J$316</c:f>
              <c:strCache>
                <c:ptCount val="1"/>
                <c:pt idx="0">
                  <c:v>Δuy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ESPECTRO!$J$317:$J$320</c:f>
              <c:numCache>
                <c:formatCode>0.000"cm"</c:formatCode>
                <c:ptCount val="4"/>
                <c:pt idx="0">
                  <c:v>2.4084500000000002</c:v>
                </c:pt>
                <c:pt idx="1">
                  <c:v>3.4941500000000003</c:v>
                </c:pt>
                <c:pt idx="2">
                  <c:v>2.4683999999999999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0-4361-8962-8639D510DE70}"/>
            </c:ext>
          </c:extLst>
        </c:ser>
        <c:ser>
          <c:idx val="2"/>
          <c:order val="2"/>
          <c:tx>
            <c:strRef>
              <c:f>ESPECTRO!$N$316</c:f>
              <c:strCache>
                <c:ptCount val="1"/>
                <c:pt idx="0">
                  <c:v>Δp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ESPECTRO!$N$317:$N$320</c:f>
              <c:numCache>
                <c:formatCode>0.000"cm"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0-4361-8962-8639D510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00559"/>
        <c:axId val="991496719"/>
      </c:scatterChart>
      <c:valAx>
        <c:axId val="9915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c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496719"/>
        <c:crosses val="autoZero"/>
        <c:crossBetween val="midCat"/>
      </c:valAx>
      <c:valAx>
        <c:axId val="9914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5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Desplazamientos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ESPECTRO!$G$316</c:f>
              <c:strCache>
                <c:ptCount val="1"/>
                <c:pt idx="0">
                  <c:v>δux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ESPECTRO!$G$317:$G$320</c:f>
              <c:numCache>
                <c:formatCode>0.000"cm"</c:formatCode>
                <c:ptCount val="4"/>
                <c:pt idx="0">
                  <c:v>7.6009999999999991</c:v>
                </c:pt>
                <c:pt idx="1">
                  <c:v>5.4774500000000002</c:v>
                </c:pt>
                <c:pt idx="2">
                  <c:v>2.3039499999999999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F-452A-9581-9B46E01FDD9B}"/>
            </c:ext>
          </c:extLst>
        </c:ser>
        <c:ser>
          <c:idx val="1"/>
          <c:order val="1"/>
          <c:tx>
            <c:strRef>
              <c:f>ESPECTRO!$H$316</c:f>
              <c:strCache>
                <c:ptCount val="1"/>
                <c:pt idx="0">
                  <c:v>δuy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ESPECTRO!$H$317:$H$320</c:f>
              <c:numCache>
                <c:formatCode>0.000"cm"</c:formatCode>
                <c:ptCount val="4"/>
                <c:pt idx="0">
                  <c:v>8.3710000000000004</c:v>
                </c:pt>
                <c:pt idx="1">
                  <c:v>5.9625500000000002</c:v>
                </c:pt>
                <c:pt idx="2">
                  <c:v>2.4683999999999999</c:v>
                </c:pt>
                <c:pt idx="3">
                  <c:v>0</c:v>
                </c:pt>
              </c:numCache>
            </c:numRef>
          </c:xVal>
          <c:yVal>
            <c:numRef>
              <c:f>ESPECTRO!$D$317:$D$320</c:f>
              <c:numCache>
                <c:formatCode>0.00"m"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8F-452A-9581-9B46E01F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00559"/>
        <c:axId val="991496719"/>
      </c:scatterChart>
      <c:valAx>
        <c:axId val="9915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c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496719"/>
        <c:crosses val="autoZero"/>
        <c:crossBetween val="midCat"/>
      </c:valAx>
      <c:valAx>
        <c:axId val="9914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15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1.png"/><Relationship Id="rId21" Type="http://schemas.openxmlformats.org/officeDocument/2006/relationships/image" Target="../media/image28.png"/><Relationship Id="rId7" Type="http://schemas.openxmlformats.org/officeDocument/2006/relationships/image" Target="../media/image15.png"/><Relationship Id="rId12" Type="http://schemas.openxmlformats.org/officeDocument/2006/relationships/chart" Target="../charts/chart1.xml"/><Relationship Id="rId17" Type="http://schemas.openxmlformats.org/officeDocument/2006/relationships/image" Target="../media/image24.png"/><Relationship Id="rId25" Type="http://schemas.openxmlformats.org/officeDocument/2006/relationships/image" Target="../media/image29.png"/><Relationship Id="rId2" Type="http://schemas.openxmlformats.org/officeDocument/2006/relationships/image" Target="../media/image10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chart" Target="../charts/chart4.xml"/><Relationship Id="rId5" Type="http://schemas.openxmlformats.org/officeDocument/2006/relationships/image" Target="../media/image13.png"/><Relationship Id="rId15" Type="http://schemas.openxmlformats.org/officeDocument/2006/relationships/image" Target="../media/image22.png"/><Relationship Id="rId23" Type="http://schemas.openxmlformats.org/officeDocument/2006/relationships/chart" Target="../charts/chart3.xml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1.png"/><Relationship Id="rId2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0</xdr:rowOff>
    </xdr:from>
    <xdr:to>
      <xdr:col>9</xdr:col>
      <xdr:colOff>733425</xdr:colOff>
      <xdr:row>10</xdr:row>
      <xdr:rowOff>75977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45B8F3-BAC9-A8AE-1684-A8DC5D376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0"/>
          <a:ext cx="4381500" cy="2381027"/>
        </a:xfrm>
        <a:prstGeom prst="rect">
          <a:avLst/>
        </a:prstGeom>
      </xdr:spPr>
    </xdr:pic>
    <xdr:clientData/>
  </xdr:twoCellAnchor>
  <xdr:twoCellAnchor editAs="oneCell">
    <xdr:from>
      <xdr:col>2</xdr:col>
      <xdr:colOff>752475</xdr:colOff>
      <xdr:row>49</xdr:row>
      <xdr:rowOff>19050</xdr:rowOff>
    </xdr:from>
    <xdr:to>
      <xdr:col>4</xdr:col>
      <xdr:colOff>438341</xdr:colOff>
      <xdr:row>52</xdr:row>
      <xdr:rowOff>181085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4E1F26-71BC-661B-5B94-4A148BB18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5" y="10591800"/>
          <a:ext cx="1371791" cy="790685"/>
        </a:xfrm>
        <a:prstGeom prst="rect">
          <a:avLst/>
        </a:prstGeom>
      </xdr:spPr>
    </xdr:pic>
    <xdr:clientData/>
  </xdr:twoCellAnchor>
  <xdr:twoCellAnchor editAs="oneCell">
    <xdr:from>
      <xdr:col>4</xdr:col>
      <xdr:colOff>704850</xdr:colOff>
      <xdr:row>77</xdr:row>
      <xdr:rowOff>123825</xdr:rowOff>
    </xdr:from>
    <xdr:to>
      <xdr:col>11</xdr:col>
      <xdr:colOff>67377</xdr:colOff>
      <xdr:row>83</xdr:row>
      <xdr:rowOff>85895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333214-7644-76BC-D7D8-70A231D56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16611600"/>
          <a:ext cx="5029902" cy="1219370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752476</xdr:colOff>
      <xdr:row>97</xdr:row>
      <xdr:rowOff>114300</xdr:rowOff>
    </xdr:from>
    <xdr:to>
      <xdr:col>8</xdr:col>
      <xdr:colOff>400050</xdr:colOff>
      <xdr:row>98</xdr:row>
      <xdr:rowOff>131883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093ED8-84B9-456B-D73A-F11EEA031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8026" y="20764500"/>
          <a:ext cx="3790949" cy="22713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98</xdr:row>
      <xdr:rowOff>180975</xdr:rowOff>
    </xdr:from>
    <xdr:to>
      <xdr:col>8</xdr:col>
      <xdr:colOff>0</xdr:colOff>
      <xdr:row>100</xdr:row>
      <xdr:rowOff>6624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9F3FCC1-6158-F287-B6A7-8600C158B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95651" y="21040725"/>
          <a:ext cx="3343274" cy="2447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28575</xdr:rowOff>
    </xdr:from>
    <xdr:to>
      <xdr:col>8</xdr:col>
      <xdr:colOff>523875</xdr:colOff>
      <xdr:row>101</xdr:row>
      <xdr:rowOff>38621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D005AA3-3A21-3F5E-5A4A-147E6D54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7550" y="21307425"/>
          <a:ext cx="3905250" cy="21959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8</xdr:col>
      <xdr:colOff>409574</xdr:colOff>
      <xdr:row>108</xdr:row>
      <xdr:rowOff>17583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B9F9543-B343-488E-864F-61CAF3545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7550" y="22745700"/>
          <a:ext cx="3790949" cy="2271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8</xdr:col>
      <xdr:colOff>523875</xdr:colOff>
      <xdr:row>109</xdr:row>
      <xdr:rowOff>10046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A3912F5-3288-4923-BAD5-150476C6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7550" y="22955250"/>
          <a:ext cx="3905250" cy="21959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115</xdr:row>
      <xdr:rowOff>190500</xdr:rowOff>
    </xdr:from>
    <xdr:to>
      <xdr:col>9</xdr:col>
      <xdr:colOff>369472</xdr:colOff>
      <xdr:row>123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1CA2154-8269-54BB-BAC3-2264F6C86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25031700"/>
          <a:ext cx="2312572" cy="164782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131</xdr:row>
      <xdr:rowOff>133350</xdr:rowOff>
    </xdr:from>
    <xdr:to>
      <xdr:col>9</xdr:col>
      <xdr:colOff>114300</xdr:colOff>
      <xdr:row>133</xdr:row>
      <xdr:rowOff>35426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D1EDAE6-ED9C-3285-DD84-DA12F8911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67000" y="28327350"/>
          <a:ext cx="4848225" cy="321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432374</xdr:colOff>
      <xdr:row>3</xdr:row>
      <xdr:rowOff>85726</xdr:rowOff>
    </xdr:from>
    <xdr:to>
      <xdr:col>14</xdr:col>
      <xdr:colOff>361908</xdr:colOff>
      <xdr:row>6</xdr:row>
      <xdr:rowOff>19124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9CC587-FBAB-9A6C-A482-E67A30A98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5849" y="714376"/>
          <a:ext cx="6092209" cy="56204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9</xdr:row>
      <xdr:rowOff>110633</xdr:rowOff>
    </xdr:from>
    <xdr:to>
      <xdr:col>10</xdr:col>
      <xdr:colOff>372410</xdr:colOff>
      <xdr:row>19</xdr:row>
      <xdr:rowOff>171948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9A738E-A9F3-8A50-48A2-4CED6282A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1996583"/>
          <a:ext cx="4049060" cy="2156815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</xdr:colOff>
      <xdr:row>34</xdr:row>
      <xdr:rowOff>128827</xdr:rowOff>
    </xdr:from>
    <xdr:to>
      <xdr:col>7</xdr:col>
      <xdr:colOff>685800</xdr:colOff>
      <xdr:row>37</xdr:row>
      <xdr:rowOff>181129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AC44FA-C5B1-6125-20BE-D5B21E4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49" y="7253527"/>
          <a:ext cx="2952751" cy="6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733425</xdr:colOff>
      <xdr:row>39</xdr:row>
      <xdr:rowOff>47625</xdr:rowOff>
    </xdr:from>
    <xdr:to>
      <xdr:col>5</xdr:col>
      <xdr:colOff>371475</xdr:colOff>
      <xdr:row>40</xdr:row>
      <xdr:rowOff>116967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C58DDCA-52B8-C95E-9ABC-57D32A89A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6125" y="8220075"/>
          <a:ext cx="1162050" cy="278892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40</xdr:row>
      <xdr:rowOff>142875</xdr:rowOff>
    </xdr:from>
    <xdr:to>
      <xdr:col>5</xdr:col>
      <xdr:colOff>238125</xdr:colOff>
      <xdr:row>41</xdr:row>
      <xdr:rowOff>156982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9167ECD-828B-2364-49D4-682B0704F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5175" y="8524875"/>
          <a:ext cx="1009650" cy="223657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44</xdr:row>
      <xdr:rowOff>68613</xdr:rowOff>
    </xdr:from>
    <xdr:to>
      <xdr:col>4</xdr:col>
      <xdr:colOff>553365</xdr:colOff>
      <xdr:row>52</xdr:row>
      <xdr:rowOff>9917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5EE1D12-E42C-2ED3-F9E1-7F119460A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" y="9288813"/>
          <a:ext cx="3772815" cy="1617704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45</xdr:row>
      <xdr:rowOff>135770</xdr:rowOff>
    </xdr:from>
    <xdr:to>
      <xdr:col>11</xdr:col>
      <xdr:colOff>868</xdr:colOff>
      <xdr:row>52</xdr:row>
      <xdr:rowOff>152680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65ECB6D-D591-30C2-72DD-CEDA2D8C6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5" y="9565520"/>
          <a:ext cx="4591918" cy="1483760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600074</xdr:colOff>
      <xdr:row>55</xdr:row>
      <xdr:rowOff>66676</xdr:rowOff>
    </xdr:from>
    <xdr:to>
      <xdr:col>5</xdr:col>
      <xdr:colOff>238125</xdr:colOff>
      <xdr:row>58</xdr:row>
      <xdr:rowOff>165836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890E225-F6B8-11A2-797A-BD904EFD1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52774" y="11591926"/>
          <a:ext cx="1162051" cy="72781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123826</xdr:rowOff>
    </xdr:from>
    <xdr:to>
      <xdr:col>5</xdr:col>
      <xdr:colOff>333375</xdr:colOff>
      <xdr:row>60</xdr:row>
      <xdr:rowOff>1959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CF2444A-1D80-0284-D57E-AE3E1175A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09925" y="12277726"/>
          <a:ext cx="1200150" cy="297233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676275</xdr:colOff>
      <xdr:row>59</xdr:row>
      <xdr:rowOff>180975</xdr:rowOff>
    </xdr:from>
    <xdr:to>
      <xdr:col>5</xdr:col>
      <xdr:colOff>349172</xdr:colOff>
      <xdr:row>61</xdr:row>
      <xdr:rowOff>28575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1BD56B1-5FF8-D9BA-B323-9E5D45D6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8975" y="12544425"/>
          <a:ext cx="1196897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64</xdr:row>
      <xdr:rowOff>176818</xdr:rowOff>
    </xdr:from>
    <xdr:to>
      <xdr:col>10</xdr:col>
      <xdr:colOff>315047</xdr:colOff>
      <xdr:row>73</xdr:row>
      <xdr:rowOff>67014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0F5E035-EEC7-C129-0679-53F3315AC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19600" y="13588018"/>
          <a:ext cx="3782147" cy="1776146"/>
        </a:xfrm>
        <a:prstGeom prst="rect">
          <a:avLst/>
        </a:prstGeom>
      </xdr:spPr>
    </xdr:pic>
    <xdr:clientData/>
  </xdr:twoCellAnchor>
  <xdr:twoCellAnchor>
    <xdr:from>
      <xdr:col>4</xdr:col>
      <xdr:colOff>619125</xdr:colOff>
      <xdr:row>151</xdr:row>
      <xdr:rowOff>152399</xdr:rowOff>
    </xdr:from>
    <xdr:to>
      <xdr:col>12</xdr:col>
      <xdr:colOff>523875</xdr:colOff>
      <xdr:row>169</xdr:row>
      <xdr:rowOff>142874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A2BEFEA-54FB-3C84-1E45-081EF514C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257175</xdr:colOff>
      <xdr:row>170</xdr:row>
      <xdr:rowOff>104775</xdr:rowOff>
    </xdr:from>
    <xdr:to>
      <xdr:col>7</xdr:col>
      <xdr:colOff>353235</xdr:colOff>
      <xdr:row>172</xdr:row>
      <xdr:rowOff>142939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92F3BEF-97DF-8D2A-7F03-55989478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7175" y="35728275"/>
          <a:ext cx="5801535" cy="457264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172</xdr:row>
      <xdr:rowOff>142875</xdr:rowOff>
    </xdr:from>
    <xdr:to>
      <xdr:col>5</xdr:col>
      <xdr:colOff>314510</xdr:colOff>
      <xdr:row>175</xdr:row>
      <xdr:rowOff>47699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B5A87BB-4A6C-E1CE-62D7-0717AB6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67050" y="36185475"/>
          <a:ext cx="1324160" cy="533474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180</xdr:row>
      <xdr:rowOff>19050</xdr:rowOff>
    </xdr:from>
    <xdr:to>
      <xdr:col>9</xdr:col>
      <xdr:colOff>495300</xdr:colOff>
      <xdr:row>187</xdr:row>
      <xdr:rowOff>142626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A25EBE0-9DF0-DF7A-41CB-0A7A72478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29050" y="37738050"/>
          <a:ext cx="3790950" cy="159042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186</xdr:row>
      <xdr:rowOff>74222</xdr:rowOff>
    </xdr:from>
    <xdr:to>
      <xdr:col>3</xdr:col>
      <xdr:colOff>371648</xdr:colOff>
      <xdr:row>188</xdr:row>
      <xdr:rowOff>57228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D8DA7A7-1FCF-980F-9439-D2B06A0F5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43125" y="39050522"/>
          <a:ext cx="885998" cy="402106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685800</xdr:colOff>
      <xdr:row>189</xdr:row>
      <xdr:rowOff>0</xdr:rowOff>
    </xdr:from>
    <xdr:to>
      <xdr:col>7</xdr:col>
      <xdr:colOff>495699</xdr:colOff>
      <xdr:row>191</xdr:row>
      <xdr:rowOff>38164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93BFFDA-1AE3-FB02-79AB-EDAD5BF8D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238500" y="39604950"/>
          <a:ext cx="2857899" cy="457264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188</xdr:row>
      <xdr:rowOff>140196</xdr:rowOff>
    </xdr:from>
    <xdr:to>
      <xdr:col>3</xdr:col>
      <xdr:colOff>95420</xdr:colOff>
      <xdr:row>190</xdr:row>
      <xdr:rowOff>152492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D40AD14-FA36-05F4-994B-4D992EB3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52625" y="39535596"/>
          <a:ext cx="800270" cy="431396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202</xdr:row>
      <xdr:rowOff>38101</xdr:rowOff>
    </xdr:from>
    <xdr:to>
      <xdr:col>8</xdr:col>
      <xdr:colOff>590779</xdr:colOff>
      <xdr:row>206</xdr:row>
      <xdr:rowOff>142875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7B1AE6-2874-2191-A801-E3AB6DCDD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400550" y="42367201"/>
          <a:ext cx="2552929" cy="942974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590552</xdr:colOff>
      <xdr:row>190</xdr:row>
      <xdr:rowOff>28575</xdr:rowOff>
    </xdr:from>
    <xdr:to>
      <xdr:col>16</xdr:col>
      <xdr:colOff>542505</xdr:colOff>
      <xdr:row>195</xdr:row>
      <xdr:rowOff>19050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500EC8D-58F5-B5B0-752B-9493747A3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2" y="39843075"/>
          <a:ext cx="5352628" cy="1038225"/>
        </a:xfrm>
        <a:prstGeom prst="rect">
          <a:avLst/>
        </a:prstGeom>
      </xdr:spPr>
    </xdr:pic>
    <xdr:clientData/>
  </xdr:twoCellAnchor>
  <xdr:oneCellAnchor>
    <xdr:from>
      <xdr:col>5</xdr:col>
      <xdr:colOff>323850</xdr:colOff>
      <xdr:row>216</xdr:row>
      <xdr:rowOff>38101</xdr:rowOff>
    </xdr:from>
    <xdr:ext cx="2552929" cy="942974"/>
    <xdr:pic>
      <xdr:nvPicPr>
        <xdr:cNvPr id="22" name="Imagen 21">
          <a:extLst>
            <a:ext uri="{FF2B5EF4-FFF2-40B4-BE49-F238E27FC236}">
              <a16:creationId xmlns:a16="http://schemas.microsoft.com/office/drawing/2014/main" id="{A8BB7536-B126-4F30-BD41-21507430F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400550" y="42367201"/>
          <a:ext cx="2552929" cy="94297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286</xdr:row>
      <xdr:rowOff>0</xdr:rowOff>
    </xdr:from>
    <xdr:to>
      <xdr:col>6</xdr:col>
      <xdr:colOff>19636</xdr:colOff>
      <xdr:row>296</xdr:row>
      <xdr:rowOff>47924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11FAFE4-6F76-4369-63F0-09919456E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000" y="63912750"/>
          <a:ext cx="4201111" cy="2143424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323</xdr:row>
      <xdr:rowOff>85725</xdr:rowOff>
    </xdr:from>
    <xdr:to>
      <xdr:col>8</xdr:col>
      <xdr:colOff>352425</xdr:colOff>
      <xdr:row>336</xdr:row>
      <xdr:rowOff>104775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4AC3359-D263-C604-7045-D289580A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323</xdr:row>
      <xdr:rowOff>0</xdr:rowOff>
    </xdr:from>
    <xdr:to>
      <xdr:col>15</xdr:col>
      <xdr:colOff>695325</xdr:colOff>
      <xdr:row>336</xdr:row>
      <xdr:rowOff>19050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22CE62E-06BB-4DDE-8755-0447947A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339</xdr:row>
      <xdr:rowOff>0</xdr:rowOff>
    </xdr:from>
    <xdr:to>
      <xdr:col>8</xdr:col>
      <xdr:colOff>0</xdr:colOff>
      <xdr:row>352</xdr:row>
      <xdr:rowOff>19050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DC45A76-D88E-4B81-A2A8-F29546701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</xdr:col>
      <xdr:colOff>523875</xdr:colOff>
      <xdr:row>23</xdr:row>
      <xdr:rowOff>47625</xdr:rowOff>
    </xdr:from>
    <xdr:to>
      <xdr:col>17</xdr:col>
      <xdr:colOff>458689</xdr:colOff>
      <xdr:row>27</xdr:row>
      <xdr:rowOff>9637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3588FC1-A13F-A17B-9D49-86DA34EE3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181350" y="4867275"/>
          <a:ext cx="10669489" cy="800212"/>
        </a:xfrm>
        <a:prstGeom prst="rect">
          <a:avLst/>
        </a:prstGeom>
      </xdr:spPr>
    </xdr:pic>
    <xdr:clientData/>
  </xdr:twoCellAnchor>
  <xdr:twoCellAnchor>
    <xdr:from>
      <xdr:col>5</xdr:col>
      <xdr:colOff>133350</xdr:colOff>
      <xdr:row>48</xdr:row>
      <xdr:rowOff>38100</xdr:rowOff>
    </xdr:from>
    <xdr:to>
      <xdr:col>10</xdr:col>
      <xdr:colOff>666750</xdr:colOff>
      <xdr:row>49</xdr:row>
      <xdr:rowOff>76200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16E94A77-B547-29C4-BB95-16AC19AD925F}"/>
            </a:ext>
          </a:extLst>
        </xdr:cNvPr>
        <xdr:cNvSpPr/>
      </xdr:nvSpPr>
      <xdr:spPr>
        <a:xfrm>
          <a:off x="4314825" y="10096500"/>
          <a:ext cx="4343400" cy="247650"/>
        </a:xfrm>
        <a:prstGeom prst="rect">
          <a:avLst/>
        </a:prstGeom>
        <a:noFill/>
        <a:ln w="38100">
          <a:solidFill>
            <a:srgbClr val="EE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28575</xdr:colOff>
      <xdr:row>47</xdr:row>
      <xdr:rowOff>142874</xdr:rowOff>
    </xdr:from>
    <xdr:to>
      <xdr:col>3</xdr:col>
      <xdr:colOff>581025</xdr:colOff>
      <xdr:row>50</xdr:row>
      <xdr:rowOff>19049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F1BF7388-22E4-4C2B-9C59-6D1A44918A33}"/>
            </a:ext>
          </a:extLst>
        </xdr:cNvPr>
        <xdr:cNvSpPr/>
      </xdr:nvSpPr>
      <xdr:spPr>
        <a:xfrm>
          <a:off x="2686050" y="9991724"/>
          <a:ext cx="552450" cy="504825"/>
        </a:xfrm>
        <a:prstGeom prst="rect">
          <a:avLst/>
        </a:prstGeom>
        <a:noFill/>
        <a:ln w="38100">
          <a:solidFill>
            <a:srgbClr val="EE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3D5-2639-4096-AE8F-149D3809AF4D}">
  <dimension ref="A2:J160"/>
  <sheetViews>
    <sheetView workbookViewId="0">
      <selection activeCell="H17" sqref="H17"/>
    </sheetView>
  </sheetViews>
  <sheetFormatPr baseColWidth="10" defaultRowHeight="16.5" x14ac:dyDescent="0.3"/>
  <cols>
    <col min="2" max="2" width="12.140625" customWidth="1"/>
    <col min="3" max="3" width="13.85546875" customWidth="1"/>
    <col min="5" max="5" width="16.42578125" bestFit="1" customWidth="1"/>
  </cols>
  <sheetData>
    <row r="2" spans="1:10" x14ac:dyDescent="0.3">
      <c r="B2" s="87" t="s">
        <v>20</v>
      </c>
      <c r="C2" s="87"/>
    </row>
    <row r="3" spans="1:10" x14ac:dyDescent="0.3">
      <c r="A3" s="1" t="s">
        <v>0</v>
      </c>
      <c r="B3" s="2" t="s">
        <v>1</v>
      </c>
      <c r="C3" s="1"/>
      <c r="D3" s="1"/>
    </row>
    <row r="4" spans="1:10" x14ac:dyDescent="0.3">
      <c r="A4" s="1" t="s">
        <v>2</v>
      </c>
      <c r="B4" s="95" t="s">
        <v>3</v>
      </c>
      <c r="C4" s="95"/>
      <c r="D4" s="95"/>
    </row>
    <row r="5" spans="1:10" ht="33" x14ac:dyDescent="0.3">
      <c r="A5" s="3" t="s">
        <v>4</v>
      </c>
      <c r="B5" s="4" t="s">
        <v>5</v>
      </c>
      <c r="C5" s="1"/>
      <c r="D5" s="1"/>
    </row>
    <row r="6" spans="1:10" x14ac:dyDescent="0.3">
      <c r="A6" s="1" t="s">
        <v>9</v>
      </c>
      <c r="B6" s="2">
        <v>3</v>
      </c>
      <c r="C6" s="1"/>
      <c r="D6" s="1"/>
    </row>
    <row r="7" spans="1:10" x14ac:dyDescent="0.3">
      <c r="A7" s="1" t="s">
        <v>10</v>
      </c>
      <c r="B7" s="5">
        <v>180</v>
      </c>
      <c r="C7" s="1"/>
      <c r="D7" s="1"/>
    </row>
    <row r="8" spans="1:10" x14ac:dyDescent="0.3">
      <c r="A8" s="1" t="s">
        <v>11</v>
      </c>
      <c r="B8" s="6">
        <v>9</v>
      </c>
      <c r="C8" s="1"/>
      <c r="D8" s="1"/>
    </row>
    <row r="9" spans="1:10" x14ac:dyDescent="0.3">
      <c r="A9" s="1" t="s">
        <v>12</v>
      </c>
      <c r="B9" s="5">
        <f>B6*B7</f>
        <v>540</v>
      </c>
      <c r="C9" s="1"/>
      <c r="D9" s="1"/>
    </row>
    <row r="12" spans="1:10" x14ac:dyDescent="0.3">
      <c r="A12" s="94" t="s">
        <v>6</v>
      </c>
      <c r="B12" s="94"/>
    </row>
    <row r="13" spans="1:10" x14ac:dyDescent="0.3">
      <c r="A13" s="1" t="s">
        <v>7</v>
      </c>
      <c r="B13" s="7">
        <v>4000</v>
      </c>
      <c r="C13" s="8">
        <f>B13/14.22</f>
        <v>281.2939521800281</v>
      </c>
      <c r="D13" s="1" t="s">
        <v>15</v>
      </c>
      <c r="E13" s="8">
        <f>15100*SQRT(C13)</f>
        <v>253254.48473140257</v>
      </c>
      <c r="F13" s="93" t="s">
        <v>17</v>
      </c>
      <c r="G13" s="93"/>
      <c r="H13" s="93"/>
      <c r="I13" s="93"/>
      <c r="J13" s="93"/>
    </row>
    <row r="14" spans="1:10" x14ac:dyDescent="0.3">
      <c r="A14" s="1" t="s">
        <v>8</v>
      </c>
      <c r="B14" s="7">
        <v>60000</v>
      </c>
      <c r="C14" s="8">
        <f>B14/14.22</f>
        <v>4219.4092827004215</v>
      </c>
      <c r="D14" s="1" t="s">
        <v>16</v>
      </c>
      <c r="E14" s="8">
        <v>2039321.85</v>
      </c>
      <c r="F14" s="93" t="s">
        <v>18</v>
      </c>
      <c r="G14" s="93"/>
      <c r="H14" s="93"/>
      <c r="I14" s="93"/>
      <c r="J14" s="93"/>
    </row>
    <row r="15" spans="1:10" x14ac:dyDescent="0.3">
      <c r="A15" s="3" t="s">
        <v>13</v>
      </c>
      <c r="B15" s="9">
        <v>39.29</v>
      </c>
      <c r="C15" s="8" t="s">
        <v>14</v>
      </c>
      <c r="D15" s="1"/>
      <c r="E15" s="1"/>
      <c r="F15" s="93" t="s">
        <v>19</v>
      </c>
      <c r="G15" s="93"/>
      <c r="H15" s="93"/>
      <c r="I15" s="93"/>
      <c r="J15" s="93"/>
    </row>
    <row r="17" spans="1:6" ht="30" x14ac:dyDescent="0.4">
      <c r="A17" s="97" t="s">
        <v>22</v>
      </c>
      <c r="B17" s="97"/>
      <c r="C17" s="97"/>
      <c r="D17" s="97"/>
      <c r="E17" s="97"/>
      <c r="F17" s="97"/>
    </row>
    <row r="18" spans="1:6" x14ac:dyDescent="0.3">
      <c r="A18" s="15" t="s">
        <v>21</v>
      </c>
      <c r="B18" s="10"/>
      <c r="C18" s="10"/>
      <c r="D18" s="10"/>
      <c r="E18" s="10"/>
    </row>
    <row r="19" spans="1:6" x14ac:dyDescent="0.3">
      <c r="A19" s="96" t="s">
        <v>23</v>
      </c>
      <c r="B19" s="96"/>
      <c r="C19" s="10"/>
      <c r="D19" s="10"/>
      <c r="E19" s="10"/>
    </row>
    <row r="20" spans="1:6" x14ac:dyDescent="0.3">
      <c r="A20" s="11" t="s">
        <v>24</v>
      </c>
      <c r="B20" s="13">
        <v>6</v>
      </c>
      <c r="C20" s="10"/>
      <c r="D20" s="10"/>
      <c r="E20" s="10"/>
    </row>
    <row r="21" spans="1:6" x14ac:dyDescent="0.3">
      <c r="A21" s="10"/>
      <c r="B21" s="10"/>
      <c r="C21" s="10"/>
      <c r="D21" s="10"/>
      <c r="E21" s="10"/>
    </row>
    <row r="22" spans="1:6" x14ac:dyDescent="0.3">
      <c r="A22" s="11" t="s">
        <v>25</v>
      </c>
      <c r="B22" s="11" t="s">
        <v>26</v>
      </c>
      <c r="C22" s="11" t="s">
        <v>27</v>
      </c>
      <c r="D22" s="10"/>
      <c r="E22" s="10"/>
    </row>
    <row r="23" spans="1:6" x14ac:dyDescent="0.3">
      <c r="A23" s="14">
        <f>B20/14</f>
        <v>0.42857142857142855</v>
      </c>
      <c r="B23" s="13">
        <v>0.5</v>
      </c>
      <c r="C23" s="14">
        <f>B20/10</f>
        <v>0.6</v>
      </c>
      <c r="D23" s="10"/>
      <c r="E23" s="10"/>
    </row>
    <row r="24" spans="1:6" x14ac:dyDescent="0.3">
      <c r="A24" s="10"/>
      <c r="B24" s="10"/>
      <c r="C24" s="10"/>
      <c r="D24" s="10"/>
      <c r="E24" s="10"/>
    </row>
    <row r="25" spans="1:6" x14ac:dyDescent="0.3">
      <c r="A25" s="11" t="s">
        <v>29</v>
      </c>
      <c r="B25" s="11" t="s">
        <v>28</v>
      </c>
      <c r="C25" s="11" t="s">
        <v>30</v>
      </c>
      <c r="D25" s="10"/>
      <c r="E25" s="10"/>
    </row>
    <row r="26" spans="1:6" x14ac:dyDescent="0.3">
      <c r="A26" s="14">
        <f>B23/2</f>
        <v>0.25</v>
      </c>
      <c r="B26" s="13">
        <v>0.3</v>
      </c>
      <c r="C26" s="14">
        <f>2*B23/3</f>
        <v>0.33333333333333331</v>
      </c>
      <c r="D26" s="11" t="s">
        <v>31</v>
      </c>
      <c r="E26" s="14">
        <f>MAX(0.3*B23,0.25)</f>
        <v>0.25</v>
      </c>
    </row>
    <row r="27" spans="1:6" x14ac:dyDescent="0.3">
      <c r="A27" s="10"/>
      <c r="B27" s="10"/>
      <c r="C27" s="10"/>
      <c r="D27" s="10"/>
      <c r="E27" s="10"/>
    </row>
    <row r="28" spans="1:6" ht="20.25" x14ac:dyDescent="0.3">
      <c r="A28" s="92" t="str">
        <f>CONCATENATE("VX ",B23*100,"cmX",B26*100,"cm")</f>
        <v>VX 50cmX30cm</v>
      </c>
      <c r="B28" s="92"/>
      <c r="C28" s="92"/>
      <c r="D28" s="10"/>
      <c r="E28" s="30"/>
    </row>
    <row r="29" spans="1:6" x14ac:dyDescent="0.3">
      <c r="A29" s="11" t="s">
        <v>32</v>
      </c>
      <c r="B29" s="12">
        <f>(14/$C$14)*B26*100*(B23-0.06)*100</f>
        <v>4.3797600000000001</v>
      </c>
      <c r="C29" s="10"/>
      <c r="D29" s="10"/>
      <c r="E29" s="10"/>
    </row>
    <row r="30" spans="1:6" x14ac:dyDescent="0.3">
      <c r="A30" s="11" t="s">
        <v>33</v>
      </c>
      <c r="B30" s="11">
        <f>(0.85*0.85*$C$13/$C$14)*(0.003/(0.003+($C$14/$E$14)+0.003))</f>
        <v>1.7907986129220434E-2</v>
      </c>
      <c r="C30" s="10"/>
      <c r="D30" s="10"/>
      <c r="E30" s="10"/>
    </row>
    <row r="31" spans="1:6" x14ac:dyDescent="0.3">
      <c r="A31" s="11" t="s">
        <v>34</v>
      </c>
      <c r="B31" s="12">
        <f>+B30*B26*100*(B23-0.06)*100</f>
        <v>23.638541690570971</v>
      </c>
      <c r="C31" s="10"/>
      <c r="D31" s="10"/>
      <c r="E31" s="10"/>
    </row>
    <row r="34" spans="1:5" x14ac:dyDescent="0.3">
      <c r="A34" s="96" t="s">
        <v>35</v>
      </c>
      <c r="B34" s="96"/>
      <c r="C34" s="10"/>
      <c r="D34" s="10"/>
      <c r="E34" s="10"/>
    </row>
    <row r="35" spans="1:5" x14ac:dyDescent="0.3">
      <c r="A35" s="11" t="s">
        <v>24</v>
      </c>
      <c r="B35" s="13">
        <v>5</v>
      </c>
      <c r="C35" s="10"/>
      <c r="D35" s="10"/>
      <c r="E35" s="10"/>
    </row>
    <row r="36" spans="1:5" x14ac:dyDescent="0.3">
      <c r="A36" s="10"/>
      <c r="B36" s="10"/>
      <c r="C36" s="10"/>
      <c r="D36" s="10"/>
      <c r="E36" s="10"/>
    </row>
    <row r="37" spans="1:5" x14ac:dyDescent="0.3">
      <c r="A37" s="11" t="s">
        <v>25</v>
      </c>
      <c r="B37" s="11" t="s">
        <v>26</v>
      </c>
      <c r="C37" s="11" t="s">
        <v>27</v>
      </c>
      <c r="D37" s="10"/>
      <c r="E37" s="10"/>
    </row>
    <row r="38" spans="1:5" x14ac:dyDescent="0.3">
      <c r="A38" s="14">
        <f>B35/14</f>
        <v>0.35714285714285715</v>
      </c>
      <c r="B38" s="13">
        <v>0.45</v>
      </c>
      <c r="C38" s="14">
        <f>B35/10</f>
        <v>0.5</v>
      </c>
      <c r="D38" s="10"/>
      <c r="E38" s="10"/>
    </row>
    <row r="39" spans="1:5" x14ac:dyDescent="0.3">
      <c r="A39" s="10"/>
      <c r="B39" s="10"/>
      <c r="C39" s="10"/>
      <c r="D39" s="10"/>
      <c r="E39" s="10"/>
    </row>
    <row r="40" spans="1:5" x14ac:dyDescent="0.3">
      <c r="A40" s="11" t="s">
        <v>29</v>
      </c>
      <c r="B40" s="11" t="s">
        <v>28</v>
      </c>
      <c r="C40" s="11" t="s">
        <v>30</v>
      </c>
      <c r="D40" s="10"/>
      <c r="E40" s="10"/>
    </row>
    <row r="41" spans="1:5" x14ac:dyDescent="0.3">
      <c r="A41" s="14">
        <f>B38/2</f>
        <v>0.22500000000000001</v>
      </c>
      <c r="B41" s="13">
        <v>0.25</v>
      </c>
      <c r="C41" s="14">
        <f>2*B38/3</f>
        <v>0.3</v>
      </c>
      <c r="D41" s="11" t="s">
        <v>31</v>
      </c>
      <c r="E41" s="14">
        <f>MAX(0.3*B38,0.25)</f>
        <v>0.25</v>
      </c>
    </row>
    <row r="42" spans="1:5" x14ac:dyDescent="0.3">
      <c r="A42" s="10"/>
      <c r="B42" s="10"/>
      <c r="C42" s="10"/>
      <c r="D42" s="10"/>
      <c r="E42" s="10"/>
    </row>
    <row r="43" spans="1:5" ht="20.25" x14ac:dyDescent="0.3">
      <c r="A43" s="92" t="str">
        <f>CONCATENATE("VY ",B38*100,"cmX",B41*100,"cm")</f>
        <v>VY 45cmX25cm</v>
      </c>
      <c r="B43" s="92"/>
      <c r="C43" s="92"/>
      <c r="D43" s="10"/>
      <c r="E43" s="31"/>
    </row>
    <row r="44" spans="1:5" x14ac:dyDescent="0.3">
      <c r="A44" s="11" t="s">
        <v>32</v>
      </c>
      <c r="B44" s="12">
        <f>(14/$C$14)*B41*100*(B38-0.06)*100</f>
        <v>3.2350500000000002</v>
      </c>
      <c r="C44" s="10"/>
      <c r="D44" s="10"/>
      <c r="E44" s="10"/>
    </row>
    <row r="45" spans="1:5" x14ac:dyDescent="0.3">
      <c r="A45" s="11" t="s">
        <v>33</v>
      </c>
      <c r="B45" s="11">
        <f>(0.85*0.85*$C$13/$C$14)*(0.003/(0.003+($C$14/$E$14)+0.003))</f>
        <v>1.7907986129220434E-2</v>
      </c>
      <c r="C45" s="10"/>
      <c r="D45" s="10"/>
      <c r="E45" s="10"/>
    </row>
    <row r="46" spans="1:5" x14ac:dyDescent="0.3">
      <c r="A46" s="11" t="s">
        <v>34</v>
      </c>
      <c r="B46" s="12">
        <f>+B45*B41*100*(B38-0.06)*100</f>
        <v>17.460286475989925</v>
      </c>
      <c r="C46" s="10"/>
      <c r="D46" s="10"/>
      <c r="E46" s="10"/>
    </row>
    <row r="49" spans="1:6" x14ac:dyDescent="0.3">
      <c r="A49" s="91" t="s">
        <v>36</v>
      </c>
      <c r="B49" s="91"/>
    </row>
    <row r="51" spans="1:6" x14ac:dyDescent="0.3">
      <c r="A51" s="1" t="s">
        <v>37</v>
      </c>
      <c r="B51" s="17">
        <v>500</v>
      </c>
    </row>
    <row r="52" spans="1:6" x14ac:dyDescent="0.3">
      <c r="A52" s="1" t="s">
        <v>38</v>
      </c>
      <c r="B52" s="17">
        <v>400</v>
      </c>
    </row>
    <row r="53" spans="1:6" x14ac:dyDescent="0.3">
      <c r="A53" s="1" t="s">
        <v>39</v>
      </c>
      <c r="B53" s="18">
        <v>3</v>
      </c>
    </row>
    <row r="55" spans="1:6" x14ac:dyDescent="0.3">
      <c r="A55" s="1" t="s">
        <v>40</v>
      </c>
      <c r="B55" s="20">
        <f>6*5</f>
        <v>30</v>
      </c>
      <c r="C55" s="11" t="s">
        <v>41</v>
      </c>
      <c r="D55" s="20">
        <f>6*2.5</f>
        <v>15</v>
      </c>
      <c r="E55" s="21" t="s">
        <v>42</v>
      </c>
      <c r="F55" s="20">
        <f>3*2.5</f>
        <v>7.5</v>
      </c>
    </row>
    <row r="56" spans="1:6" x14ac:dyDescent="0.3">
      <c r="A56" s="1" t="s">
        <v>43</v>
      </c>
      <c r="B56" s="22">
        <f>(1.2*$B$52+1.6*$B$51)*B55*$B$53</f>
        <v>115200</v>
      </c>
      <c r="C56" s="1" t="s">
        <v>43</v>
      </c>
      <c r="D56" s="22">
        <f>(1.2*$B$52+1.6*$B$51)*D55*$B$53</f>
        <v>57600</v>
      </c>
      <c r="E56" s="1" t="s">
        <v>43</v>
      </c>
      <c r="F56" s="22">
        <f>(1.2*$B$52+1.6*$B$51)*F55*$B$53</f>
        <v>28800</v>
      </c>
    </row>
    <row r="57" spans="1:6" x14ac:dyDescent="0.3">
      <c r="A57" s="11" t="s">
        <v>44</v>
      </c>
      <c r="B57" s="11">
        <v>1.1000000000000001</v>
      </c>
      <c r="C57" s="11" t="s">
        <v>44</v>
      </c>
      <c r="D57" s="11">
        <v>1.25</v>
      </c>
      <c r="E57" s="11" t="s">
        <v>44</v>
      </c>
      <c r="F57" s="11">
        <v>1.5</v>
      </c>
    </row>
    <row r="58" spans="1:6" x14ac:dyDescent="0.3">
      <c r="A58" s="11" t="s">
        <v>45</v>
      </c>
      <c r="B58" s="11">
        <v>0.3</v>
      </c>
      <c r="C58" s="11" t="s">
        <v>45</v>
      </c>
      <c r="D58" s="11">
        <v>0.25</v>
      </c>
      <c r="E58" s="11" t="s">
        <v>45</v>
      </c>
      <c r="F58" s="11">
        <v>0.2</v>
      </c>
    </row>
    <row r="59" spans="1:6" x14ac:dyDescent="0.3">
      <c r="A59" s="11" t="s">
        <v>46</v>
      </c>
      <c r="B59" s="12">
        <f>B57*B56/(B58*$C$13)</f>
        <v>1501.6320000000005</v>
      </c>
      <c r="C59" s="11" t="s">
        <v>46</v>
      </c>
      <c r="D59" s="12">
        <f>D57*D56/(D58*$C$13)</f>
        <v>1023.8400000000001</v>
      </c>
      <c r="E59" s="11" t="s">
        <v>46</v>
      </c>
      <c r="F59" s="12">
        <f>F57*F56/(F58*$C$13)</f>
        <v>767.88</v>
      </c>
    </row>
    <row r="60" spans="1:6" x14ac:dyDescent="0.3">
      <c r="A60" s="11"/>
      <c r="B60" s="12"/>
      <c r="C60" s="10"/>
      <c r="D60" s="24"/>
      <c r="E60" s="10"/>
      <c r="F60" s="24"/>
    </row>
    <row r="61" spans="1:6" x14ac:dyDescent="0.3">
      <c r="A61" s="11" t="s">
        <v>28</v>
      </c>
      <c r="B61" s="11" t="s">
        <v>26</v>
      </c>
      <c r="C61" s="11" t="s">
        <v>28</v>
      </c>
      <c r="D61" s="11" t="s">
        <v>26</v>
      </c>
      <c r="E61" s="11" t="s">
        <v>28</v>
      </c>
      <c r="F61" s="11" t="s">
        <v>26</v>
      </c>
    </row>
    <row r="62" spans="1:6" x14ac:dyDescent="0.3">
      <c r="A62" s="23">
        <v>30</v>
      </c>
      <c r="B62" s="23">
        <f>$B$59/A62</f>
        <v>50.054400000000015</v>
      </c>
      <c r="C62" s="23">
        <v>30</v>
      </c>
      <c r="D62" s="23">
        <f>D59/C62</f>
        <v>34.128000000000007</v>
      </c>
      <c r="E62" s="23">
        <v>30</v>
      </c>
      <c r="F62" s="23">
        <f>F59/E62</f>
        <v>25.596</v>
      </c>
    </row>
    <row r="63" spans="1:6" x14ac:dyDescent="0.3">
      <c r="A63" s="23">
        <f>A62+5</f>
        <v>35</v>
      </c>
      <c r="B63" s="23">
        <f t="shared" ref="B63:B65" si="0">$B$59/A63</f>
        <v>42.903771428571446</v>
      </c>
    </row>
    <row r="64" spans="1:6" x14ac:dyDescent="0.3">
      <c r="A64" s="23">
        <f t="shared" ref="A64:A65" si="1">A63+5</f>
        <v>40</v>
      </c>
      <c r="B64" s="23">
        <f t="shared" si="0"/>
        <v>37.540800000000011</v>
      </c>
    </row>
    <row r="65" spans="1:5" x14ac:dyDescent="0.3">
      <c r="A65" s="23">
        <f t="shared" si="1"/>
        <v>45</v>
      </c>
      <c r="B65" s="23">
        <f t="shared" si="0"/>
        <v>33.369600000000013</v>
      </c>
    </row>
    <row r="67" spans="1:5" x14ac:dyDescent="0.3">
      <c r="A67" s="25">
        <v>45</v>
      </c>
      <c r="B67" s="25">
        <v>45</v>
      </c>
    </row>
    <row r="69" spans="1:5" ht="20.25" x14ac:dyDescent="0.3">
      <c r="A69" s="92" t="str">
        <f>CONCATENATE("C ",A67,"cmX",B67,"cm")</f>
        <v>C 45cmX45cm</v>
      </c>
      <c r="B69" s="92"/>
      <c r="C69" s="92"/>
      <c r="E69" s="32"/>
    </row>
    <row r="71" spans="1:5" x14ac:dyDescent="0.3">
      <c r="A71" s="11" t="s">
        <v>32</v>
      </c>
      <c r="B71" s="12">
        <f>1%*A67*B67</f>
        <v>20.25</v>
      </c>
    </row>
    <row r="72" spans="1:5" x14ac:dyDescent="0.3">
      <c r="A72" s="11" t="s">
        <v>34</v>
      </c>
      <c r="B72" s="12">
        <f>6%*A67*B67</f>
        <v>121.49999999999999</v>
      </c>
    </row>
    <row r="74" spans="1:5" x14ac:dyDescent="0.3">
      <c r="A74" s="19" t="s">
        <v>47</v>
      </c>
      <c r="B74" s="19">
        <v>8</v>
      </c>
    </row>
    <row r="75" spans="1:5" x14ac:dyDescent="0.3">
      <c r="A75" s="19" t="s">
        <v>48</v>
      </c>
      <c r="B75" s="12">
        <f>B71/B74</f>
        <v>2.53125</v>
      </c>
      <c r="C75" s="26" t="s">
        <v>49</v>
      </c>
    </row>
    <row r="78" spans="1:5" x14ac:dyDescent="0.3">
      <c r="A78" s="91" t="s">
        <v>50</v>
      </c>
      <c r="B78" s="91"/>
    </row>
    <row r="79" spans="1:5" x14ac:dyDescent="0.3">
      <c r="A79" s="11" t="s">
        <v>51</v>
      </c>
      <c r="B79" s="13">
        <v>5</v>
      </c>
    </row>
    <row r="80" spans="1:5" x14ac:dyDescent="0.3">
      <c r="A80" s="11" t="s">
        <v>52</v>
      </c>
      <c r="B80" s="13">
        <v>6</v>
      </c>
    </row>
    <row r="82" spans="1:6" x14ac:dyDescent="0.3">
      <c r="A82" s="11" t="s">
        <v>53</v>
      </c>
      <c r="B82" s="14">
        <f>(2*B79+2*B80)/180</f>
        <v>0.12222222222222222</v>
      </c>
    </row>
    <row r="83" spans="1:6" x14ac:dyDescent="0.3">
      <c r="A83" s="11" t="s">
        <v>54</v>
      </c>
      <c r="B83" s="27">
        <f>B14</f>
        <v>60000</v>
      </c>
    </row>
    <row r="84" spans="1:6" x14ac:dyDescent="0.3">
      <c r="A84" s="11" t="s">
        <v>55</v>
      </c>
      <c r="B84" s="11">
        <f>B80/B79</f>
        <v>1.2</v>
      </c>
    </row>
    <row r="85" spans="1:6" x14ac:dyDescent="0.3">
      <c r="A85" s="11" t="s">
        <v>53</v>
      </c>
      <c r="B85" s="14">
        <f>B80*(0.8+B83/200000)/(36+9*B84)</f>
        <v>0.14102564102564105</v>
      </c>
    </row>
    <row r="86" spans="1:6" x14ac:dyDescent="0.3">
      <c r="A86" s="11" t="s">
        <v>56</v>
      </c>
      <c r="B86" s="14">
        <f>3.5*2.54/100</f>
        <v>8.8900000000000007E-2</v>
      </c>
    </row>
    <row r="87" spans="1:6" x14ac:dyDescent="0.3">
      <c r="A87" s="11" t="s">
        <v>53</v>
      </c>
      <c r="B87" s="28">
        <v>14</v>
      </c>
    </row>
    <row r="88" spans="1:6" x14ac:dyDescent="0.3">
      <c r="A88" s="11" t="s">
        <v>57</v>
      </c>
      <c r="B88" s="29">
        <f>B79/(B87/100)</f>
        <v>35.714285714285708</v>
      </c>
      <c r="C88" t="s">
        <v>58</v>
      </c>
    </row>
    <row r="90" spans="1:6" ht="20.25" x14ac:dyDescent="0.3">
      <c r="A90" s="92" t="str">
        <f>CONCATENATE("Losa ",B87," cm")</f>
        <v>Losa 14 cm</v>
      </c>
      <c r="B90" s="92"/>
      <c r="C90" s="92"/>
      <c r="E90" s="16"/>
    </row>
    <row r="93" spans="1:6" ht="30" x14ac:dyDescent="0.4">
      <c r="A93" s="97" t="s">
        <v>59</v>
      </c>
      <c r="B93" s="97"/>
      <c r="C93" s="97"/>
      <c r="D93" s="97"/>
      <c r="E93" s="97"/>
      <c r="F93" s="97"/>
    </row>
    <row r="95" spans="1:6" x14ac:dyDescent="0.3">
      <c r="C95" s="98" t="s">
        <v>70</v>
      </c>
      <c r="D95" s="98"/>
      <c r="E95" s="98"/>
    </row>
    <row r="96" spans="1:6" x14ac:dyDescent="0.3">
      <c r="C96" s="87"/>
      <c r="D96" s="87"/>
      <c r="E96" s="87"/>
    </row>
    <row r="97" spans="1:4" x14ac:dyDescent="0.3">
      <c r="A97" s="99" t="s">
        <v>60</v>
      </c>
      <c r="B97" s="99"/>
      <c r="C97" s="99"/>
    </row>
    <row r="99" spans="1:4" x14ac:dyDescent="0.3">
      <c r="B99" s="19" t="s">
        <v>62</v>
      </c>
      <c r="C99" s="33">
        <f>50*1.7</f>
        <v>85</v>
      </c>
      <c r="D99" t="s">
        <v>65</v>
      </c>
    </row>
    <row r="100" spans="1:4" x14ac:dyDescent="0.3">
      <c r="B100" s="19" t="s">
        <v>63</v>
      </c>
      <c r="C100" s="33">
        <v>77</v>
      </c>
    </row>
    <row r="101" spans="1:4" x14ac:dyDescent="0.3">
      <c r="B101" s="19" t="s">
        <v>61</v>
      </c>
      <c r="C101" s="33">
        <v>20</v>
      </c>
      <c r="D101" t="s">
        <v>66</v>
      </c>
    </row>
    <row r="102" spans="1:4" x14ac:dyDescent="0.3">
      <c r="B102" s="19" t="s">
        <v>64</v>
      </c>
      <c r="C102" s="33">
        <v>25</v>
      </c>
    </row>
    <row r="103" spans="1:4" x14ac:dyDescent="0.3">
      <c r="C103" s="34">
        <f>SUM(C99:C102)</f>
        <v>207</v>
      </c>
    </row>
    <row r="106" spans="1:4" x14ac:dyDescent="0.3">
      <c r="A106" s="99" t="s">
        <v>67</v>
      </c>
      <c r="B106" s="99"/>
      <c r="C106" s="99"/>
    </row>
    <row r="108" spans="1:4" x14ac:dyDescent="0.3">
      <c r="B108" s="19" t="s">
        <v>68</v>
      </c>
      <c r="C108" s="33">
        <f>70*1.7</f>
        <v>119</v>
      </c>
      <c r="D108" t="s">
        <v>69</v>
      </c>
    </row>
    <row r="109" spans="1:4" x14ac:dyDescent="0.3">
      <c r="B109" s="19" t="s">
        <v>61</v>
      </c>
      <c r="C109" s="33">
        <v>20</v>
      </c>
      <c r="D109" t="s">
        <v>66</v>
      </c>
    </row>
    <row r="110" spans="1:4" x14ac:dyDescent="0.3">
      <c r="B110" s="19" t="s">
        <v>64</v>
      </c>
      <c r="C110" s="33">
        <v>25</v>
      </c>
    </row>
    <row r="111" spans="1:4" x14ac:dyDescent="0.3">
      <c r="C111" s="34">
        <f>SUM(C108:C110)</f>
        <v>164</v>
      </c>
    </row>
    <row r="114" spans="1:6" x14ac:dyDescent="0.3">
      <c r="C114" s="98" t="s">
        <v>71</v>
      </c>
      <c r="D114" s="98"/>
      <c r="E114" s="98"/>
    </row>
    <row r="116" spans="1:6" x14ac:dyDescent="0.3">
      <c r="A116" s="99" t="s">
        <v>72</v>
      </c>
      <c r="B116" s="99"/>
      <c r="C116" s="99"/>
    </row>
    <row r="118" spans="1:6" x14ac:dyDescent="0.3">
      <c r="B118" s="11" t="s">
        <v>74</v>
      </c>
      <c r="C118" s="33">
        <v>163</v>
      </c>
      <c r="D118" s="89" t="s">
        <v>76</v>
      </c>
      <c r="E118" s="90"/>
      <c r="F118" s="90"/>
    </row>
    <row r="119" spans="1:6" x14ac:dyDescent="0.3">
      <c r="B119" s="11" t="s">
        <v>75</v>
      </c>
      <c r="C119" s="33">
        <f>0.01*2000</f>
        <v>20</v>
      </c>
      <c r="D119" s="89" t="s">
        <v>77</v>
      </c>
      <c r="E119" s="90"/>
      <c r="F119" s="90"/>
    </row>
    <row r="120" spans="1:6" x14ac:dyDescent="0.3">
      <c r="B120" s="19"/>
      <c r="C120" s="35">
        <f>SUM(C118:C119)</f>
        <v>183</v>
      </c>
    </row>
    <row r="121" spans="1:6" x14ac:dyDescent="0.3">
      <c r="B121" s="11" t="s">
        <v>73</v>
      </c>
      <c r="C121" s="37">
        <v>2.5</v>
      </c>
    </row>
    <row r="122" spans="1:6" x14ac:dyDescent="0.3">
      <c r="B122" s="19"/>
      <c r="C122" s="36">
        <f>C120*C121</f>
        <v>457.5</v>
      </c>
    </row>
    <row r="125" spans="1:6" x14ac:dyDescent="0.3">
      <c r="A125" s="99" t="s">
        <v>78</v>
      </c>
      <c r="B125" s="99"/>
      <c r="C125" s="99"/>
    </row>
    <row r="127" spans="1:6" x14ac:dyDescent="0.3">
      <c r="B127" s="11" t="s">
        <v>74</v>
      </c>
      <c r="C127" s="33">
        <v>163</v>
      </c>
      <c r="D127" s="89" t="s">
        <v>76</v>
      </c>
      <c r="E127" s="90"/>
      <c r="F127" s="90"/>
    </row>
    <row r="128" spans="1:6" x14ac:dyDescent="0.3">
      <c r="B128" s="11" t="s">
        <v>75</v>
      </c>
      <c r="C128" s="33">
        <f>0.01*2000</f>
        <v>20</v>
      </c>
      <c r="D128" s="89" t="s">
        <v>77</v>
      </c>
      <c r="E128" s="90"/>
      <c r="F128" s="90"/>
    </row>
    <row r="129" spans="1:6" x14ac:dyDescent="0.3">
      <c r="B129" s="19"/>
      <c r="C129" s="35">
        <f>SUM(C127:C128)</f>
        <v>183</v>
      </c>
    </row>
    <row r="130" spans="1:6" x14ac:dyDescent="0.3">
      <c r="B130" s="11" t="s">
        <v>79</v>
      </c>
      <c r="C130" s="37">
        <v>1</v>
      </c>
    </row>
    <row r="131" spans="1:6" x14ac:dyDescent="0.3">
      <c r="B131" s="19"/>
      <c r="C131" s="38">
        <f>C129*C130</f>
        <v>183</v>
      </c>
    </row>
    <row r="133" spans="1:6" x14ac:dyDescent="0.3">
      <c r="B133" s="19"/>
      <c r="C133" s="35">
        <v>38</v>
      </c>
    </row>
    <row r="134" spans="1:6" x14ac:dyDescent="0.3">
      <c r="B134" s="11" t="s">
        <v>80</v>
      </c>
      <c r="C134" s="37">
        <v>1.5</v>
      </c>
    </row>
    <row r="135" spans="1:6" x14ac:dyDescent="0.3">
      <c r="B135" s="19"/>
      <c r="C135" s="38">
        <f>C133*C134</f>
        <v>57</v>
      </c>
    </row>
    <row r="137" spans="1:6" x14ac:dyDescent="0.3">
      <c r="A137" s="88" t="s">
        <v>81</v>
      </c>
      <c r="B137" s="88"/>
      <c r="C137" s="36">
        <f>C131+C135</f>
        <v>240</v>
      </c>
    </row>
    <row r="140" spans="1:6" x14ac:dyDescent="0.3">
      <c r="A140" s="99" t="s">
        <v>98</v>
      </c>
      <c r="B140" s="99"/>
      <c r="C140" s="99"/>
    </row>
    <row r="141" spans="1:6" x14ac:dyDescent="0.3">
      <c r="B141" s="39" t="s">
        <v>74</v>
      </c>
      <c r="C141" s="40">
        <v>163</v>
      </c>
      <c r="D141" s="89" t="s">
        <v>76</v>
      </c>
      <c r="E141" s="90"/>
      <c r="F141" s="90"/>
    </row>
    <row r="142" spans="1:6" x14ac:dyDescent="0.3">
      <c r="B142" s="11" t="s">
        <v>75</v>
      </c>
      <c r="C142" s="33">
        <f>0.01*2000</f>
        <v>20</v>
      </c>
      <c r="D142" s="89" t="s">
        <v>77</v>
      </c>
      <c r="E142" s="90"/>
      <c r="F142" s="90"/>
    </row>
    <row r="143" spans="1:6" x14ac:dyDescent="0.3">
      <c r="B143" s="19"/>
      <c r="C143" s="35">
        <f>SUM(C141:C142)</f>
        <v>183</v>
      </c>
    </row>
    <row r="144" spans="1:6" x14ac:dyDescent="0.3">
      <c r="B144" s="11" t="s">
        <v>79</v>
      </c>
      <c r="C144" s="37">
        <v>1</v>
      </c>
    </row>
    <row r="145" spans="1:6" x14ac:dyDescent="0.3">
      <c r="B145" s="19"/>
      <c r="C145" s="38">
        <f>C143*C144</f>
        <v>183</v>
      </c>
    </row>
    <row r="148" spans="1:6" x14ac:dyDescent="0.3">
      <c r="C148" s="98" t="s">
        <v>82</v>
      </c>
      <c r="D148" s="98"/>
      <c r="E148" s="98"/>
    </row>
    <row r="150" spans="1:6" x14ac:dyDescent="0.3">
      <c r="B150" s="19" t="s">
        <v>83</v>
      </c>
      <c r="C150" s="33">
        <v>250</v>
      </c>
      <c r="D150" t="s">
        <v>86</v>
      </c>
    </row>
    <row r="151" spans="1:6" x14ac:dyDescent="0.3">
      <c r="B151" s="19"/>
      <c r="C151" s="33">
        <v>75</v>
      </c>
      <c r="D151" t="s">
        <v>87</v>
      </c>
    </row>
    <row r="152" spans="1:6" x14ac:dyDescent="0.3">
      <c r="B152" s="19"/>
      <c r="C152" s="41">
        <v>325</v>
      </c>
    </row>
    <row r="153" spans="1:6" x14ac:dyDescent="0.3">
      <c r="B153" s="19" t="s">
        <v>84</v>
      </c>
      <c r="C153" s="33">
        <v>300</v>
      </c>
      <c r="D153" t="s">
        <v>88</v>
      </c>
    </row>
    <row r="154" spans="1:6" x14ac:dyDescent="0.3">
      <c r="B154" s="19" t="s">
        <v>85</v>
      </c>
      <c r="C154" s="33">
        <v>500</v>
      </c>
      <c r="D154" t="s">
        <v>89</v>
      </c>
    </row>
    <row r="157" spans="1:6" x14ac:dyDescent="0.3">
      <c r="B157" s="87" t="s">
        <v>90</v>
      </c>
      <c r="C157" s="87"/>
      <c r="D157" s="90" t="s">
        <v>97</v>
      </c>
      <c r="E157" s="90"/>
      <c r="F157" s="90"/>
    </row>
    <row r="158" spans="1:6" x14ac:dyDescent="0.3">
      <c r="A158" s="88" t="s">
        <v>91</v>
      </c>
      <c r="B158" s="88"/>
      <c r="C158" s="33">
        <v>200</v>
      </c>
      <c r="D158" s="89" t="s">
        <v>94</v>
      </c>
      <c r="E158" s="90"/>
    </row>
    <row r="159" spans="1:6" x14ac:dyDescent="0.3">
      <c r="A159" s="88" t="s">
        <v>92</v>
      </c>
      <c r="B159" s="88"/>
      <c r="C159" s="33">
        <v>85</v>
      </c>
      <c r="D159" s="89" t="s">
        <v>95</v>
      </c>
      <c r="E159" s="90"/>
    </row>
    <row r="160" spans="1:6" x14ac:dyDescent="0.3">
      <c r="A160" s="88" t="s">
        <v>93</v>
      </c>
      <c r="B160" s="88"/>
      <c r="C160" s="33">
        <f>10*14</f>
        <v>140</v>
      </c>
      <c r="D160" s="89" t="s">
        <v>96</v>
      </c>
      <c r="E160" s="90"/>
    </row>
  </sheetData>
  <mergeCells count="40">
    <mergeCell ref="A125:C125"/>
    <mergeCell ref="D127:F127"/>
    <mergeCell ref="D128:F128"/>
    <mergeCell ref="A137:B137"/>
    <mergeCell ref="C148:E148"/>
    <mergeCell ref="D141:F141"/>
    <mergeCell ref="D142:F142"/>
    <mergeCell ref="A140:C140"/>
    <mergeCell ref="C114:E114"/>
    <mergeCell ref="A116:C116"/>
    <mergeCell ref="D118:F118"/>
    <mergeCell ref="D119:F119"/>
    <mergeCell ref="A93:F93"/>
    <mergeCell ref="A97:C97"/>
    <mergeCell ref="A106:C106"/>
    <mergeCell ref="C96:E96"/>
    <mergeCell ref="C95:E95"/>
    <mergeCell ref="A12:B12"/>
    <mergeCell ref="B2:C2"/>
    <mergeCell ref="B4:D4"/>
    <mergeCell ref="A43:C43"/>
    <mergeCell ref="A28:C28"/>
    <mergeCell ref="A19:B19"/>
    <mergeCell ref="A34:B34"/>
    <mergeCell ref="A17:F17"/>
    <mergeCell ref="A49:B49"/>
    <mergeCell ref="A69:C69"/>
    <mergeCell ref="A78:B78"/>
    <mergeCell ref="A90:C90"/>
    <mergeCell ref="F13:J13"/>
    <mergeCell ref="F14:J14"/>
    <mergeCell ref="F15:J15"/>
    <mergeCell ref="B157:C157"/>
    <mergeCell ref="A158:B158"/>
    <mergeCell ref="A159:B159"/>
    <mergeCell ref="A160:B160"/>
    <mergeCell ref="D158:E158"/>
    <mergeCell ref="D159:E159"/>
    <mergeCell ref="D160:E160"/>
    <mergeCell ref="D157:F157"/>
  </mergeCells>
  <dataValidations count="1">
    <dataValidation type="decimal" operator="greaterThanOrEqual" allowBlank="1" showInputMessage="1" showErrorMessage="1" sqref="B26 B41" xr:uid="{328BDB17-1174-4B69-8810-57AED7F9974B}">
      <formula1>E26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8E82-9B81-4431-A442-69E8B4266069}">
  <dimension ref="A2:R320"/>
  <sheetViews>
    <sheetView tabSelected="1" topLeftCell="A217" zoomScaleNormal="100" workbookViewId="0">
      <selection activeCell="E307" sqref="E307"/>
    </sheetView>
  </sheetViews>
  <sheetFormatPr baseColWidth="10" defaultRowHeight="16.5" x14ac:dyDescent="0.3"/>
  <cols>
    <col min="2" max="2" width="15.42578125" customWidth="1"/>
    <col min="3" max="3" width="13" customWidth="1"/>
    <col min="14" max="14" width="12.42578125" bestFit="1" customWidth="1"/>
  </cols>
  <sheetData>
    <row r="2" spans="1:12" x14ac:dyDescent="0.3">
      <c r="A2" s="42" t="s">
        <v>99</v>
      </c>
    </row>
    <row r="4" spans="1:12" x14ac:dyDescent="0.3">
      <c r="A4" s="88" t="s">
        <v>100</v>
      </c>
      <c r="B4" s="88"/>
      <c r="C4" s="20">
        <v>241.125</v>
      </c>
    </row>
    <row r="5" spans="1:12" x14ac:dyDescent="0.3">
      <c r="A5" s="88" t="s">
        <v>101</v>
      </c>
      <c r="B5" s="88"/>
      <c r="C5" s="18">
        <v>6</v>
      </c>
      <c r="F5" s="42" t="s">
        <v>105</v>
      </c>
    </row>
    <row r="6" spans="1:12" x14ac:dyDescent="0.3">
      <c r="A6" s="88" t="s">
        <v>102</v>
      </c>
      <c r="B6" s="88"/>
      <c r="C6" s="21">
        <f>C4*C5</f>
        <v>1446.75</v>
      </c>
    </row>
    <row r="7" spans="1:12" x14ac:dyDescent="0.3">
      <c r="A7" s="88" t="s">
        <v>103</v>
      </c>
      <c r="B7" s="88"/>
      <c r="C7" s="18">
        <v>21</v>
      </c>
    </row>
    <row r="8" spans="1:12" x14ac:dyDescent="0.3">
      <c r="A8" s="107" t="s">
        <v>104</v>
      </c>
      <c r="B8" s="107"/>
      <c r="C8" s="43">
        <f>ROUNDUP(C6/C7,0)</f>
        <v>69</v>
      </c>
    </row>
    <row r="9" spans="1:12" x14ac:dyDescent="0.3">
      <c r="A9" s="109" t="s">
        <v>112</v>
      </c>
      <c r="B9" s="109"/>
      <c r="C9" s="16" t="s">
        <v>333</v>
      </c>
    </row>
    <row r="10" spans="1:12" x14ac:dyDescent="0.3">
      <c r="A10" s="90" t="s">
        <v>106</v>
      </c>
      <c r="B10" s="90"/>
      <c r="C10" s="44" t="s">
        <v>107</v>
      </c>
    </row>
    <row r="12" spans="1:12" x14ac:dyDescent="0.3">
      <c r="A12" s="99" t="s">
        <v>108</v>
      </c>
      <c r="B12" s="99"/>
      <c r="L12" s="42" t="s">
        <v>110</v>
      </c>
    </row>
    <row r="14" spans="1:12" x14ac:dyDescent="0.3">
      <c r="A14" s="88" t="s">
        <v>109</v>
      </c>
      <c r="B14" s="88"/>
      <c r="C14" s="46">
        <v>0.16</v>
      </c>
      <c r="D14" s="45">
        <f>(C14*100*100*9.81)/1000</f>
        <v>15.696</v>
      </c>
    </row>
    <row r="15" spans="1:12" x14ac:dyDescent="0.3">
      <c r="A15" s="106" t="s">
        <v>334</v>
      </c>
      <c r="B15" s="106"/>
      <c r="C15" s="19"/>
    </row>
    <row r="17" spans="1:6" x14ac:dyDescent="0.3">
      <c r="A17" s="99" t="s">
        <v>111</v>
      </c>
      <c r="B17" s="99"/>
    </row>
    <row r="18" spans="1:6" x14ac:dyDescent="0.3">
      <c r="A18" s="106" t="s">
        <v>335</v>
      </c>
      <c r="B18" s="106"/>
    </row>
    <row r="22" spans="1:6" x14ac:dyDescent="0.3">
      <c r="A22" s="87" t="s">
        <v>113</v>
      </c>
      <c r="B22" s="87"/>
      <c r="C22" s="87"/>
      <c r="E22" s="90" t="s">
        <v>118</v>
      </c>
      <c r="F22" s="90"/>
    </row>
    <row r="24" spans="1:6" x14ac:dyDescent="0.3">
      <c r="B24" s="11" t="s">
        <v>114</v>
      </c>
      <c r="C24" s="18">
        <v>1.75</v>
      </c>
    </row>
    <row r="25" spans="1:6" x14ac:dyDescent="0.3">
      <c r="B25" s="11" t="s">
        <v>115</v>
      </c>
      <c r="C25" s="18">
        <v>0.9</v>
      </c>
    </row>
    <row r="26" spans="1:6" x14ac:dyDescent="0.3">
      <c r="B26" s="11" t="s">
        <v>116</v>
      </c>
      <c r="C26" s="18">
        <v>3.66</v>
      </c>
    </row>
    <row r="27" spans="1:6" x14ac:dyDescent="0.3">
      <c r="B27" s="11" t="s">
        <v>117</v>
      </c>
      <c r="C27" s="18">
        <v>4.0999999999999996</v>
      </c>
    </row>
    <row r="29" spans="1:6" x14ac:dyDescent="0.3">
      <c r="A29" s="87" t="s">
        <v>119</v>
      </c>
      <c r="B29" s="87"/>
    </row>
    <row r="30" spans="1:6" x14ac:dyDescent="0.3">
      <c r="B30" s="11" t="s">
        <v>120</v>
      </c>
      <c r="C30" s="18">
        <v>1</v>
      </c>
    </row>
    <row r="31" spans="1:6" x14ac:dyDescent="0.3">
      <c r="B31" s="11" t="s">
        <v>121</v>
      </c>
      <c r="C31" s="18">
        <v>1</v>
      </c>
    </row>
    <row r="33" spans="1:4" x14ac:dyDescent="0.3">
      <c r="A33" s="87" t="s">
        <v>122</v>
      </c>
      <c r="B33" s="87"/>
      <c r="C33" s="87"/>
      <c r="D33" s="87"/>
    </row>
    <row r="34" spans="1:4" x14ac:dyDescent="0.3">
      <c r="B34" s="11" t="s">
        <v>123</v>
      </c>
      <c r="C34" s="18">
        <v>1</v>
      </c>
    </row>
    <row r="35" spans="1:4" x14ac:dyDescent="0.3">
      <c r="B35" s="11" t="s">
        <v>124</v>
      </c>
      <c r="C35" s="18">
        <v>1</v>
      </c>
    </row>
    <row r="37" spans="1:4" x14ac:dyDescent="0.3">
      <c r="B37" s="11" t="s">
        <v>125</v>
      </c>
      <c r="C37" s="11">
        <f>C24*C30*C34</f>
        <v>1.75</v>
      </c>
    </row>
    <row r="38" spans="1:4" x14ac:dyDescent="0.3">
      <c r="B38" s="11" t="s">
        <v>126</v>
      </c>
      <c r="C38" s="11">
        <f>C25*C31*C35</f>
        <v>0.9</v>
      </c>
    </row>
    <row r="40" spans="1:4" x14ac:dyDescent="0.3">
      <c r="A40" s="87" t="s">
        <v>127</v>
      </c>
      <c r="B40" s="87"/>
      <c r="C40" s="87"/>
    </row>
    <row r="41" spans="1:4" x14ac:dyDescent="0.3">
      <c r="B41" s="19" t="s">
        <v>128</v>
      </c>
      <c r="C41" s="48">
        <f>C38/C37</f>
        <v>0.51428571428571435</v>
      </c>
    </row>
    <row r="42" spans="1:4" x14ac:dyDescent="0.3">
      <c r="B42" s="19" t="s">
        <v>129</v>
      </c>
      <c r="C42" s="48">
        <f>0.2*C41</f>
        <v>0.10285714285714287</v>
      </c>
    </row>
    <row r="44" spans="1:4" x14ac:dyDescent="0.3">
      <c r="A44" s="87" t="s">
        <v>130</v>
      </c>
      <c r="B44" s="87"/>
    </row>
    <row r="54" spans="1:14" x14ac:dyDescent="0.3">
      <c r="A54" s="88" t="s">
        <v>131</v>
      </c>
      <c r="B54" s="88"/>
      <c r="C54" s="106" t="s">
        <v>132</v>
      </c>
      <c r="D54" s="106"/>
      <c r="E54" s="106"/>
    </row>
    <row r="55" spans="1:14" x14ac:dyDescent="0.3">
      <c r="B55" s="11" t="s">
        <v>133</v>
      </c>
      <c r="C55" s="18">
        <v>0.66</v>
      </c>
      <c r="K55" s="73" t="s">
        <v>280</v>
      </c>
      <c r="L55" s="99" t="s">
        <v>281</v>
      </c>
      <c r="M55" s="99"/>
    </row>
    <row r="57" spans="1:14" x14ac:dyDescent="0.3">
      <c r="A57" s="87" t="s">
        <v>134</v>
      </c>
      <c r="B57" s="87"/>
      <c r="C57" s="87"/>
      <c r="K57" s="73" t="s">
        <v>280</v>
      </c>
      <c r="L57" s="88" t="s">
        <v>282</v>
      </c>
      <c r="M57" s="88"/>
      <c r="N57" t="s">
        <v>279</v>
      </c>
    </row>
    <row r="58" spans="1:14" x14ac:dyDescent="0.3">
      <c r="B58" s="49" t="s">
        <v>135</v>
      </c>
      <c r="C58" s="49">
        <f>C55*C37</f>
        <v>1.155</v>
      </c>
      <c r="K58" s="73" t="s">
        <v>280</v>
      </c>
      <c r="L58" s="99" t="s">
        <v>283</v>
      </c>
      <c r="M58" s="99"/>
    </row>
    <row r="59" spans="1:14" x14ac:dyDescent="0.3">
      <c r="B59" s="49" t="s">
        <v>136</v>
      </c>
      <c r="C59" s="49">
        <f>C55*C38</f>
        <v>0.59400000000000008</v>
      </c>
    </row>
    <row r="60" spans="1:14" x14ac:dyDescent="0.3">
      <c r="B60" s="49" t="s">
        <v>137</v>
      </c>
      <c r="C60" s="49">
        <f>0.4*C58</f>
        <v>0.46200000000000002</v>
      </c>
      <c r="H60" t="s">
        <v>138</v>
      </c>
    </row>
    <row r="61" spans="1:14" x14ac:dyDescent="0.3">
      <c r="B61" s="49" t="s">
        <v>140</v>
      </c>
      <c r="C61" s="72">
        <f>0.2*C58</f>
        <v>0.23100000000000001</v>
      </c>
      <c r="H61" t="s">
        <v>139</v>
      </c>
    </row>
    <row r="64" spans="1:14" x14ac:dyDescent="0.3">
      <c r="A64" s="87" t="s">
        <v>182</v>
      </c>
      <c r="B64" s="87"/>
      <c r="C64" s="87"/>
      <c r="D64" s="87"/>
    </row>
    <row r="66" spans="3:4" x14ac:dyDescent="0.3">
      <c r="C66" s="47" t="s">
        <v>141</v>
      </c>
      <c r="D66" s="47" t="s">
        <v>142</v>
      </c>
    </row>
    <row r="67" spans="3:4" x14ac:dyDescent="0.3">
      <c r="C67" s="50">
        <v>0</v>
      </c>
      <c r="D67" s="19">
        <f>IF(C67&lt;$C$42,$C$58*(0.4+0.6*C67/$C$42),IF(AND(C67&gt;=$C$42,C67&lt;=$C$41),$C$58,IF(C67&gt;=$C$26,$C$59*$C$26/C67^2,$C$59/C67)))</f>
        <v>0.46200000000000002</v>
      </c>
    </row>
    <row r="68" spans="3:4" x14ac:dyDescent="0.3">
      <c r="C68" s="50">
        <f>C67+0.1</f>
        <v>0.1</v>
      </c>
      <c r="D68" s="19">
        <f t="shared" ref="D68:D131" si="0">IF(C68&lt;$C$42,$C$58*(0.4+0.6*C68/$C$42),IF(AND(C68&gt;=$C$42,C68&lt;=$C$41),$C$58,IF(C68&gt;=$C$26,$C$59*$C$26/C68^2,$C$59/C68)))</f>
        <v>1.13575</v>
      </c>
    </row>
    <row r="69" spans="3:4" x14ac:dyDescent="0.3">
      <c r="C69" s="50">
        <f t="shared" ref="C69:C132" si="1">C68+0.1</f>
        <v>0.2</v>
      </c>
      <c r="D69" s="19">
        <f t="shared" si="0"/>
        <v>1.155</v>
      </c>
    </row>
    <row r="70" spans="3:4" x14ac:dyDescent="0.3">
      <c r="C70" s="50">
        <f t="shared" si="1"/>
        <v>0.30000000000000004</v>
      </c>
      <c r="D70" s="19">
        <f t="shared" si="0"/>
        <v>1.155</v>
      </c>
    </row>
    <row r="71" spans="3:4" x14ac:dyDescent="0.3">
      <c r="C71" s="50">
        <f t="shared" si="1"/>
        <v>0.4</v>
      </c>
      <c r="D71" s="19">
        <f t="shared" si="0"/>
        <v>1.155</v>
      </c>
    </row>
    <row r="72" spans="3:4" x14ac:dyDescent="0.3">
      <c r="C72" s="50">
        <f t="shared" si="1"/>
        <v>0.5</v>
      </c>
      <c r="D72" s="19">
        <f t="shared" si="0"/>
        <v>1.155</v>
      </c>
    </row>
    <row r="73" spans="3:4" x14ac:dyDescent="0.3">
      <c r="C73" s="50">
        <f t="shared" si="1"/>
        <v>0.6</v>
      </c>
      <c r="D73" s="19">
        <f t="shared" si="0"/>
        <v>0.99000000000000021</v>
      </c>
    </row>
    <row r="74" spans="3:4" x14ac:dyDescent="0.3">
      <c r="C74" s="50">
        <f t="shared" si="1"/>
        <v>0.7</v>
      </c>
      <c r="D74" s="19">
        <f t="shared" si="0"/>
        <v>0.84857142857142875</v>
      </c>
    </row>
    <row r="75" spans="3:4" x14ac:dyDescent="0.3">
      <c r="C75" s="50">
        <f t="shared" si="1"/>
        <v>0.79999999999999993</v>
      </c>
      <c r="D75" s="19">
        <f t="shared" si="0"/>
        <v>0.74250000000000016</v>
      </c>
    </row>
    <row r="76" spans="3:4" x14ac:dyDescent="0.3">
      <c r="C76" s="50">
        <f t="shared" si="1"/>
        <v>0.89999999999999991</v>
      </c>
      <c r="D76" s="19">
        <f t="shared" si="0"/>
        <v>0.66000000000000014</v>
      </c>
    </row>
    <row r="77" spans="3:4" x14ac:dyDescent="0.3">
      <c r="C77" s="50">
        <f t="shared" si="1"/>
        <v>0.99999999999999989</v>
      </c>
      <c r="D77" s="19">
        <f t="shared" si="0"/>
        <v>0.59400000000000019</v>
      </c>
    </row>
    <row r="78" spans="3:4" x14ac:dyDescent="0.3">
      <c r="C78" s="50">
        <f t="shared" si="1"/>
        <v>1.0999999999999999</v>
      </c>
      <c r="D78" s="19">
        <f t="shared" si="0"/>
        <v>0.54000000000000015</v>
      </c>
    </row>
    <row r="79" spans="3:4" x14ac:dyDescent="0.3">
      <c r="C79" s="50">
        <f t="shared" si="1"/>
        <v>1.2</v>
      </c>
      <c r="D79" s="19">
        <f t="shared" si="0"/>
        <v>0.49500000000000011</v>
      </c>
    </row>
    <row r="80" spans="3:4" x14ac:dyDescent="0.3">
      <c r="C80" s="50">
        <f t="shared" si="1"/>
        <v>1.3</v>
      </c>
      <c r="D80" s="19">
        <f t="shared" si="0"/>
        <v>0.45692307692307699</v>
      </c>
    </row>
    <row r="81" spans="3:4" x14ac:dyDescent="0.3">
      <c r="C81" s="50">
        <f t="shared" si="1"/>
        <v>1.4000000000000001</v>
      </c>
      <c r="D81" s="19">
        <f t="shared" si="0"/>
        <v>0.42428571428571432</v>
      </c>
    </row>
    <row r="82" spans="3:4" x14ac:dyDescent="0.3">
      <c r="C82" s="50">
        <f t="shared" si="1"/>
        <v>1.5000000000000002</v>
      </c>
      <c r="D82" s="19">
        <f t="shared" si="0"/>
        <v>0.39600000000000002</v>
      </c>
    </row>
    <row r="83" spans="3:4" x14ac:dyDescent="0.3">
      <c r="C83" s="50">
        <f t="shared" si="1"/>
        <v>1.6000000000000003</v>
      </c>
      <c r="D83" s="19">
        <f t="shared" si="0"/>
        <v>0.37124999999999997</v>
      </c>
    </row>
    <row r="84" spans="3:4" x14ac:dyDescent="0.3">
      <c r="C84" s="50">
        <f t="shared" si="1"/>
        <v>1.7000000000000004</v>
      </c>
      <c r="D84" s="19">
        <f t="shared" si="0"/>
        <v>0.34941176470588231</v>
      </c>
    </row>
    <row r="85" spans="3:4" x14ac:dyDescent="0.3">
      <c r="C85" s="50">
        <f t="shared" si="1"/>
        <v>1.8000000000000005</v>
      </c>
      <c r="D85" s="19">
        <f t="shared" si="0"/>
        <v>0.32999999999999996</v>
      </c>
    </row>
    <row r="86" spans="3:4" x14ac:dyDescent="0.3">
      <c r="C86" s="50">
        <f t="shared" si="1"/>
        <v>1.9000000000000006</v>
      </c>
      <c r="D86" s="19">
        <f t="shared" si="0"/>
        <v>0.31263157894736837</v>
      </c>
    </row>
    <row r="87" spans="3:4" x14ac:dyDescent="0.3">
      <c r="C87" s="50">
        <f t="shared" si="1"/>
        <v>2.0000000000000004</v>
      </c>
      <c r="D87" s="19">
        <f t="shared" si="0"/>
        <v>0.29699999999999999</v>
      </c>
    </row>
    <row r="88" spans="3:4" x14ac:dyDescent="0.3">
      <c r="C88" s="50">
        <f>C87+0.1</f>
        <v>2.1000000000000005</v>
      </c>
      <c r="D88" s="19">
        <f t="shared" si="0"/>
        <v>0.28285714285714281</v>
      </c>
    </row>
    <row r="89" spans="3:4" x14ac:dyDescent="0.3">
      <c r="C89" s="50">
        <f t="shared" si="1"/>
        <v>2.2000000000000006</v>
      </c>
      <c r="D89" s="19">
        <f t="shared" si="0"/>
        <v>0.26999999999999996</v>
      </c>
    </row>
    <row r="90" spans="3:4" x14ac:dyDescent="0.3">
      <c r="C90" s="50">
        <f t="shared" si="1"/>
        <v>2.3000000000000007</v>
      </c>
      <c r="D90" s="19">
        <f t="shared" si="0"/>
        <v>0.25826086956521732</v>
      </c>
    </row>
    <row r="91" spans="3:4" x14ac:dyDescent="0.3">
      <c r="C91" s="50">
        <f t="shared" si="1"/>
        <v>2.4000000000000008</v>
      </c>
      <c r="D91" s="19">
        <f t="shared" si="0"/>
        <v>0.24749999999999994</v>
      </c>
    </row>
    <row r="92" spans="3:4" x14ac:dyDescent="0.3">
      <c r="C92" s="50">
        <f t="shared" si="1"/>
        <v>2.5000000000000009</v>
      </c>
      <c r="D92" s="19">
        <f t="shared" si="0"/>
        <v>0.23759999999999995</v>
      </c>
    </row>
    <row r="93" spans="3:4" x14ac:dyDescent="0.3">
      <c r="C93" s="50">
        <f t="shared" si="1"/>
        <v>2.600000000000001</v>
      </c>
      <c r="D93" s="19">
        <f t="shared" si="0"/>
        <v>0.22846153846153841</v>
      </c>
    </row>
    <row r="94" spans="3:4" x14ac:dyDescent="0.3">
      <c r="C94" s="50">
        <f t="shared" si="1"/>
        <v>2.7000000000000011</v>
      </c>
      <c r="D94" s="19">
        <f t="shared" si="0"/>
        <v>0.21999999999999995</v>
      </c>
    </row>
    <row r="95" spans="3:4" x14ac:dyDescent="0.3">
      <c r="C95" s="50">
        <f t="shared" si="1"/>
        <v>2.8000000000000012</v>
      </c>
      <c r="D95" s="19">
        <f t="shared" si="0"/>
        <v>0.21214285714285708</v>
      </c>
    </row>
    <row r="96" spans="3:4" x14ac:dyDescent="0.3">
      <c r="C96" s="50">
        <f t="shared" si="1"/>
        <v>2.9000000000000012</v>
      </c>
      <c r="D96" s="19">
        <f t="shared" si="0"/>
        <v>0.20482758620689651</v>
      </c>
    </row>
    <row r="97" spans="3:4" x14ac:dyDescent="0.3">
      <c r="C97" s="50">
        <f t="shared" si="1"/>
        <v>3.0000000000000013</v>
      </c>
      <c r="D97" s="19">
        <f t="shared" si="0"/>
        <v>0.19799999999999993</v>
      </c>
    </row>
    <row r="98" spans="3:4" x14ac:dyDescent="0.3">
      <c r="C98" s="50">
        <f t="shared" si="1"/>
        <v>3.1000000000000014</v>
      </c>
      <c r="D98" s="19">
        <f t="shared" si="0"/>
        <v>0.1916129032258064</v>
      </c>
    </row>
    <row r="99" spans="3:4" x14ac:dyDescent="0.3">
      <c r="C99" s="50">
        <f t="shared" si="1"/>
        <v>3.2000000000000015</v>
      </c>
      <c r="D99" s="19">
        <f t="shared" si="0"/>
        <v>0.18562499999999993</v>
      </c>
    </row>
    <row r="100" spans="3:4" x14ac:dyDescent="0.3">
      <c r="C100" s="50">
        <f t="shared" si="1"/>
        <v>3.3000000000000016</v>
      </c>
      <c r="D100" s="19">
        <f t="shared" si="0"/>
        <v>0.17999999999999994</v>
      </c>
    </row>
    <row r="101" spans="3:4" x14ac:dyDescent="0.3">
      <c r="C101" s="50">
        <f>C100+0.1</f>
        <v>3.4000000000000017</v>
      </c>
      <c r="D101" s="19">
        <f t="shared" si="0"/>
        <v>0.17470588235294113</v>
      </c>
    </row>
    <row r="102" spans="3:4" x14ac:dyDescent="0.3">
      <c r="C102" s="50">
        <f t="shared" si="1"/>
        <v>3.5000000000000018</v>
      </c>
      <c r="D102" s="19">
        <f t="shared" si="0"/>
        <v>0.16971428571428565</v>
      </c>
    </row>
    <row r="103" spans="3:4" x14ac:dyDescent="0.3">
      <c r="C103" s="50">
        <f t="shared" si="1"/>
        <v>3.6000000000000019</v>
      </c>
      <c r="D103" s="19">
        <f t="shared" si="0"/>
        <v>0.16499999999999992</v>
      </c>
    </row>
    <row r="104" spans="3:4" x14ac:dyDescent="0.3">
      <c r="C104" s="50">
        <f t="shared" si="1"/>
        <v>3.700000000000002</v>
      </c>
      <c r="D104" s="19">
        <f t="shared" si="0"/>
        <v>0.15880496712929132</v>
      </c>
    </row>
    <row r="105" spans="3:4" x14ac:dyDescent="0.3">
      <c r="C105" s="50">
        <f t="shared" si="1"/>
        <v>3.800000000000002</v>
      </c>
      <c r="D105" s="19">
        <f t="shared" si="0"/>
        <v>0.15055678670360095</v>
      </c>
    </row>
    <row r="106" spans="3:4" x14ac:dyDescent="0.3">
      <c r="C106" s="50">
        <f t="shared" si="1"/>
        <v>3.9000000000000021</v>
      </c>
      <c r="D106" s="19">
        <f t="shared" si="0"/>
        <v>0.14293491124260341</v>
      </c>
    </row>
    <row r="107" spans="3:4" x14ac:dyDescent="0.3">
      <c r="C107" s="50">
        <f t="shared" si="1"/>
        <v>4.0000000000000018</v>
      </c>
      <c r="D107" s="19">
        <f t="shared" si="0"/>
        <v>0.1358774999999999</v>
      </c>
    </row>
    <row r="108" spans="3:4" x14ac:dyDescent="0.3">
      <c r="C108" s="50">
        <f t="shared" si="1"/>
        <v>4.1000000000000014</v>
      </c>
      <c r="D108" s="19">
        <f t="shared" si="0"/>
        <v>0.12933016061867927</v>
      </c>
    </row>
    <row r="109" spans="3:4" x14ac:dyDescent="0.3">
      <c r="C109" s="50">
        <f t="shared" si="1"/>
        <v>4.2000000000000011</v>
      </c>
      <c r="D109" s="19">
        <f t="shared" si="0"/>
        <v>0.12324489795918363</v>
      </c>
    </row>
    <row r="110" spans="3:4" x14ac:dyDescent="0.3">
      <c r="C110" s="50">
        <f t="shared" si="1"/>
        <v>4.3000000000000007</v>
      </c>
      <c r="D110" s="19">
        <f t="shared" si="0"/>
        <v>0.11757923201730663</v>
      </c>
    </row>
    <row r="111" spans="3:4" x14ac:dyDescent="0.3">
      <c r="C111" s="50">
        <f t="shared" si="1"/>
        <v>4.4000000000000004</v>
      </c>
      <c r="D111" s="19">
        <f t="shared" si="0"/>
        <v>0.11229545454545453</v>
      </c>
    </row>
    <row r="112" spans="3:4" x14ac:dyDescent="0.3">
      <c r="C112" s="50">
        <f t="shared" si="1"/>
        <v>4.5</v>
      </c>
      <c r="D112" s="19">
        <f t="shared" si="0"/>
        <v>0.10736000000000001</v>
      </c>
    </row>
    <row r="113" spans="3:4" x14ac:dyDescent="0.3">
      <c r="C113" s="50">
        <f>C112+0.1</f>
        <v>4.5999999999999996</v>
      </c>
      <c r="D113" s="19">
        <f t="shared" si="0"/>
        <v>0.10274291115311912</v>
      </c>
    </row>
    <row r="114" spans="3:4" x14ac:dyDescent="0.3">
      <c r="C114" s="50">
        <f t="shared" si="1"/>
        <v>4.6999999999999993</v>
      </c>
      <c r="D114" s="19">
        <f t="shared" si="0"/>
        <v>9.8417383431416969E-2</v>
      </c>
    </row>
    <row r="115" spans="3:4" x14ac:dyDescent="0.3">
      <c r="C115" s="50">
        <f t="shared" si="1"/>
        <v>4.7999999999999989</v>
      </c>
      <c r="D115" s="19">
        <f t="shared" si="0"/>
        <v>9.4359375000000051E-2</v>
      </c>
    </row>
    <row r="116" spans="3:4" x14ac:dyDescent="0.3">
      <c r="C116" s="50">
        <f t="shared" si="1"/>
        <v>4.8999999999999986</v>
      </c>
      <c r="D116" s="19">
        <f t="shared" si="0"/>
        <v>9.0547271970012555E-2</v>
      </c>
    </row>
    <row r="117" spans="3:4" x14ac:dyDescent="0.3">
      <c r="C117" s="50">
        <f t="shared" si="1"/>
        <v>4.9999999999999982</v>
      </c>
      <c r="D117" s="19">
        <f t="shared" si="0"/>
        <v>8.6961600000000069E-2</v>
      </c>
    </row>
    <row r="118" spans="3:4" x14ac:dyDescent="0.3">
      <c r="C118" s="50">
        <f t="shared" si="1"/>
        <v>5.0999999999999979</v>
      </c>
      <c r="D118" s="19">
        <f t="shared" si="0"/>
        <v>8.3584775086505275E-2</v>
      </c>
    </row>
    <row r="119" spans="3:4" x14ac:dyDescent="0.3">
      <c r="C119" s="50">
        <f t="shared" si="1"/>
        <v>5.1999999999999975</v>
      </c>
      <c r="D119" s="19">
        <f t="shared" si="0"/>
        <v>8.0400887573964575E-2</v>
      </c>
    </row>
    <row r="120" spans="3:4" x14ac:dyDescent="0.3">
      <c r="C120" s="50">
        <f t="shared" si="1"/>
        <v>5.2999999999999972</v>
      </c>
      <c r="D120" s="19">
        <f t="shared" si="0"/>
        <v>7.7395514417942415E-2</v>
      </c>
    </row>
    <row r="121" spans="3:4" x14ac:dyDescent="0.3">
      <c r="C121" s="50">
        <f t="shared" si="1"/>
        <v>5.3999999999999968</v>
      </c>
      <c r="D121" s="19">
        <f t="shared" si="0"/>
        <v>7.4555555555555653E-2</v>
      </c>
    </row>
    <row r="122" spans="3:4" x14ac:dyDescent="0.3">
      <c r="C122" s="50">
        <f t="shared" si="1"/>
        <v>5.4999999999999964</v>
      </c>
      <c r="D122" s="19">
        <f t="shared" si="0"/>
        <v>7.1869090909091007E-2</v>
      </c>
    </row>
    <row r="123" spans="3:4" x14ac:dyDescent="0.3">
      <c r="C123" s="50">
        <f t="shared" si="1"/>
        <v>5.5999999999999961</v>
      </c>
      <c r="D123" s="19">
        <f t="shared" si="0"/>
        <v>6.932525510204092E-2</v>
      </c>
    </row>
    <row r="124" spans="3:4" x14ac:dyDescent="0.3">
      <c r="C124" s="50">
        <f t="shared" si="1"/>
        <v>5.6999999999999957</v>
      </c>
      <c r="D124" s="19">
        <f t="shared" si="0"/>
        <v>6.6914127423822814E-2</v>
      </c>
    </row>
    <row r="125" spans="3:4" x14ac:dyDescent="0.3">
      <c r="C125" s="50">
        <f t="shared" si="1"/>
        <v>5.7999999999999954</v>
      </c>
      <c r="D125" s="19">
        <f t="shared" si="0"/>
        <v>6.4626634958382986E-2</v>
      </c>
    </row>
    <row r="126" spans="3:4" x14ac:dyDescent="0.3">
      <c r="C126" s="50">
        <f t="shared" si="1"/>
        <v>5.899999999999995</v>
      </c>
      <c r="D126" s="19">
        <f t="shared" si="0"/>
        <v>6.245446710715323E-2</v>
      </c>
    </row>
    <row r="127" spans="3:4" x14ac:dyDescent="0.3">
      <c r="C127" s="50">
        <f t="shared" si="1"/>
        <v>5.9999999999999947</v>
      </c>
      <c r="D127" s="19">
        <f t="shared" si="0"/>
        <v>6.039000000000011E-2</v>
      </c>
    </row>
    <row r="128" spans="3:4" x14ac:dyDescent="0.3">
      <c r="C128" s="50">
        <f t="shared" si="1"/>
        <v>6.0999999999999943</v>
      </c>
      <c r="D128" s="19">
        <f t="shared" si="0"/>
        <v>5.8426229508196835E-2</v>
      </c>
    </row>
    <row r="129" spans="3:4" x14ac:dyDescent="0.3">
      <c r="C129" s="50">
        <f t="shared" si="1"/>
        <v>6.199999999999994</v>
      </c>
      <c r="D129" s="19">
        <f t="shared" si="0"/>
        <v>5.655671175858492E-2</v>
      </c>
    </row>
    <row r="130" spans="3:4" x14ac:dyDescent="0.3">
      <c r="C130" s="50">
        <f t="shared" si="1"/>
        <v>6.2999999999999936</v>
      </c>
      <c r="D130" s="19">
        <f t="shared" si="0"/>
        <v>5.4775510204081751E-2</v>
      </c>
    </row>
    <row r="131" spans="3:4" x14ac:dyDescent="0.3">
      <c r="C131" s="50">
        <f t="shared" si="1"/>
        <v>6.3999999999999932</v>
      </c>
      <c r="D131" s="19">
        <f t="shared" si="0"/>
        <v>5.3077148437500117E-2</v>
      </c>
    </row>
    <row r="132" spans="3:4" x14ac:dyDescent="0.3">
      <c r="C132" s="50">
        <f t="shared" si="1"/>
        <v>6.4999999999999929</v>
      </c>
      <c r="D132" s="19">
        <f t="shared" ref="D132:D167" si="2">IF(C132&lt;$C$42,$C$58*(0.4+0.6*C132/$C$42),IF(AND(C132&gt;=$C$42,C132&lt;=$C$41),$C$58,IF(C132&gt;=$C$26,$C$59*$C$26/C132^2,$C$59/C132)))</f>
        <v>5.1456568047337392E-2</v>
      </c>
    </row>
    <row r="133" spans="3:4" x14ac:dyDescent="0.3">
      <c r="C133" s="50">
        <f>C132+0.1</f>
        <v>6.5999999999999925</v>
      </c>
      <c r="D133" s="19">
        <f t="shared" si="2"/>
        <v>4.9909090909091028E-2</v>
      </c>
    </row>
    <row r="134" spans="3:4" x14ac:dyDescent="0.3">
      <c r="C134" s="50">
        <f t="shared" ref="C134:C135" si="3">C133+0.1</f>
        <v>6.6999999999999922</v>
      </c>
      <c r="D134" s="19">
        <f t="shared" si="2"/>
        <v>4.8430385386500456E-2</v>
      </c>
    </row>
    <row r="135" spans="3:4" x14ac:dyDescent="0.3">
      <c r="C135" s="50">
        <f t="shared" si="3"/>
        <v>6.7999999999999918</v>
      </c>
      <c r="D135" s="19">
        <f t="shared" si="2"/>
        <v>4.7016435986159288E-2</v>
      </c>
    </row>
    <row r="136" spans="3:4" x14ac:dyDescent="0.3">
      <c r="C136" s="50">
        <f>C135+0.1</f>
        <v>6.8999999999999915</v>
      </c>
      <c r="D136" s="19">
        <f t="shared" si="2"/>
        <v>4.5663516068053044E-2</v>
      </c>
    </row>
    <row r="137" spans="3:4" x14ac:dyDescent="0.3">
      <c r="C137" s="50">
        <f t="shared" ref="C137:C158" si="4">C136+0.1</f>
        <v>6.9999999999999911</v>
      </c>
      <c r="D137" s="19">
        <f t="shared" si="2"/>
        <v>4.4368163265306244E-2</v>
      </c>
    </row>
    <row r="138" spans="3:4" x14ac:dyDescent="0.3">
      <c r="C138" s="50">
        <f t="shared" si="4"/>
        <v>7.0999999999999908</v>
      </c>
      <c r="D138" s="19">
        <f t="shared" si="2"/>
        <v>4.3127157310057646E-2</v>
      </c>
    </row>
    <row r="139" spans="3:4" x14ac:dyDescent="0.3">
      <c r="C139" s="50">
        <f t="shared" si="4"/>
        <v>7.1999999999999904</v>
      </c>
      <c r="D139" s="19">
        <f t="shared" si="2"/>
        <v>4.1937500000000114E-2</v>
      </c>
    </row>
    <row r="140" spans="3:4" x14ac:dyDescent="0.3">
      <c r="C140" s="50">
        <f t="shared" si="4"/>
        <v>7.2999999999999901</v>
      </c>
      <c r="D140" s="19">
        <f t="shared" si="2"/>
        <v>4.0796397072621615E-2</v>
      </c>
    </row>
    <row r="141" spans="3:4" x14ac:dyDescent="0.3">
      <c r="C141" s="50">
        <f t="shared" si="4"/>
        <v>7.3999999999999897</v>
      </c>
      <c r="D141" s="19">
        <f t="shared" si="2"/>
        <v>3.9701241782322975E-2</v>
      </c>
    </row>
    <row r="142" spans="3:4" x14ac:dyDescent="0.3">
      <c r="C142" s="50">
        <f t="shared" si="4"/>
        <v>7.4999999999999893</v>
      </c>
      <c r="D142" s="19">
        <f t="shared" si="2"/>
        <v>3.864960000000011E-2</v>
      </c>
    </row>
    <row r="143" spans="3:4" x14ac:dyDescent="0.3">
      <c r="C143" s="50">
        <f t="shared" si="4"/>
        <v>7.599999999999989</v>
      </c>
      <c r="D143" s="19">
        <f t="shared" si="2"/>
        <v>3.7639196675900391E-2</v>
      </c>
    </row>
    <row r="144" spans="3:4" x14ac:dyDescent="0.3">
      <c r="C144" s="50">
        <f t="shared" si="4"/>
        <v>7.6999999999999886</v>
      </c>
      <c r="D144" s="19">
        <f t="shared" si="2"/>
        <v>3.6667903525046494E-2</v>
      </c>
    </row>
    <row r="145" spans="3:4" x14ac:dyDescent="0.3">
      <c r="C145" s="50">
        <f t="shared" si="4"/>
        <v>7.7999999999999883</v>
      </c>
      <c r="D145" s="19">
        <f t="shared" si="2"/>
        <v>3.5733727810650998E-2</v>
      </c>
    </row>
    <row r="146" spans="3:4" x14ac:dyDescent="0.3">
      <c r="C146" s="50">
        <f t="shared" si="4"/>
        <v>7.8999999999999879</v>
      </c>
      <c r="D146" s="19">
        <f t="shared" si="2"/>
        <v>3.4834802115045777E-2</v>
      </c>
    </row>
    <row r="147" spans="3:4" x14ac:dyDescent="0.3">
      <c r="C147" s="50">
        <f t="shared" si="4"/>
        <v>7.9999999999999876</v>
      </c>
      <c r="D147" s="19">
        <f t="shared" si="2"/>
        <v>3.3969375000000107E-2</v>
      </c>
    </row>
    <row r="148" spans="3:4" x14ac:dyDescent="0.3">
      <c r="C148" s="50">
        <f t="shared" si="4"/>
        <v>8.0999999999999872</v>
      </c>
      <c r="D148" s="19">
        <f t="shared" si="2"/>
        <v>3.3135802469135917E-2</v>
      </c>
    </row>
    <row r="149" spans="3:4" x14ac:dyDescent="0.3">
      <c r="C149" s="50">
        <f t="shared" si="4"/>
        <v>8.1999999999999869</v>
      </c>
      <c r="D149" s="19">
        <f t="shared" si="2"/>
        <v>3.233254015466995E-2</v>
      </c>
    </row>
    <row r="150" spans="3:4" x14ac:dyDescent="0.3">
      <c r="C150" s="50">
        <f t="shared" si="4"/>
        <v>8.2999999999999865</v>
      </c>
      <c r="D150" s="19">
        <f t="shared" si="2"/>
        <v>3.1558136159094315E-2</v>
      </c>
    </row>
    <row r="151" spans="3:4" x14ac:dyDescent="0.3">
      <c r="C151" s="50">
        <f t="shared" si="4"/>
        <v>8.3999999999999861</v>
      </c>
      <c r="D151" s="19">
        <f t="shared" si="2"/>
        <v>3.0811224489796025E-2</v>
      </c>
    </row>
    <row r="152" spans="3:4" x14ac:dyDescent="0.3">
      <c r="C152" s="50">
        <f t="shared" si="4"/>
        <v>8.4999999999999858</v>
      </c>
      <c r="D152" s="19">
        <f t="shared" si="2"/>
        <v>3.0090519031141971E-2</v>
      </c>
    </row>
    <row r="153" spans="3:4" x14ac:dyDescent="0.3">
      <c r="C153" s="50">
        <f t="shared" si="4"/>
        <v>8.5999999999999854</v>
      </c>
      <c r="D153" s="19">
        <f t="shared" si="2"/>
        <v>2.9394808004326763E-2</v>
      </c>
    </row>
    <row r="154" spans="3:4" x14ac:dyDescent="0.3">
      <c r="C154" s="50">
        <f t="shared" si="4"/>
        <v>8.6999999999999851</v>
      </c>
      <c r="D154" s="19">
        <f t="shared" si="2"/>
        <v>2.8722948870392489E-2</v>
      </c>
    </row>
    <row r="155" spans="3:4" x14ac:dyDescent="0.3">
      <c r="C155" s="50">
        <f t="shared" si="4"/>
        <v>8.7999999999999847</v>
      </c>
      <c r="D155" s="19">
        <f t="shared" si="2"/>
        <v>2.8073863636363737E-2</v>
      </c>
    </row>
    <row r="156" spans="3:4" x14ac:dyDescent="0.3">
      <c r="C156" s="50">
        <f>C155+0.1</f>
        <v>8.8999999999999844</v>
      </c>
      <c r="D156" s="19">
        <f t="shared" si="2"/>
        <v>2.7446534528468725E-2</v>
      </c>
    </row>
    <row r="157" spans="3:4" x14ac:dyDescent="0.3">
      <c r="C157" s="50">
        <f t="shared" si="4"/>
        <v>8.999999999999984</v>
      </c>
      <c r="D157" s="19">
        <f t="shared" si="2"/>
        <v>2.6840000000000096E-2</v>
      </c>
    </row>
    <row r="158" spans="3:4" x14ac:dyDescent="0.3">
      <c r="C158" s="50">
        <f t="shared" si="4"/>
        <v>9.0999999999999837</v>
      </c>
      <c r="D158" s="19">
        <f t="shared" si="2"/>
        <v>2.6253351044559933E-2</v>
      </c>
    </row>
    <row r="159" spans="3:4" x14ac:dyDescent="0.3">
      <c r="C159" s="50">
        <f>C158+0.1</f>
        <v>9.1999999999999833</v>
      </c>
      <c r="D159" s="19">
        <f t="shared" si="2"/>
        <v>2.568572778827987E-2</v>
      </c>
    </row>
    <row r="160" spans="3:4" x14ac:dyDescent="0.3">
      <c r="C160" s="50">
        <f t="shared" ref="C160:C165" si="5">C159+0.1</f>
        <v>9.2999999999999829</v>
      </c>
      <c r="D160" s="19">
        <f t="shared" si="2"/>
        <v>2.5136316337148898E-2</v>
      </c>
    </row>
    <row r="161" spans="1:4" x14ac:dyDescent="0.3">
      <c r="C161" s="50">
        <f t="shared" si="5"/>
        <v>9.3999999999999826</v>
      </c>
      <c r="D161" s="19">
        <f t="shared" si="2"/>
        <v>2.4604345857854325E-2</v>
      </c>
    </row>
    <row r="162" spans="1:4" x14ac:dyDescent="0.3">
      <c r="C162" s="50">
        <f t="shared" si="5"/>
        <v>9.4999999999999822</v>
      </c>
      <c r="D162" s="19">
        <f t="shared" si="2"/>
        <v>2.4089085872576271E-2</v>
      </c>
    </row>
    <row r="163" spans="1:4" x14ac:dyDescent="0.3">
      <c r="C163" s="50">
        <f t="shared" si="5"/>
        <v>9.5999999999999819</v>
      </c>
      <c r="D163" s="19">
        <f t="shared" si="2"/>
        <v>2.3589843750000089E-2</v>
      </c>
    </row>
    <row r="164" spans="1:4" x14ac:dyDescent="0.3">
      <c r="C164" s="50">
        <f t="shared" si="5"/>
        <v>9.6999999999999815</v>
      </c>
      <c r="D164" s="19">
        <f t="shared" si="2"/>
        <v>2.3105962376448168E-2</v>
      </c>
    </row>
    <row r="165" spans="1:4" x14ac:dyDescent="0.3">
      <c r="C165" s="50">
        <f t="shared" si="5"/>
        <v>9.7999999999999812</v>
      </c>
      <c r="D165" s="19">
        <f t="shared" si="2"/>
        <v>2.2636817992503212E-2</v>
      </c>
    </row>
    <row r="166" spans="1:4" x14ac:dyDescent="0.3">
      <c r="C166" s="50">
        <f>C165+0.1</f>
        <v>9.8999999999999808</v>
      </c>
      <c r="D166" s="19">
        <f t="shared" si="2"/>
        <v>2.2181818181818268E-2</v>
      </c>
    </row>
    <row r="167" spans="1:4" x14ac:dyDescent="0.3">
      <c r="C167" s="50">
        <f t="shared" ref="C167" si="6">C166+0.1</f>
        <v>9.9999999999999805</v>
      </c>
      <c r="D167" s="19">
        <f t="shared" si="2"/>
        <v>2.1740400000000087E-2</v>
      </c>
    </row>
    <row r="170" spans="1:4" x14ac:dyDescent="0.3">
      <c r="A170" s="99" t="s">
        <v>143</v>
      </c>
      <c r="B170" s="99"/>
      <c r="D170" s="42" t="s">
        <v>148</v>
      </c>
    </row>
    <row r="174" spans="1:4" x14ac:dyDescent="0.3">
      <c r="B174" s="11" t="s">
        <v>144</v>
      </c>
      <c r="C174" s="51">
        <v>4.7E-2</v>
      </c>
    </row>
    <row r="175" spans="1:4" x14ac:dyDescent="0.3">
      <c r="B175" s="11" t="s">
        <v>145</v>
      </c>
      <c r="C175" s="18">
        <v>0.85</v>
      </c>
    </row>
    <row r="176" spans="1:4" x14ac:dyDescent="0.3">
      <c r="B176" s="11" t="s">
        <v>146</v>
      </c>
      <c r="C176" s="13">
        <v>20.5</v>
      </c>
    </row>
    <row r="177" spans="1:7" x14ac:dyDescent="0.3">
      <c r="B177" s="11" t="s">
        <v>147</v>
      </c>
      <c r="C177" s="61">
        <f>C174*(C176)^C175</f>
        <v>0.612475385659352</v>
      </c>
      <c r="D177" s="108" t="s">
        <v>152</v>
      </c>
      <c r="E177" s="87"/>
      <c r="F177" s="62" t="s">
        <v>181</v>
      </c>
      <c r="G177" s="62">
        <f>1.4*C177</f>
        <v>0.85746553992309271</v>
      </c>
    </row>
    <row r="179" spans="1:7" x14ac:dyDescent="0.3">
      <c r="A179" s="99" t="s">
        <v>149</v>
      </c>
      <c r="B179" s="99"/>
    </row>
    <row r="181" spans="1:7" x14ac:dyDescent="0.3">
      <c r="C181" s="52">
        <f>C177</f>
        <v>0.612475385659352</v>
      </c>
      <c r="D181" s="11">
        <v>0</v>
      </c>
    </row>
    <row r="182" spans="1:7" x14ac:dyDescent="0.3">
      <c r="C182" s="52">
        <f>C181</f>
        <v>0.612475385659352</v>
      </c>
      <c r="D182" s="11">
        <f t="shared" ref="D182" si="7">IF(C182&lt;$C$42,$C$58*(0.4+0.6*C182/$C$42),IF(AND(C182&gt;=$C$42,C182&lt;=$C$41),$C$58,IF(C182&gt;=$C$26,$C$59*$C$26/C182^2,$C$59/C182)))</f>
        <v>0.96983489281048818</v>
      </c>
    </row>
    <row r="184" spans="1:7" x14ac:dyDescent="0.3">
      <c r="A184" s="11" t="s">
        <v>150</v>
      </c>
      <c r="B184" s="54">
        <f>D182</f>
        <v>0.96983489281048818</v>
      </c>
      <c r="C184" s="108" t="s">
        <v>151</v>
      </c>
      <c r="D184" s="87"/>
    </row>
    <row r="186" spans="1:7" x14ac:dyDescent="0.3">
      <c r="A186" s="11" t="s">
        <v>153</v>
      </c>
      <c r="B186" s="11">
        <v>8</v>
      </c>
    </row>
    <row r="187" spans="1:7" x14ac:dyDescent="0.3">
      <c r="A187" s="11" t="s">
        <v>154</v>
      </c>
      <c r="B187" s="53">
        <v>0.05</v>
      </c>
    </row>
    <row r="188" spans="1:7" x14ac:dyDescent="0.3">
      <c r="A188" s="11" t="s">
        <v>155</v>
      </c>
      <c r="B188" s="11">
        <f>4/(1-LN(B187))</f>
        <v>1.0010680711703974</v>
      </c>
    </row>
    <row r="190" spans="1:7" x14ac:dyDescent="0.3">
      <c r="A190" s="11" t="s">
        <v>156</v>
      </c>
      <c r="B190" s="55">
        <f>B184/(B186*B188)</f>
        <v>0.12110001816317632</v>
      </c>
    </row>
    <row r="191" spans="1:7" x14ac:dyDescent="0.3">
      <c r="A191" s="11" t="s">
        <v>157</v>
      </c>
      <c r="B191" s="56">
        <v>1</v>
      </c>
    </row>
    <row r="194" spans="1:13" x14ac:dyDescent="0.3">
      <c r="A194" s="99" t="s">
        <v>158</v>
      </c>
      <c r="B194" s="99"/>
    </row>
    <row r="195" spans="1:13" x14ac:dyDescent="0.3">
      <c r="C195" s="96" t="s">
        <v>171</v>
      </c>
      <c r="D195" s="96"/>
      <c r="E195" s="96"/>
    </row>
    <row r="196" spans="1:13" x14ac:dyDescent="0.3">
      <c r="A196" t="s">
        <v>159</v>
      </c>
      <c r="B196" s="105" t="s">
        <v>160</v>
      </c>
      <c r="C196" s="105" t="s">
        <v>161</v>
      </c>
      <c r="D196" s="59" t="s">
        <v>162</v>
      </c>
      <c r="E196" s="103" t="s">
        <v>170</v>
      </c>
      <c r="F196" s="102" t="s">
        <v>172</v>
      </c>
      <c r="G196" s="102" t="s">
        <v>173</v>
      </c>
      <c r="H196" s="103" t="s">
        <v>174</v>
      </c>
      <c r="I196" s="102" t="s">
        <v>176</v>
      </c>
    </row>
    <row r="197" spans="1:13" x14ac:dyDescent="0.3">
      <c r="B197" s="105"/>
      <c r="C197" s="105"/>
      <c r="D197" s="59" t="s">
        <v>163</v>
      </c>
      <c r="E197" s="104"/>
      <c r="F197" s="102"/>
      <c r="G197" s="102"/>
      <c r="H197" s="104"/>
      <c r="I197" s="102"/>
    </row>
    <row r="198" spans="1:13" x14ac:dyDescent="0.3">
      <c r="B198" s="60" t="s">
        <v>164</v>
      </c>
      <c r="C198" s="60" t="s">
        <v>165</v>
      </c>
      <c r="D198" s="60">
        <v>19.32929</v>
      </c>
      <c r="E198" s="19">
        <f>D198</f>
        <v>19.32929</v>
      </c>
      <c r="F198" s="60">
        <f>M200</f>
        <v>2.4229999999999998E-3</v>
      </c>
      <c r="G198" s="19">
        <v>11.87</v>
      </c>
      <c r="H198" s="60">
        <f>E198*F198^2</f>
        <v>1.1348088921040999E-4</v>
      </c>
      <c r="I198" s="19">
        <f>G198*F198</f>
        <v>2.8761009999999997E-2</v>
      </c>
      <c r="M198" s="58">
        <v>7.4320000000000002E-3</v>
      </c>
    </row>
    <row r="199" spans="1:13" x14ac:dyDescent="0.3">
      <c r="B199" s="60" t="s">
        <v>166</v>
      </c>
      <c r="C199" s="60" t="s">
        <v>167</v>
      </c>
      <c r="D199" s="60">
        <v>19.32929</v>
      </c>
      <c r="E199" s="19">
        <f t="shared" ref="E199:E200" si="8">D199</f>
        <v>19.32929</v>
      </c>
      <c r="F199" s="60">
        <v>5.496E-3</v>
      </c>
      <c r="G199" s="19">
        <v>23.73</v>
      </c>
      <c r="H199" s="60">
        <f t="shared" ref="H199:H200" si="9">E199*F199^2</f>
        <v>5.8386084300863996E-4</v>
      </c>
      <c r="I199" s="19">
        <f t="shared" ref="I199:I200" si="10">G199*F199</f>
        <v>0.13042007999999999</v>
      </c>
      <c r="M199" s="58">
        <v>5.496E-3</v>
      </c>
    </row>
    <row r="200" spans="1:13" x14ac:dyDescent="0.3">
      <c r="B200" s="60" t="s">
        <v>168</v>
      </c>
      <c r="C200" s="60" t="s">
        <v>169</v>
      </c>
      <c r="D200" s="60">
        <v>14.879490000000001</v>
      </c>
      <c r="E200" s="19">
        <f t="shared" si="8"/>
        <v>14.879490000000001</v>
      </c>
      <c r="F200" s="60">
        <f>M198</f>
        <v>7.4320000000000002E-3</v>
      </c>
      <c r="G200" s="19">
        <v>27.4</v>
      </c>
      <c r="H200" s="60">
        <f t="shared" si="9"/>
        <v>8.2186303546175998E-4</v>
      </c>
      <c r="I200" s="19">
        <f t="shared" si="10"/>
        <v>0.20363680000000001</v>
      </c>
      <c r="M200" s="58">
        <v>2.4229999999999998E-3</v>
      </c>
    </row>
    <row r="201" spans="1:13" x14ac:dyDescent="0.3">
      <c r="G201" t="s">
        <v>175</v>
      </c>
      <c r="H201">
        <f>SUM(H198:H200)</f>
        <v>1.5192047676808099E-3</v>
      </c>
      <c r="I201">
        <f>SUM(I198:I200)</f>
        <v>0.36281788999999998</v>
      </c>
    </row>
    <row r="204" spans="1:13" x14ac:dyDescent="0.3">
      <c r="C204" s="19" t="s">
        <v>175</v>
      </c>
      <c r="D204" s="19">
        <f>H201</f>
        <v>1.5192047676808099E-3</v>
      </c>
    </row>
    <row r="205" spans="1:13" x14ac:dyDescent="0.3">
      <c r="C205" s="19" t="s">
        <v>177</v>
      </c>
      <c r="D205" s="19">
        <f>I201</f>
        <v>0.36281788999999998</v>
      </c>
    </row>
    <row r="207" spans="1:13" x14ac:dyDescent="0.3">
      <c r="B207" s="47" t="s">
        <v>178</v>
      </c>
      <c r="C207" s="57">
        <f>2*PI()*SQRT(D204/D205)</f>
        <v>0.40657781635649798</v>
      </c>
    </row>
    <row r="210" spans="1:12" x14ac:dyDescent="0.3">
      <c r="A210" t="s">
        <v>159</v>
      </c>
      <c r="B210" s="105" t="s">
        <v>160</v>
      </c>
      <c r="C210" s="105" t="s">
        <v>161</v>
      </c>
      <c r="D210" s="59" t="s">
        <v>162</v>
      </c>
      <c r="E210" s="103" t="s">
        <v>170</v>
      </c>
      <c r="F210" s="102" t="s">
        <v>180</v>
      </c>
      <c r="G210" s="102" t="s">
        <v>173</v>
      </c>
      <c r="H210" s="103" t="s">
        <v>174</v>
      </c>
      <c r="I210" s="102" t="s">
        <v>176</v>
      </c>
    </row>
    <row r="211" spans="1:12" x14ac:dyDescent="0.3">
      <c r="B211" s="105"/>
      <c r="C211" s="105"/>
      <c r="D211" s="59" t="s">
        <v>163</v>
      </c>
      <c r="E211" s="104"/>
      <c r="F211" s="102"/>
      <c r="G211" s="102"/>
      <c r="H211" s="104"/>
      <c r="I211" s="102"/>
    </row>
    <row r="212" spans="1:12" x14ac:dyDescent="0.3">
      <c r="B212" s="60" t="s">
        <v>164</v>
      </c>
      <c r="C212" s="60" t="s">
        <v>165</v>
      </c>
      <c r="D212" s="60">
        <v>19.32929</v>
      </c>
      <c r="E212" s="19">
        <f>D212</f>
        <v>19.32929</v>
      </c>
      <c r="F212" s="60">
        <f>L214</f>
        <v>2.748E-3</v>
      </c>
      <c r="G212" s="19">
        <v>11.87</v>
      </c>
      <c r="H212" s="60">
        <f>E212*F212^2</f>
        <v>1.4596521075215999E-4</v>
      </c>
      <c r="I212" s="19">
        <f>G212*F212</f>
        <v>3.2618759999999997E-2</v>
      </c>
      <c r="L212" s="58">
        <v>8.8369999999999994E-3</v>
      </c>
    </row>
    <row r="213" spans="1:12" x14ac:dyDescent="0.3">
      <c r="B213" s="60" t="s">
        <v>166</v>
      </c>
      <c r="C213" s="60" t="s">
        <v>167</v>
      </c>
      <c r="D213" s="60">
        <v>19.32929</v>
      </c>
      <c r="E213" s="19">
        <f t="shared" ref="E213:E214" si="11">D213</f>
        <v>19.32929</v>
      </c>
      <c r="F213" s="60">
        <f>L213</f>
        <v>6.4140000000000004E-3</v>
      </c>
      <c r="G213" s="19">
        <v>23.73</v>
      </c>
      <c r="H213" s="60">
        <f t="shared" ref="H213:H214" si="12">E213*F213^2</f>
        <v>7.951953157088401E-4</v>
      </c>
      <c r="I213" s="19">
        <f t="shared" ref="I213:I214" si="13">G213*F213</f>
        <v>0.15220422</v>
      </c>
      <c r="L213" s="58">
        <v>6.4140000000000004E-3</v>
      </c>
    </row>
    <row r="214" spans="1:12" x14ac:dyDescent="0.3">
      <c r="B214" s="60" t="s">
        <v>168</v>
      </c>
      <c r="C214" s="60" t="s">
        <v>169</v>
      </c>
      <c r="D214" s="60">
        <v>14.879490000000001</v>
      </c>
      <c r="E214" s="19">
        <f t="shared" si="11"/>
        <v>14.879490000000001</v>
      </c>
      <c r="F214" s="60">
        <f>L212</f>
        <v>8.8369999999999994E-3</v>
      </c>
      <c r="G214" s="19">
        <v>27.4</v>
      </c>
      <c r="H214" s="60">
        <f t="shared" si="12"/>
        <v>1.1619775995098099E-3</v>
      </c>
      <c r="I214" s="19">
        <f t="shared" si="13"/>
        <v>0.24213379999999998</v>
      </c>
      <c r="L214" s="58">
        <v>2.748E-3</v>
      </c>
    </row>
    <row r="215" spans="1:12" x14ac:dyDescent="0.3">
      <c r="G215" t="s">
        <v>175</v>
      </c>
      <c r="H215">
        <f>SUM(H212:H214)</f>
        <v>2.1031381259708102E-3</v>
      </c>
      <c r="I215">
        <f>SUM(I212:I214)</f>
        <v>0.42695677999999998</v>
      </c>
    </row>
    <row r="218" spans="1:12" x14ac:dyDescent="0.3">
      <c r="C218" s="19" t="s">
        <v>175</v>
      </c>
      <c r="D218" s="19">
        <f>H215</f>
        <v>2.1031381259708102E-3</v>
      </c>
    </row>
    <row r="219" spans="1:12" x14ac:dyDescent="0.3">
      <c r="C219" s="19" t="s">
        <v>177</v>
      </c>
      <c r="D219" s="19">
        <f>I215</f>
        <v>0.42695677999999998</v>
      </c>
    </row>
    <row r="221" spans="1:12" x14ac:dyDescent="0.3">
      <c r="B221" s="47" t="s">
        <v>179</v>
      </c>
      <c r="C221" s="57">
        <f>2*PI()*SQRT(D218/D219)</f>
        <v>0.44098296110092028</v>
      </c>
    </row>
    <row r="224" spans="1:12" x14ac:dyDescent="0.3">
      <c r="A224" s="99" t="s">
        <v>183</v>
      </c>
      <c r="B224" s="99"/>
    </row>
    <row r="226" spans="1:17" x14ac:dyDescent="0.3">
      <c r="C226" s="101" t="s">
        <v>184</v>
      </c>
      <c r="D226" s="101" t="s">
        <v>185</v>
      </c>
      <c r="E226" s="64" t="s">
        <v>186</v>
      </c>
      <c r="F226" s="101" t="s">
        <v>188</v>
      </c>
      <c r="G226" s="101" t="s">
        <v>189</v>
      </c>
      <c r="H226" s="101" t="s">
        <v>190</v>
      </c>
      <c r="I226" s="101" t="s">
        <v>191</v>
      </c>
      <c r="J226" s="101" t="s">
        <v>192</v>
      </c>
      <c r="K226" s="101" t="s">
        <v>193</v>
      </c>
      <c r="L226" s="101" t="s">
        <v>194</v>
      </c>
      <c r="M226" s="101" t="s">
        <v>195</v>
      </c>
      <c r="N226" s="101" t="s">
        <v>196</v>
      </c>
      <c r="O226" s="101" t="s">
        <v>197</v>
      </c>
      <c r="P226" s="101" t="s">
        <v>198</v>
      </c>
      <c r="Q226" s="101" t="s">
        <v>199</v>
      </c>
    </row>
    <row r="227" spans="1:17" x14ac:dyDescent="0.3">
      <c r="C227" s="101"/>
      <c r="D227" s="101"/>
      <c r="E227" s="64" t="s">
        <v>187</v>
      </c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</row>
    <row r="228" spans="1:17" x14ac:dyDescent="0.3">
      <c r="C228" s="58" t="s">
        <v>200</v>
      </c>
      <c r="D228" s="58">
        <v>1</v>
      </c>
      <c r="E228" s="58">
        <v>0.441</v>
      </c>
      <c r="F228" s="58">
        <v>0</v>
      </c>
      <c r="G228" s="58">
        <v>0.84589999999999999</v>
      </c>
      <c r="H228" s="58">
        <v>0</v>
      </c>
      <c r="I228" s="58">
        <v>0</v>
      </c>
      <c r="J228" s="58">
        <v>0.84589999999999999</v>
      </c>
      <c r="K228" s="58">
        <v>0</v>
      </c>
      <c r="L228" s="58">
        <v>0.18110000000000001</v>
      </c>
      <c r="M228" s="58">
        <v>0</v>
      </c>
      <c r="N228" s="65">
        <v>2.5230000000000001E-5</v>
      </c>
      <c r="O228" s="58">
        <v>0.18110000000000001</v>
      </c>
      <c r="P228" s="58">
        <v>0</v>
      </c>
      <c r="Q228" s="65">
        <v>2.5230000000000001E-5</v>
      </c>
    </row>
    <row r="229" spans="1:17" x14ac:dyDescent="0.3">
      <c r="C229" s="58" t="s">
        <v>200</v>
      </c>
      <c r="D229" s="58">
        <v>2</v>
      </c>
      <c r="E229" s="58">
        <v>0.40699999999999997</v>
      </c>
      <c r="F229" s="58">
        <v>0.85570000000000002</v>
      </c>
      <c r="G229" s="58">
        <v>0</v>
      </c>
      <c r="H229" s="58">
        <v>0</v>
      </c>
      <c r="I229" s="58">
        <v>0.85570000000000002</v>
      </c>
      <c r="J229" s="58">
        <v>0.84589999999999999</v>
      </c>
      <c r="K229" s="58">
        <v>0</v>
      </c>
      <c r="L229" s="58">
        <v>0</v>
      </c>
      <c r="M229" s="58">
        <v>0.1701</v>
      </c>
      <c r="N229" s="65">
        <v>6.5849999999999996E-6</v>
      </c>
      <c r="O229" s="58">
        <v>0.18110000000000001</v>
      </c>
      <c r="P229" s="58">
        <v>0.1701</v>
      </c>
      <c r="Q229" s="65">
        <v>3.1819999999999997E-5</v>
      </c>
    </row>
    <row r="230" spans="1:17" x14ac:dyDescent="0.3">
      <c r="C230" s="58" t="s">
        <v>200</v>
      </c>
      <c r="D230" s="58">
        <v>3</v>
      </c>
      <c r="E230" s="58">
        <v>0.35799999999999998</v>
      </c>
      <c r="F230" s="65">
        <v>6.4559999999999997E-6</v>
      </c>
      <c r="G230" s="65">
        <v>2.3419999999999999E-5</v>
      </c>
      <c r="H230" s="58">
        <v>0</v>
      </c>
      <c r="I230" s="58">
        <v>0.85570000000000002</v>
      </c>
      <c r="J230" s="58">
        <v>0.84589999999999999</v>
      </c>
      <c r="K230" s="58">
        <v>0</v>
      </c>
      <c r="L230" s="65">
        <v>2.9600000000000001E-5</v>
      </c>
      <c r="M230" s="65">
        <v>3.726E-6</v>
      </c>
      <c r="N230" s="58">
        <v>0.84830000000000005</v>
      </c>
      <c r="O230" s="58">
        <v>0.18110000000000001</v>
      </c>
      <c r="P230" s="58">
        <v>0.1701</v>
      </c>
      <c r="Q230" s="58">
        <v>0.84840000000000004</v>
      </c>
    </row>
    <row r="231" spans="1:17" x14ac:dyDescent="0.3">
      <c r="C231" s="58" t="s">
        <v>200</v>
      </c>
      <c r="D231" s="58">
        <v>4</v>
      </c>
      <c r="E231" s="58">
        <v>0.13300000000000001</v>
      </c>
      <c r="F231" s="58">
        <v>0</v>
      </c>
      <c r="G231" s="58">
        <v>0.1201</v>
      </c>
      <c r="H231" s="58">
        <v>0</v>
      </c>
      <c r="I231" s="58">
        <v>0.85570000000000002</v>
      </c>
      <c r="J231" s="58">
        <v>0.96599999999999997</v>
      </c>
      <c r="K231" s="58">
        <v>0</v>
      </c>
      <c r="L231" s="58">
        <v>0.72230000000000005</v>
      </c>
      <c r="M231" s="58">
        <v>0</v>
      </c>
      <c r="N231" s="65">
        <v>7.9780000000000005E-6</v>
      </c>
      <c r="O231" s="58">
        <v>0.90339999999999998</v>
      </c>
      <c r="P231" s="58">
        <v>0.1701</v>
      </c>
      <c r="Q231" s="58">
        <v>0.84840000000000004</v>
      </c>
    </row>
    <row r="232" spans="1:17" x14ac:dyDescent="0.3">
      <c r="C232" s="66" t="s">
        <v>200</v>
      </c>
      <c r="D232" s="66">
        <v>5</v>
      </c>
      <c r="E232" s="66">
        <v>0.126</v>
      </c>
      <c r="F232" s="66">
        <v>0.11360000000000001</v>
      </c>
      <c r="G232" s="66">
        <v>0</v>
      </c>
      <c r="H232" s="66">
        <v>0</v>
      </c>
      <c r="I232" s="66">
        <v>0.96930000000000005</v>
      </c>
      <c r="J232" s="66">
        <v>0.96599999999999997</v>
      </c>
      <c r="K232" s="66">
        <v>0</v>
      </c>
      <c r="L232" s="66">
        <v>0</v>
      </c>
      <c r="M232" s="66">
        <v>0.74519999999999997</v>
      </c>
      <c r="N232" s="67">
        <v>1.345E-6</v>
      </c>
      <c r="O232" s="66">
        <v>0.90339999999999998</v>
      </c>
      <c r="P232" s="66">
        <v>0.91520000000000001</v>
      </c>
      <c r="Q232" s="66">
        <v>0.84840000000000004</v>
      </c>
    </row>
    <row r="233" spans="1:17" x14ac:dyDescent="0.3">
      <c r="C233" s="58" t="s">
        <v>200</v>
      </c>
      <c r="D233" s="58">
        <v>6</v>
      </c>
      <c r="E233" s="58">
        <v>0.109</v>
      </c>
      <c r="F233" s="65">
        <v>1.353E-6</v>
      </c>
      <c r="G233" s="65">
        <v>9.054E-6</v>
      </c>
      <c r="H233" s="58">
        <v>0</v>
      </c>
      <c r="I233" s="58">
        <v>0.96930000000000005</v>
      </c>
      <c r="J233" s="58">
        <v>0.96599999999999997</v>
      </c>
      <c r="K233" s="58">
        <v>0</v>
      </c>
      <c r="L233" s="58">
        <v>1E-4</v>
      </c>
      <c r="M233" s="65">
        <v>8.2840000000000006E-6</v>
      </c>
      <c r="N233" s="58">
        <v>0.1181</v>
      </c>
      <c r="O233" s="58">
        <v>0.90349999999999997</v>
      </c>
      <c r="P233" s="58">
        <v>0.91520000000000001</v>
      </c>
      <c r="Q233" s="58">
        <v>0.96650000000000003</v>
      </c>
    </row>
    <row r="234" spans="1:17" x14ac:dyDescent="0.3">
      <c r="C234" s="58" t="s">
        <v>200</v>
      </c>
      <c r="D234" s="58">
        <v>7</v>
      </c>
      <c r="E234" s="58">
        <v>7.2999999999999995E-2</v>
      </c>
      <c r="F234" s="58">
        <v>0</v>
      </c>
      <c r="G234" s="58">
        <v>3.4000000000000002E-2</v>
      </c>
      <c r="H234" s="58">
        <v>0</v>
      </c>
      <c r="I234" s="58">
        <v>0.96930000000000005</v>
      </c>
      <c r="J234" s="58">
        <v>1</v>
      </c>
      <c r="K234" s="58">
        <v>0</v>
      </c>
      <c r="L234" s="58">
        <v>9.6500000000000002E-2</v>
      </c>
      <c r="M234" s="58">
        <v>0</v>
      </c>
      <c r="N234" s="65">
        <v>6.4160000000000001E-6</v>
      </c>
      <c r="O234" s="58">
        <v>1</v>
      </c>
      <c r="P234" s="58">
        <v>0.91520000000000001</v>
      </c>
      <c r="Q234" s="58">
        <v>0.96650000000000003</v>
      </c>
    </row>
    <row r="235" spans="1:17" x14ac:dyDescent="0.3">
      <c r="C235" s="58" t="s">
        <v>200</v>
      </c>
      <c r="D235" s="58">
        <v>8</v>
      </c>
      <c r="E235" s="58">
        <v>7.1999999999999995E-2</v>
      </c>
      <c r="F235" s="58">
        <v>3.0700000000000002E-2</v>
      </c>
      <c r="G235" s="58">
        <v>0</v>
      </c>
      <c r="H235" s="58">
        <v>0</v>
      </c>
      <c r="I235" s="58">
        <v>1</v>
      </c>
      <c r="J235" s="58">
        <v>1</v>
      </c>
      <c r="K235" s="58">
        <v>0</v>
      </c>
      <c r="L235" s="58">
        <v>0</v>
      </c>
      <c r="M235" s="58">
        <v>8.48E-2</v>
      </c>
      <c r="N235" s="65">
        <v>5.6830000000000003E-7</v>
      </c>
      <c r="O235" s="58">
        <v>1</v>
      </c>
      <c r="P235" s="58">
        <v>1</v>
      </c>
      <c r="Q235" s="58">
        <v>0.96650000000000003</v>
      </c>
    </row>
    <row r="236" spans="1:17" x14ac:dyDescent="0.3">
      <c r="C236" s="58" t="s">
        <v>200</v>
      </c>
      <c r="D236" s="58">
        <v>9</v>
      </c>
      <c r="E236" s="58">
        <v>0.06</v>
      </c>
      <c r="F236" s="65">
        <v>5.4199999999999996E-7</v>
      </c>
      <c r="G236" s="65">
        <v>7.092E-6</v>
      </c>
      <c r="H236" s="58">
        <v>0</v>
      </c>
      <c r="I236" s="58">
        <v>1</v>
      </c>
      <c r="J236" s="58">
        <v>1</v>
      </c>
      <c r="K236" s="58">
        <v>0</v>
      </c>
      <c r="L236" s="65">
        <v>2.1440000000000001E-5</v>
      </c>
      <c r="M236" s="65">
        <v>1.6220000000000001E-6</v>
      </c>
      <c r="N236" s="58">
        <v>3.3500000000000002E-2</v>
      </c>
      <c r="O236" s="58">
        <v>1</v>
      </c>
      <c r="P236" s="58">
        <v>1</v>
      </c>
      <c r="Q236" s="58">
        <v>1</v>
      </c>
    </row>
    <row r="240" spans="1:17" x14ac:dyDescent="0.3">
      <c r="A240" s="99" t="s">
        <v>201</v>
      </c>
      <c r="B240" s="99"/>
      <c r="C240" s="99"/>
      <c r="D240" s="99"/>
    </row>
    <row r="242" spans="1:16" ht="33" x14ac:dyDescent="0.3">
      <c r="C242" s="101" t="s">
        <v>160</v>
      </c>
      <c r="D242" s="101" t="s">
        <v>161</v>
      </c>
      <c r="E242" s="64" t="s">
        <v>162</v>
      </c>
      <c r="F242" s="64" t="s">
        <v>203</v>
      </c>
      <c r="G242" s="64" t="s">
        <v>204</v>
      </c>
      <c r="H242" s="64" t="s">
        <v>206</v>
      </c>
      <c r="I242" s="64" t="s">
        <v>207</v>
      </c>
      <c r="J242" s="64" t="s">
        <v>208</v>
      </c>
      <c r="K242" s="64" t="s">
        <v>209</v>
      </c>
      <c r="L242" s="64" t="s">
        <v>210</v>
      </c>
      <c r="M242" s="64" t="s">
        <v>211</v>
      </c>
      <c r="N242" s="64" t="s">
        <v>212</v>
      </c>
      <c r="O242" s="64" t="s">
        <v>213</v>
      </c>
      <c r="P242" s="64" t="s">
        <v>214</v>
      </c>
    </row>
    <row r="243" spans="1:16" x14ac:dyDescent="0.3">
      <c r="C243" s="101"/>
      <c r="D243" s="101"/>
      <c r="E243" s="64" t="s">
        <v>202</v>
      </c>
      <c r="F243" s="64" t="s">
        <v>202</v>
      </c>
      <c r="G243" s="64" t="s">
        <v>205</v>
      </c>
      <c r="H243" s="64" t="s">
        <v>205</v>
      </c>
      <c r="I243" s="64" t="s">
        <v>202</v>
      </c>
      <c r="J243" s="64" t="s">
        <v>202</v>
      </c>
      <c r="K243" s="64" t="s">
        <v>205</v>
      </c>
      <c r="L243" s="64" t="s">
        <v>205</v>
      </c>
      <c r="M243" s="64" t="s">
        <v>205</v>
      </c>
      <c r="N243" s="64" t="s">
        <v>205</v>
      </c>
    </row>
    <row r="244" spans="1:16" x14ac:dyDescent="0.3">
      <c r="C244" s="58" t="s">
        <v>164</v>
      </c>
      <c r="D244" s="58" t="s">
        <v>165</v>
      </c>
      <c r="E244" s="58">
        <v>19329.29</v>
      </c>
      <c r="F244" s="58">
        <v>19329.29</v>
      </c>
      <c r="G244" s="58">
        <v>8.9525000000000006</v>
      </c>
      <c r="H244" s="58">
        <v>4.9875999999999996</v>
      </c>
      <c r="I244" s="58">
        <v>19329.29</v>
      </c>
      <c r="J244" s="58">
        <v>19329.29</v>
      </c>
      <c r="K244" s="58">
        <v>8.9525000000000006</v>
      </c>
      <c r="L244" s="58">
        <v>4.9875999999999996</v>
      </c>
      <c r="M244" s="58">
        <v>9</v>
      </c>
      <c r="N244" s="58">
        <v>5</v>
      </c>
      <c r="O244">
        <f>K244-M244</f>
        <v>-4.7499999999999432E-2</v>
      </c>
      <c r="P244">
        <f>L244-N244</f>
        <v>-1.2400000000000411E-2</v>
      </c>
    </row>
    <row r="245" spans="1:16" x14ac:dyDescent="0.3">
      <c r="C245" s="58" t="s">
        <v>166</v>
      </c>
      <c r="D245" s="58" t="s">
        <v>167</v>
      </c>
      <c r="E245" s="58">
        <v>19329.29</v>
      </c>
      <c r="F245" s="58">
        <v>19329.29</v>
      </c>
      <c r="G245" s="58">
        <v>8.9525000000000006</v>
      </c>
      <c r="H245" s="58">
        <v>4.9875999999999996</v>
      </c>
      <c r="I245" s="58">
        <v>19329.29</v>
      </c>
      <c r="J245" s="58">
        <v>19329.29</v>
      </c>
      <c r="K245" s="58">
        <v>8.9525000000000006</v>
      </c>
      <c r="L245" s="58">
        <v>4.9875999999999996</v>
      </c>
      <c r="M245" s="58">
        <v>9</v>
      </c>
      <c r="N245" s="58">
        <v>5</v>
      </c>
      <c r="O245">
        <f t="shared" ref="O245:O246" si="14">K245-M245</f>
        <v>-4.7499999999999432E-2</v>
      </c>
      <c r="P245">
        <f t="shared" ref="P245:P246" si="15">L245-N245</f>
        <v>-1.2400000000000411E-2</v>
      </c>
    </row>
    <row r="246" spans="1:16" x14ac:dyDescent="0.3">
      <c r="C246" s="58" t="s">
        <v>168</v>
      </c>
      <c r="D246" s="58" t="s">
        <v>169</v>
      </c>
      <c r="E246" s="58">
        <v>14879.49</v>
      </c>
      <c r="F246" s="58">
        <v>14879.49</v>
      </c>
      <c r="G246" s="58">
        <v>9</v>
      </c>
      <c r="H246" s="58">
        <v>5</v>
      </c>
      <c r="I246" s="58">
        <v>14879.49</v>
      </c>
      <c r="J246" s="58">
        <v>14879.49</v>
      </c>
      <c r="K246" s="58">
        <v>9</v>
      </c>
      <c r="L246" s="58">
        <v>5</v>
      </c>
      <c r="M246" s="58">
        <v>9</v>
      </c>
      <c r="N246" s="58">
        <v>5</v>
      </c>
      <c r="O246">
        <f t="shared" si="14"/>
        <v>0</v>
      </c>
      <c r="P246">
        <f t="shared" si="15"/>
        <v>0</v>
      </c>
    </row>
    <row r="249" spans="1:16" x14ac:dyDescent="0.3">
      <c r="A249" s="99" t="s">
        <v>215</v>
      </c>
      <c r="B249" s="99"/>
      <c r="C249" s="99"/>
      <c r="D249" s="99"/>
    </row>
    <row r="251" spans="1:16" ht="16.5" customHeight="1" x14ac:dyDescent="0.3">
      <c r="C251" s="101" t="s">
        <v>216</v>
      </c>
      <c r="D251" s="101" t="s">
        <v>217</v>
      </c>
      <c r="E251" s="101" t="s">
        <v>218</v>
      </c>
      <c r="F251" s="101" t="s">
        <v>219</v>
      </c>
      <c r="G251" s="101" t="s">
        <v>220</v>
      </c>
      <c r="H251" s="64" t="s">
        <v>221</v>
      </c>
      <c r="I251" s="64" t="s">
        <v>223</v>
      </c>
      <c r="J251" s="64" t="s">
        <v>224</v>
      </c>
      <c r="K251" s="64" t="s">
        <v>225</v>
      </c>
      <c r="L251" s="64" t="s">
        <v>227</v>
      </c>
      <c r="M251" s="64" t="s">
        <v>228</v>
      </c>
      <c r="N251" s="64" t="s">
        <v>229</v>
      </c>
      <c r="O251" s="64" t="s">
        <v>230</v>
      </c>
      <c r="P251" s="64" t="s">
        <v>231</v>
      </c>
    </row>
    <row r="252" spans="1:16" x14ac:dyDescent="0.3">
      <c r="C252" s="101"/>
      <c r="D252" s="101"/>
      <c r="E252" s="101"/>
      <c r="F252" s="101"/>
      <c r="G252" s="101"/>
      <c r="H252" s="64" t="s">
        <v>222</v>
      </c>
      <c r="I252" s="64" t="s">
        <v>222</v>
      </c>
      <c r="J252" s="64" t="s">
        <v>222</v>
      </c>
      <c r="K252" s="64" t="s">
        <v>226</v>
      </c>
      <c r="L252" s="64" t="s">
        <v>226</v>
      </c>
      <c r="M252" s="64" t="s">
        <v>226</v>
      </c>
      <c r="N252" s="64" t="s">
        <v>205</v>
      </c>
      <c r="O252" s="64" t="s">
        <v>205</v>
      </c>
      <c r="P252" s="64" t="s">
        <v>205</v>
      </c>
    </row>
    <row r="253" spans="1:16" ht="33" x14ac:dyDescent="0.3">
      <c r="C253" s="58" t="s">
        <v>233</v>
      </c>
      <c r="D253" s="58" t="s">
        <v>232</v>
      </c>
      <c r="E253" s="58" t="s">
        <v>234</v>
      </c>
      <c r="F253" s="58">
        <v>1</v>
      </c>
      <c r="G253" s="58"/>
      <c r="H253" s="58">
        <v>-63.003500000000003</v>
      </c>
      <c r="I253" s="58">
        <v>0</v>
      </c>
      <c r="J253" s="58">
        <v>0</v>
      </c>
      <c r="K253" s="58">
        <v>0</v>
      </c>
      <c r="L253" s="58">
        <v>-424.63380000000001</v>
      </c>
      <c r="M253" s="58">
        <v>314.57729999999998</v>
      </c>
      <c r="N253" s="58">
        <v>0</v>
      </c>
      <c r="O253" s="58">
        <v>0</v>
      </c>
      <c r="P253" s="58">
        <v>0</v>
      </c>
    </row>
    <row r="254" spans="1:16" ht="33" x14ac:dyDescent="0.3">
      <c r="C254" s="58" t="s">
        <v>233</v>
      </c>
      <c r="D254" s="58" t="s">
        <v>232</v>
      </c>
      <c r="E254" s="58" t="s">
        <v>234</v>
      </c>
      <c r="F254" s="58">
        <v>2</v>
      </c>
      <c r="G254" s="58"/>
      <c r="H254" s="58">
        <v>0</v>
      </c>
      <c r="I254" s="58">
        <v>-63.003500000000003</v>
      </c>
      <c r="J254" s="58">
        <v>0</v>
      </c>
      <c r="K254" s="58">
        <v>424.63380000000001</v>
      </c>
      <c r="L254" s="58">
        <v>0</v>
      </c>
      <c r="M254" s="58">
        <v>-565.34119999999996</v>
      </c>
      <c r="N254" s="58">
        <v>0</v>
      </c>
      <c r="O254" s="58">
        <v>0</v>
      </c>
      <c r="P254" s="58">
        <v>0</v>
      </c>
    </row>
    <row r="255" spans="1:16" ht="33" x14ac:dyDescent="0.3">
      <c r="C255" s="58" t="s">
        <v>233</v>
      </c>
      <c r="D255" s="58" t="s">
        <v>232</v>
      </c>
      <c r="E255" s="58" t="s">
        <v>234</v>
      </c>
      <c r="F255" s="58">
        <v>3</v>
      </c>
      <c r="G255" s="58"/>
      <c r="H255" s="58">
        <v>-63.003500000000003</v>
      </c>
      <c r="I255" s="58">
        <v>0</v>
      </c>
      <c r="J255" s="58">
        <v>0</v>
      </c>
      <c r="K255" s="58">
        <v>0</v>
      </c>
      <c r="L255" s="58">
        <v>-424.63380000000001</v>
      </c>
      <c r="M255" s="58">
        <v>346.07909999999998</v>
      </c>
      <c r="N255" s="58">
        <v>0</v>
      </c>
      <c r="O255" s="58">
        <v>0</v>
      </c>
      <c r="P255" s="58">
        <v>0</v>
      </c>
    </row>
    <row r="256" spans="1:16" ht="33" x14ac:dyDescent="0.3">
      <c r="C256" s="58" t="s">
        <v>233</v>
      </c>
      <c r="D256" s="58" t="s">
        <v>232</v>
      </c>
      <c r="E256" s="58" t="s">
        <v>234</v>
      </c>
      <c r="F256" s="58">
        <v>4</v>
      </c>
      <c r="G256" s="58"/>
      <c r="H256" s="58">
        <v>0</v>
      </c>
      <c r="I256" s="58">
        <v>-63.003500000000003</v>
      </c>
      <c r="J256" s="58">
        <v>0</v>
      </c>
      <c r="K256" s="58">
        <v>424.63380000000001</v>
      </c>
      <c r="L256" s="58">
        <v>0</v>
      </c>
      <c r="M256" s="58">
        <v>-622.0444</v>
      </c>
      <c r="N256" s="58">
        <v>0</v>
      </c>
      <c r="O256" s="58">
        <v>0</v>
      </c>
      <c r="P256" s="58">
        <v>0</v>
      </c>
    </row>
    <row r="257" spans="1:18" ht="33" x14ac:dyDescent="0.3">
      <c r="C257" s="58" t="s">
        <v>233</v>
      </c>
      <c r="D257" s="58" t="s">
        <v>232</v>
      </c>
      <c r="E257" s="58" t="s">
        <v>234</v>
      </c>
      <c r="F257" s="58">
        <v>5</v>
      </c>
      <c r="G257" s="58"/>
      <c r="H257" s="58">
        <v>-63.003500000000003</v>
      </c>
      <c r="I257" s="58">
        <v>0</v>
      </c>
      <c r="J257" s="58">
        <v>0</v>
      </c>
      <c r="K257" s="58">
        <v>0</v>
      </c>
      <c r="L257" s="58">
        <v>-424.63380000000001</v>
      </c>
      <c r="M257" s="58">
        <v>283.07560000000001</v>
      </c>
      <c r="N257" s="58">
        <v>0</v>
      </c>
      <c r="O257" s="58">
        <v>0</v>
      </c>
      <c r="P257" s="58">
        <v>0</v>
      </c>
    </row>
    <row r="258" spans="1:18" ht="33" x14ac:dyDescent="0.3">
      <c r="C258" s="58" t="s">
        <v>233</v>
      </c>
      <c r="D258" s="58" t="s">
        <v>232</v>
      </c>
      <c r="E258" s="58" t="s">
        <v>234</v>
      </c>
      <c r="F258" s="58">
        <v>6</v>
      </c>
      <c r="G258" s="58"/>
      <c r="H258" s="58">
        <v>0</v>
      </c>
      <c r="I258" s="58">
        <v>-63.003500000000003</v>
      </c>
      <c r="J258" s="58">
        <v>0</v>
      </c>
      <c r="K258" s="58">
        <v>424.63380000000001</v>
      </c>
      <c r="L258" s="58">
        <v>0</v>
      </c>
      <c r="M258" s="58">
        <v>-508.63810000000001</v>
      </c>
      <c r="N258" s="58">
        <v>0</v>
      </c>
      <c r="O258" s="58">
        <v>0</v>
      </c>
      <c r="P258" s="58">
        <v>0</v>
      </c>
    </row>
    <row r="259" spans="1:18" ht="33" x14ac:dyDescent="0.3">
      <c r="C259" s="58" t="s">
        <v>235</v>
      </c>
      <c r="D259" s="58" t="s">
        <v>236</v>
      </c>
      <c r="E259" s="58" t="s">
        <v>237</v>
      </c>
      <c r="F259" s="58"/>
      <c r="G259" s="58"/>
      <c r="H259" s="58">
        <v>54.459400000000002</v>
      </c>
      <c r="I259" s="58">
        <v>16.1694</v>
      </c>
      <c r="J259" s="58">
        <v>0</v>
      </c>
      <c r="K259" s="58">
        <v>108.4914</v>
      </c>
      <c r="L259" s="58">
        <v>363.66210000000001</v>
      </c>
      <c r="M259" s="58">
        <v>334.52280000000002</v>
      </c>
      <c r="N259" s="58">
        <v>0</v>
      </c>
      <c r="O259" s="58">
        <v>0</v>
      </c>
      <c r="P259" s="58">
        <v>0</v>
      </c>
    </row>
    <row r="260" spans="1:18" ht="33" x14ac:dyDescent="0.3">
      <c r="C260" s="58" t="s">
        <v>238</v>
      </c>
      <c r="D260" s="58" t="s">
        <v>236</v>
      </c>
      <c r="E260" s="58" t="s">
        <v>237</v>
      </c>
      <c r="F260" s="58"/>
      <c r="G260" s="58"/>
      <c r="H260" s="58">
        <v>16.337800000000001</v>
      </c>
      <c r="I260" s="58">
        <v>53.898099999999999</v>
      </c>
      <c r="J260" s="58">
        <v>0</v>
      </c>
      <c r="K260" s="58">
        <v>361.63799999999998</v>
      </c>
      <c r="L260" s="58">
        <v>109.0986</v>
      </c>
      <c r="M260" s="58">
        <v>537.02359999999999</v>
      </c>
      <c r="N260" s="58">
        <v>0</v>
      </c>
      <c r="O260" s="58">
        <v>0</v>
      </c>
      <c r="P260" s="58">
        <v>0</v>
      </c>
    </row>
    <row r="263" spans="1:18" ht="33" x14ac:dyDescent="0.3">
      <c r="C263" s="58" t="s">
        <v>239</v>
      </c>
      <c r="D263">
        <f>ABS(H253)</f>
        <v>63.003500000000003</v>
      </c>
      <c r="F263" t="s">
        <v>241</v>
      </c>
      <c r="G263">
        <f>ABS(H259)</f>
        <v>54.459400000000002</v>
      </c>
      <c r="I263" t="s">
        <v>243</v>
      </c>
      <c r="J263">
        <f>D263</f>
        <v>63.003500000000003</v>
      </c>
      <c r="L263" s="100" t="s">
        <v>245</v>
      </c>
      <c r="M263" s="100"/>
      <c r="N263" s="68">
        <f>J263/G263</f>
        <v>1.156889352435025</v>
      </c>
      <c r="Q263" t="s">
        <v>247</v>
      </c>
      <c r="R263" t="s">
        <v>248</v>
      </c>
    </row>
    <row r="264" spans="1:18" x14ac:dyDescent="0.3">
      <c r="C264" s="58" t="s">
        <v>240</v>
      </c>
      <c r="D264">
        <f>ABS(I254)</f>
        <v>63.003500000000003</v>
      </c>
      <c r="F264" t="s">
        <v>242</v>
      </c>
      <c r="G264">
        <f>ABS(I260)</f>
        <v>53.898099999999999</v>
      </c>
      <c r="I264" t="s">
        <v>244</v>
      </c>
      <c r="J264">
        <f>D264</f>
        <v>63.003500000000003</v>
      </c>
      <c r="L264" s="100" t="s">
        <v>246</v>
      </c>
      <c r="M264" s="100"/>
      <c r="N264" s="68">
        <f>J264/G264</f>
        <v>1.1689373094784419</v>
      </c>
    </row>
    <row r="271" spans="1:18" x14ac:dyDescent="0.3">
      <c r="A271" s="99" t="s">
        <v>249</v>
      </c>
      <c r="B271" s="99"/>
      <c r="C271" s="99"/>
      <c r="D271" s="99"/>
    </row>
    <row r="272" spans="1:18" x14ac:dyDescent="0.3">
      <c r="C272" s="101" t="s">
        <v>216</v>
      </c>
      <c r="D272" s="101" t="s">
        <v>217</v>
      </c>
      <c r="E272" s="101" t="s">
        <v>218</v>
      </c>
      <c r="F272" s="101" t="s">
        <v>219</v>
      </c>
      <c r="G272" s="101" t="s">
        <v>220</v>
      </c>
      <c r="H272" s="64" t="s">
        <v>221</v>
      </c>
      <c r="I272" s="64" t="s">
        <v>223</v>
      </c>
      <c r="J272" s="64" t="s">
        <v>224</v>
      </c>
      <c r="K272" s="64" t="s">
        <v>225</v>
      </c>
      <c r="L272" s="64" t="s">
        <v>227</v>
      </c>
      <c r="M272" s="64" t="s">
        <v>228</v>
      </c>
      <c r="N272" s="64" t="s">
        <v>229</v>
      </c>
      <c r="O272" s="64" t="s">
        <v>230</v>
      </c>
      <c r="P272" s="64" t="s">
        <v>231</v>
      </c>
    </row>
    <row r="273" spans="3:18" x14ac:dyDescent="0.3">
      <c r="C273" s="101"/>
      <c r="D273" s="101"/>
      <c r="E273" s="101"/>
      <c r="F273" s="101"/>
      <c r="G273" s="101"/>
      <c r="H273" s="64" t="s">
        <v>222</v>
      </c>
      <c r="I273" s="64" t="s">
        <v>222</v>
      </c>
      <c r="J273" s="64" t="s">
        <v>222</v>
      </c>
      <c r="K273" s="64" t="s">
        <v>226</v>
      </c>
      <c r="L273" s="64" t="s">
        <v>226</v>
      </c>
      <c r="M273" s="64" t="s">
        <v>226</v>
      </c>
      <c r="N273" s="64" t="s">
        <v>205</v>
      </c>
      <c r="O273" s="64" t="s">
        <v>205</v>
      </c>
      <c r="P273" s="64" t="s">
        <v>205</v>
      </c>
    </row>
    <row r="274" spans="3:18" ht="33" x14ac:dyDescent="0.3">
      <c r="C274" s="58" t="s">
        <v>233</v>
      </c>
      <c r="D274" s="58" t="s">
        <v>232</v>
      </c>
      <c r="E274" s="58" t="s">
        <v>234</v>
      </c>
      <c r="F274" s="58">
        <v>1</v>
      </c>
      <c r="G274" s="58"/>
      <c r="H274" s="58">
        <v>-63.003500000000003</v>
      </c>
      <c r="I274" s="58">
        <v>0</v>
      </c>
      <c r="J274" s="58">
        <v>0</v>
      </c>
      <c r="K274" s="58">
        <v>0</v>
      </c>
      <c r="L274" s="58">
        <v>-424.63380000000001</v>
      </c>
      <c r="M274" s="58">
        <v>314.57729999999998</v>
      </c>
      <c r="N274" s="58">
        <v>0</v>
      </c>
      <c r="O274" s="58">
        <v>0</v>
      </c>
      <c r="P274" s="58">
        <v>0</v>
      </c>
    </row>
    <row r="275" spans="3:18" ht="33" x14ac:dyDescent="0.3">
      <c r="C275" s="58" t="s">
        <v>233</v>
      </c>
      <c r="D275" s="58" t="s">
        <v>232</v>
      </c>
      <c r="E275" s="58" t="s">
        <v>234</v>
      </c>
      <c r="F275" s="58">
        <v>2</v>
      </c>
      <c r="G275" s="58"/>
      <c r="H275" s="58">
        <v>0</v>
      </c>
      <c r="I275" s="58">
        <v>-63.003500000000003</v>
      </c>
      <c r="J275" s="58">
        <v>0</v>
      </c>
      <c r="K275" s="58">
        <v>424.63380000000001</v>
      </c>
      <c r="L275" s="58">
        <v>0</v>
      </c>
      <c r="M275" s="58">
        <v>-565.34119999999996</v>
      </c>
      <c r="N275" s="58">
        <v>0</v>
      </c>
      <c r="O275" s="58">
        <v>0</v>
      </c>
      <c r="P275" s="58">
        <v>0</v>
      </c>
    </row>
    <row r="276" spans="3:18" ht="33" x14ac:dyDescent="0.3">
      <c r="C276" s="58" t="s">
        <v>233</v>
      </c>
      <c r="D276" s="58" t="s">
        <v>232</v>
      </c>
      <c r="E276" s="58" t="s">
        <v>234</v>
      </c>
      <c r="F276" s="58">
        <v>3</v>
      </c>
      <c r="G276" s="58"/>
      <c r="H276" s="58">
        <v>-63.003500000000003</v>
      </c>
      <c r="I276" s="58">
        <v>0</v>
      </c>
      <c r="J276" s="58">
        <v>0</v>
      </c>
      <c r="K276" s="58">
        <v>0</v>
      </c>
      <c r="L276" s="58">
        <v>-424.63380000000001</v>
      </c>
      <c r="M276" s="58">
        <v>346.07909999999998</v>
      </c>
      <c r="N276" s="58">
        <v>0</v>
      </c>
      <c r="O276" s="58">
        <v>0</v>
      </c>
      <c r="P276" s="58">
        <v>0</v>
      </c>
    </row>
    <row r="277" spans="3:18" ht="33" x14ac:dyDescent="0.3">
      <c r="C277" s="58" t="s">
        <v>233</v>
      </c>
      <c r="D277" s="58" t="s">
        <v>232</v>
      </c>
      <c r="E277" s="58" t="s">
        <v>234</v>
      </c>
      <c r="F277" s="58">
        <v>4</v>
      </c>
      <c r="G277" s="58"/>
      <c r="H277" s="58">
        <v>0</v>
      </c>
      <c r="I277" s="58">
        <v>-63.003500000000003</v>
      </c>
      <c r="J277" s="58">
        <v>0</v>
      </c>
      <c r="K277" s="58">
        <v>424.63380000000001</v>
      </c>
      <c r="L277" s="58">
        <v>0</v>
      </c>
      <c r="M277" s="58">
        <v>-622.0444</v>
      </c>
      <c r="N277" s="58">
        <v>0</v>
      </c>
      <c r="O277" s="58">
        <v>0</v>
      </c>
      <c r="P277" s="58">
        <v>0</v>
      </c>
    </row>
    <row r="278" spans="3:18" ht="33" x14ac:dyDescent="0.3">
      <c r="C278" s="58" t="s">
        <v>233</v>
      </c>
      <c r="D278" s="58" t="s">
        <v>232</v>
      </c>
      <c r="E278" s="58" t="s">
        <v>234</v>
      </c>
      <c r="F278" s="58">
        <v>5</v>
      </c>
      <c r="G278" s="58"/>
      <c r="H278" s="58">
        <v>-63.003500000000003</v>
      </c>
      <c r="I278" s="58">
        <v>0</v>
      </c>
      <c r="J278" s="58">
        <v>0</v>
      </c>
      <c r="K278" s="58">
        <v>0</v>
      </c>
      <c r="L278" s="58">
        <v>-424.63380000000001</v>
      </c>
      <c r="M278" s="58">
        <v>283.07560000000001</v>
      </c>
      <c r="N278" s="58">
        <v>0</v>
      </c>
      <c r="O278" s="58">
        <v>0</v>
      </c>
      <c r="P278" s="58">
        <v>0</v>
      </c>
    </row>
    <row r="279" spans="3:18" ht="33" x14ac:dyDescent="0.3">
      <c r="C279" s="58" t="s">
        <v>233</v>
      </c>
      <c r="D279" s="58" t="s">
        <v>232</v>
      </c>
      <c r="E279" s="58" t="s">
        <v>234</v>
      </c>
      <c r="F279" s="58">
        <v>6</v>
      </c>
      <c r="G279" s="58"/>
      <c r="H279" s="58">
        <v>0</v>
      </c>
      <c r="I279" s="58">
        <v>-63.003500000000003</v>
      </c>
      <c r="J279" s="58">
        <v>0</v>
      </c>
      <c r="K279" s="58">
        <v>424.63380000000001</v>
      </c>
      <c r="L279" s="58">
        <v>0</v>
      </c>
      <c r="M279" s="58">
        <v>-508.63810000000001</v>
      </c>
      <c r="N279" s="58">
        <v>0</v>
      </c>
      <c r="O279" s="58">
        <v>0</v>
      </c>
      <c r="P279" s="58">
        <v>0</v>
      </c>
    </row>
    <row r="280" spans="3:18" ht="33" x14ac:dyDescent="0.3">
      <c r="C280" s="58" t="s">
        <v>235</v>
      </c>
      <c r="D280" s="58" t="s">
        <v>236</v>
      </c>
      <c r="E280" s="58" t="s">
        <v>237</v>
      </c>
      <c r="F280" s="58"/>
      <c r="G280" s="58"/>
      <c r="H280" s="58">
        <v>53.688299999999998</v>
      </c>
      <c r="I280" s="58">
        <v>16.0183</v>
      </c>
      <c r="J280" s="58">
        <v>0</v>
      </c>
      <c r="K280" s="58">
        <v>108.4914</v>
      </c>
      <c r="L280" s="58">
        <v>363.66210000000001</v>
      </c>
      <c r="M280" s="58">
        <v>334.52280000000002</v>
      </c>
      <c r="N280" s="58">
        <v>0</v>
      </c>
      <c r="O280" s="58">
        <v>0</v>
      </c>
      <c r="P280" s="58">
        <v>0</v>
      </c>
    </row>
    <row r="281" spans="3:18" ht="33" x14ac:dyDescent="0.3">
      <c r="C281" s="58" t="s">
        <v>238</v>
      </c>
      <c r="D281" s="58" t="s">
        <v>236</v>
      </c>
      <c r="E281" s="58" t="s">
        <v>237</v>
      </c>
      <c r="F281" s="58"/>
      <c r="G281" s="58"/>
      <c r="H281" s="58">
        <v>16.1065</v>
      </c>
      <c r="I281" s="58">
        <v>53.394399999999997</v>
      </c>
      <c r="J281" s="58">
        <v>0</v>
      </c>
      <c r="K281" s="58">
        <v>361.63799999999998</v>
      </c>
      <c r="L281" s="58">
        <v>109.0986</v>
      </c>
      <c r="M281" s="58">
        <v>537.02359999999999</v>
      </c>
      <c r="N281" s="58">
        <v>0</v>
      </c>
      <c r="O281" s="58">
        <v>0</v>
      </c>
      <c r="P281" s="58">
        <v>0</v>
      </c>
    </row>
    <row r="284" spans="3:18" ht="33" x14ac:dyDescent="0.3">
      <c r="C284" s="58" t="s">
        <v>239</v>
      </c>
      <c r="D284">
        <f>ABS(H274)</f>
        <v>63.003500000000003</v>
      </c>
      <c r="F284" t="s">
        <v>241</v>
      </c>
      <c r="G284">
        <f>ABS(H280)</f>
        <v>53.688299999999998</v>
      </c>
      <c r="I284" t="s">
        <v>243</v>
      </c>
      <c r="J284">
        <f>D284</f>
        <v>63.003500000000003</v>
      </c>
      <c r="L284" s="100" t="s">
        <v>245</v>
      </c>
      <c r="M284" s="100"/>
      <c r="N284" s="68">
        <f>J284/G284</f>
        <v>1.1735052143576907</v>
      </c>
      <c r="Q284" t="s">
        <v>247</v>
      </c>
      <c r="R284" t="s">
        <v>248</v>
      </c>
    </row>
    <row r="285" spans="3:18" x14ac:dyDescent="0.3">
      <c r="C285" s="58" t="s">
        <v>240</v>
      </c>
      <c r="D285">
        <f>ABS(I275)</f>
        <v>63.003500000000003</v>
      </c>
      <c r="F285" t="s">
        <v>242</v>
      </c>
      <c r="G285">
        <f>ABS(I281)</f>
        <v>53.394399999999997</v>
      </c>
      <c r="I285" t="s">
        <v>244</v>
      </c>
      <c r="J285">
        <f>D285</f>
        <v>63.003500000000003</v>
      </c>
      <c r="L285" s="100" t="s">
        <v>246</v>
      </c>
      <c r="M285" s="100"/>
      <c r="N285" s="68">
        <f>J285/G285</f>
        <v>1.1799645655724196</v>
      </c>
    </row>
    <row r="302" spans="2:15" x14ac:dyDescent="0.3">
      <c r="C302" s="88" t="s">
        <v>267</v>
      </c>
      <c r="D302" s="88"/>
      <c r="E302" s="88"/>
    </row>
    <row r="303" spans="2:15" ht="16.5" customHeight="1" x14ac:dyDescent="0.3">
      <c r="B303" s="101" t="s">
        <v>160</v>
      </c>
      <c r="C303" s="101" t="s">
        <v>250</v>
      </c>
      <c r="D303" s="101" t="s">
        <v>251</v>
      </c>
      <c r="E303" s="101" t="s">
        <v>216</v>
      </c>
      <c r="F303" s="101" t="s">
        <v>217</v>
      </c>
      <c r="G303" s="101" t="s">
        <v>218</v>
      </c>
      <c r="H303" s="101" t="s">
        <v>219</v>
      </c>
      <c r="I303" s="101" t="s">
        <v>220</v>
      </c>
      <c r="J303" s="64" t="s">
        <v>252</v>
      </c>
      <c r="K303" s="64" t="s">
        <v>254</v>
      </c>
      <c r="L303" s="64" t="s">
        <v>255</v>
      </c>
      <c r="M303" s="64" t="s">
        <v>256</v>
      </c>
      <c r="N303" s="64" t="s">
        <v>258</v>
      </c>
      <c r="O303" s="64" t="s">
        <v>259</v>
      </c>
    </row>
    <row r="304" spans="2:15" x14ac:dyDescent="0.3">
      <c r="B304" s="101"/>
      <c r="C304" s="101"/>
      <c r="D304" s="101"/>
      <c r="E304" s="101"/>
      <c r="F304" s="101"/>
      <c r="G304" s="101"/>
      <c r="H304" s="101"/>
      <c r="I304" s="101"/>
      <c r="J304" s="64" t="s">
        <v>253</v>
      </c>
      <c r="K304" s="64" t="s">
        <v>253</v>
      </c>
      <c r="L304" s="64" t="s">
        <v>253</v>
      </c>
      <c r="M304" s="64" t="s">
        <v>257</v>
      </c>
      <c r="N304" s="64" t="s">
        <v>257</v>
      </c>
      <c r="O304" s="64" t="s">
        <v>257</v>
      </c>
    </row>
    <row r="305" spans="2:15" ht="33" x14ac:dyDescent="0.3">
      <c r="B305" s="58" t="s">
        <v>168</v>
      </c>
      <c r="C305" s="58">
        <v>13</v>
      </c>
      <c r="D305" s="58">
        <v>49</v>
      </c>
      <c r="E305" s="58" t="s">
        <v>235</v>
      </c>
      <c r="F305" s="58" t="s">
        <v>236</v>
      </c>
      <c r="G305" s="58" t="s">
        <v>237</v>
      </c>
      <c r="H305" s="58"/>
      <c r="I305" s="58"/>
      <c r="J305" s="60">
        <v>1.3819999999999999</v>
      </c>
      <c r="K305" s="60">
        <v>0.45429999999999998</v>
      </c>
      <c r="L305" s="58">
        <v>0</v>
      </c>
      <c r="M305" s="58">
        <v>0</v>
      </c>
      <c r="N305" s="58">
        <v>0</v>
      </c>
      <c r="O305" s="58">
        <v>1.3200000000000001E-4</v>
      </c>
    </row>
    <row r="306" spans="2:15" ht="33" x14ac:dyDescent="0.3">
      <c r="B306" s="58" t="s">
        <v>168</v>
      </c>
      <c r="C306" s="58">
        <v>13</v>
      </c>
      <c r="D306" s="58">
        <v>49</v>
      </c>
      <c r="E306" s="58" t="s">
        <v>238</v>
      </c>
      <c r="F306" s="58" t="s">
        <v>236</v>
      </c>
      <c r="G306" s="58" t="s">
        <v>237</v>
      </c>
      <c r="H306" s="58"/>
      <c r="I306" s="58"/>
      <c r="J306" s="60">
        <v>0.41670000000000001</v>
      </c>
      <c r="K306" s="60">
        <v>1.522</v>
      </c>
      <c r="L306" s="58">
        <v>0</v>
      </c>
      <c r="M306" s="58">
        <v>0</v>
      </c>
      <c r="N306" s="58">
        <v>0</v>
      </c>
      <c r="O306" s="58">
        <v>2.42E-4</v>
      </c>
    </row>
    <row r="307" spans="2:15" ht="33" x14ac:dyDescent="0.3">
      <c r="B307" s="58" t="s">
        <v>166</v>
      </c>
      <c r="C307" s="58">
        <v>14</v>
      </c>
      <c r="D307" s="58">
        <v>50</v>
      </c>
      <c r="E307" s="58" t="s">
        <v>235</v>
      </c>
      <c r="F307" s="58" t="s">
        <v>236</v>
      </c>
      <c r="G307" s="58" t="s">
        <v>237</v>
      </c>
      <c r="H307" s="58"/>
      <c r="I307" s="58"/>
      <c r="J307" s="60">
        <v>0.99590000000000001</v>
      </c>
      <c r="K307" s="60">
        <v>0.32379999999999998</v>
      </c>
      <c r="L307" s="58">
        <v>0</v>
      </c>
      <c r="M307" s="58">
        <v>0</v>
      </c>
      <c r="N307" s="58">
        <v>0</v>
      </c>
      <c r="O307" s="65">
        <v>9.3999999999999994E-5</v>
      </c>
    </row>
    <row r="308" spans="2:15" ht="33" x14ac:dyDescent="0.3">
      <c r="B308" s="58" t="s">
        <v>166</v>
      </c>
      <c r="C308" s="58">
        <v>14</v>
      </c>
      <c r="D308" s="58">
        <v>50</v>
      </c>
      <c r="E308" s="58" t="s">
        <v>238</v>
      </c>
      <c r="F308" s="58" t="s">
        <v>236</v>
      </c>
      <c r="G308" s="58" t="s">
        <v>237</v>
      </c>
      <c r="H308" s="58"/>
      <c r="I308" s="58"/>
      <c r="J308" s="60">
        <v>0.30049999999999999</v>
      </c>
      <c r="K308" s="60">
        <v>1.0841000000000001</v>
      </c>
      <c r="L308" s="58">
        <v>0</v>
      </c>
      <c r="M308" s="58">
        <v>0</v>
      </c>
      <c r="N308" s="58">
        <v>0</v>
      </c>
      <c r="O308" s="58">
        <v>1.7200000000000001E-4</v>
      </c>
    </row>
    <row r="309" spans="2:15" ht="33" x14ac:dyDescent="0.3">
      <c r="B309" s="58" t="s">
        <v>164</v>
      </c>
      <c r="C309" s="58">
        <v>15</v>
      </c>
      <c r="D309" s="58">
        <v>51</v>
      </c>
      <c r="E309" s="58" t="s">
        <v>235</v>
      </c>
      <c r="F309" s="58" t="s">
        <v>236</v>
      </c>
      <c r="G309" s="58" t="s">
        <v>237</v>
      </c>
      <c r="H309" s="58"/>
      <c r="I309" s="58"/>
      <c r="J309" s="60">
        <v>0.41889999999999999</v>
      </c>
      <c r="K309" s="60">
        <v>0.13400000000000001</v>
      </c>
      <c r="L309" s="58">
        <v>0</v>
      </c>
      <c r="M309" s="58">
        <v>0</v>
      </c>
      <c r="N309" s="58">
        <v>0</v>
      </c>
      <c r="O309" s="65">
        <v>3.8999999999999999E-5</v>
      </c>
    </row>
    <row r="310" spans="2:15" ht="33" x14ac:dyDescent="0.3">
      <c r="B310" s="58" t="s">
        <v>164</v>
      </c>
      <c r="C310" s="58">
        <v>15</v>
      </c>
      <c r="D310" s="58">
        <v>51</v>
      </c>
      <c r="E310" s="58" t="s">
        <v>238</v>
      </c>
      <c r="F310" s="58" t="s">
        <v>236</v>
      </c>
      <c r="G310" s="58" t="s">
        <v>237</v>
      </c>
      <c r="H310" s="58"/>
      <c r="I310" s="58"/>
      <c r="J310" s="60">
        <v>0.12640000000000001</v>
      </c>
      <c r="K310" s="60">
        <v>0.44879999999999998</v>
      </c>
      <c r="L310" s="58">
        <v>0</v>
      </c>
      <c r="M310" s="58">
        <v>0</v>
      </c>
      <c r="N310" s="58">
        <v>0</v>
      </c>
      <c r="O310" s="65">
        <v>7.1000000000000005E-5</v>
      </c>
    </row>
    <row r="313" spans="2:15" x14ac:dyDescent="0.3">
      <c r="F313" s="63" t="s">
        <v>260</v>
      </c>
      <c r="G313" s="69">
        <v>5.5</v>
      </c>
    </row>
    <row r="314" spans="2:15" x14ac:dyDescent="0.3">
      <c r="F314" s="63"/>
      <c r="G314" s="70"/>
    </row>
    <row r="315" spans="2:15" x14ac:dyDescent="0.3">
      <c r="E315" s="99" t="s">
        <v>264</v>
      </c>
      <c r="F315" s="99"/>
      <c r="G315" s="99" t="s">
        <v>270</v>
      </c>
      <c r="H315" s="99"/>
      <c r="I315" s="99" t="s">
        <v>271</v>
      </c>
      <c r="J315" s="99"/>
      <c r="K315" s="99" t="s">
        <v>276</v>
      </c>
      <c r="L315" s="99"/>
    </row>
    <row r="316" spans="2:15" x14ac:dyDescent="0.3">
      <c r="C316" s="47" t="s">
        <v>261</v>
      </c>
      <c r="D316" s="47" t="s">
        <v>263</v>
      </c>
      <c r="E316" s="47" t="s">
        <v>265</v>
      </c>
      <c r="F316" s="47" t="s">
        <v>266</v>
      </c>
      <c r="G316" s="47" t="s">
        <v>268</v>
      </c>
      <c r="H316" s="47" t="s">
        <v>269</v>
      </c>
      <c r="I316" s="47" t="s">
        <v>272</v>
      </c>
      <c r="J316" s="47" t="s">
        <v>273</v>
      </c>
      <c r="K316" s="47" t="s">
        <v>274</v>
      </c>
      <c r="L316" s="47" t="s">
        <v>275</v>
      </c>
      <c r="M316" s="47" t="s">
        <v>277</v>
      </c>
      <c r="N316" s="47" t="s">
        <v>278</v>
      </c>
    </row>
    <row r="317" spans="2:15" x14ac:dyDescent="0.3">
      <c r="C317" s="11">
        <v>3</v>
      </c>
      <c r="D317" s="14">
        <v>9</v>
      </c>
      <c r="E317" s="71">
        <f>J305</f>
        <v>1.3819999999999999</v>
      </c>
      <c r="F317" s="71">
        <f>K306</f>
        <v>1.522</v>
      </c>
      <c r="G317" s="71">
        <f>E317*$G$313</f>
        <v>7.6009999999999991</v>
      </c>
      <c r="H317" s="71">
        <f>F317*$G$313</f>
        <v>8.3710000000000004</v>
      </c>
      <c r="I317" s="71">
        <f>G317-G318</f>
        <v>2.1235499999999989</v>
      </c>
      <c r="J317" s="71">
        <f>H317-H318</f>
        <v>2.4084500000000002</v>
      </c>
      <c r="K317" s="11">
        <f>I317/300</f>
        <v>7.0784999999999963E-3</v>
      </c>
      <c r="L317" s="11">
        <f>J317/300</f>
        <v>8.0281666666666678E-3</v>
      </c>
      <c r="M317" s="11">
        <v>0.02</v>
      </c>
      <c r="N317" s="71">
        <f>M317*300</f>
        <v>6</v>
      </c>
    </row>
    <row r="318" spans="2:15" x14ac:dyDescent="0.3">
      <c r="C318" s="11">
        <v>2</v>
      </c>
      <c r="D318" s="14">
        <v>6</v>
      </c>
      <c r="E318" s="71">
        <f>J307</f>
        <v>0.99590000000000001</v>
      </c>
      <c r="F318" s="71">
        <f>K308</f>
        <v>1.0841000000000001</v>
      </c>
      <c r="G318" s="71">
        <f t="shared" ref="G318:G320" si="16">E318*$G$313</f>
        <v>5.4774500000000002</v>
      </c>
      <c r="H318" s="71">
        <f t="shared" ref="H318:H320" si="17">F318*$G$313</f>
        <v>5.9625500000000002</v>
      </c>
      <c r="I318" s="71">
        <f>G318-G319</f>
        <v>3.1735000000000002</v>
      </c>
      <c r="J318" s="71">
        <f t="shared" ref="J318:J320" si="18">H318-H319</f>
        <v>3.4941500000000003</v>
      </c>
      <c r="K318" s="11">
        <f t="shared" ref="K318:K320" si="19">I318/300</f>
        <v>1.0578333333333334E-2</v>
      </c>
      <c r="L318" s="11">
        <f t="shared" ref="L318:L320" si="20">J318/300</f>
        <v>1.1647166666666669E-2</v>
      </c>
      <c r="M318" s="11">
        <v>0.02</v>
      </c>
      <c r="N318" s="71">
        <f t="shared" ref="N318:N320" si="21">M318*300</f>
        <v>6</v>
      </c>
    </row>
    <row r="319" spans="2:15" x14ac:dyDescent="0.3">
      <c r="C319" s="11">
        <v>1</v>
      </c>
      <c r="D319" s="14">
        <v>3</v>
      </c>
      <c r="E319" s="71">
        <f>J309</f>
        <v>0.41889999999999999</v>
      </c>
      <c r="F319" s="71">
        <f>K310</f>
        <v>0.44879999999999998</v>
      </c>
      <c r="G319" s="71">
        <f t="shared" si="16"/>
        <v>2.3039499999999999</v>
      </c>
      <c r="H319" s="71">
        <f t="shared" si="17"/>
        <v>2.4683999999999999</v>
      </c>
      <c r="I319" s="71">
        <f t="shared" ref="I319:I320" si="22">G319-G320</f>
        <v>2.3039499999999999</v>
      </c>
      <c r="J319" s="71">
        <f t="shared" si="18"/>
        <v>2.4683999999999999</v>
      </c>
      <c r="K319" s="11">
        <f t="shared" si="19"/>
        <v>7.6798333333333328E-3</v>
      </c>
      <c r="L319" s="11">
        <f t="shared" si="20"/>
        <v>8.2279999999999992E-3</v>
      </c>
      <c r="M319" s="11">
        <v>0.02</v>
      </c>
      <c r="N319" s="71">
        <f t="shared" si="21"/>
        <v>6</v>
      </c>
    </row>
    <row r="320" spans="2:15" x14ac:dyDescent="0.3">
      <c r="C320" s="11" t="s">
        <v>262</v>
      </c>
      <c r="D320" s="14">
        <v>0</v>
      </c>
      <c r="E320" s="71">
        <v>0</v>
      </c>
      <c r="F320" s="71">
        <v>0</v>
      </c>
      <c r="G320" s="71">
        <f t="shared" si="16"/>
        <v>0</v>
      </c>
      <c r="H320" s="71">
        <f t="shared" si="17"/>
        <v>0</v>
      </c>
      <c r="I320" s="71">
        <f t="shared" si="22"/>
        <v>0</v>
      </c>
      <c r="J320" s="71">
        <f t="shared" si="18"/>
        <v>0</v>
      </c>
      <c r="K320" s="11">
        <f t="shared" si="19"/>
        <v>0</v>
      </c>
      <c r="L320" s="11">
        <f t="shared" si="20"/>
        <v>0</v>
      </c>
      <c r="M320" s="11">
        <v>0.02</v>
      </c>
      <c r="N320" s="71">
        <f t="shared" si="21"/>
        <v>6</v>
      </c>
    </row>
  </sheetData>
  <mergeCells count="92">
    <mergeCell ref="H210:H211"/>
    <mergeCell ref="I210:I211"/>
    <mergeCell ref="B210:B211"/>
    <mergeCell ref="C210:C211"/>
    <mergeCell ref="E210:E211"/>
    <mergeCell ref="F210:F211"/>
    <mergeCell ref="G210:G211"/>
    <mergeCell ref="C184:D184"/>
    <mergeCell ref="D177:E177"/>
    <mergeCell ref="A10:B10"/>
    <mergeCell ref="A9:B9"/>
    <mergeCell ref="A22:C22"/>
    <mergeCell ref="A57:C57"/>
    <mergeCell ref="A33:D33"/>
    <mergeCell ref="A40:C40"/>
    <mergeCell ref="A44:B44"/>
    <mergeCell ref="A54:B54"/>
    <mergeCell ref="C54:E54"/>
    <mergeCell ref="A179:B179"/>
    <mergeCell ref="E22:F22"/>
    <mergeCell ref="A29:B29"/>
    <mergeCell ref="A12:B12"/>
    <mergeCell ref="A14:B14"/>
    <mergeCell ref="A4:B4"/>
    <mergeCell ref="A5:B5"/>
    <mergeCell ref="A6:B6"/>
    <mergeCell ref="A7:B7"/>
    <mergeCell ref="A8:B8"/>
    <mergeCell ref="A15:B15"/>
    <mergeCell ref="A17:B17"/>
    <mergeCell ref="A18:B18"/>
    <mergeCell ref="A170:B170"/>
    <mergeCell ref="A64:D64"/>
    <mergeCell ref="F196:F197"/>
    <mergeCell ref="G196:G197"/>
    <mergeCell ref="H196:H197"/>
    <mergeCell ref="I196:I197"/>
    <mergeCell ref="A194:B194"/>
    <mergeCell ref="B196:B197"/>
    <mergeCell ref="C196:C197"/>
    <mergeCell ref="E196:E197"/>
    <mergeCell ref="C195:E195"/>
    <mergeCell ref="A224:B224"/>
    <mergeCell ref="C226:C227"/>
    <mergeCell ref="D226:D227"/>
    <mergeCell ref="F226:F227"/>
    <mergeCell ref="G226:G227"/>
    <mergeCell ref="N226:N227"/>
    <mergeCell ref="O226:O227"/>
    <mergeCell ref="P226:P227"/>
    <mergeCell ref="Q226:Q227"/>
    <mergeCell ref="H226:H227"/>
    <mergeCell ref="I226:I227"/>
    <mergeCell ref="J226:J227"/>
    <mergeCell ref="K226:K227"/>
    <mergeCell ref="L226:L227"/>
    <mergeCell ref="A240:D240"/>
    <mergeCell ref="C242:C243"/>
    <mergeCell ref="D242:D243"/>
    <mergeCell ref="A249:D249"/>
    <mergeCell ref="M226:M227"/>
    <mergeCell ref="C251:C252"/>
    <mergeCell ref="D251:D252"/>
    <mergeCell ref="E251:E252"/>
    <mergeCell ref="F251:F252"/>
    <mergeCell ref="G251:G252"/>
    <mergeCell ref="C272:C273"/>
    <mergeCell ref="D272:D273"/>
    <mergeCell ref="E272:E273"/>
    <mergeCell ref="F272:F273"/>
    <mergeCell ref="G272:G273"/>
    <mergeCell ref="G303:G304"/>
    <mergeCell ref="H303:H304"/>
    <mergeCell ref="I303:I304"/>
    <mergeCell ref="L263:M263"/>
    <mergeCell ref="L264:M264"/>
    <mergeCell ref="L55:M55"/>
    <mergeCell ref="L58:M58"/>
    <mergeCell ref="L57:M57"/>
    <mergeCell ref="E315:F315"/>
    <mergeCell ref="C302:E302"/>
    <mergeCell ref="G315:H315"/>
    <mergeCell ref="I315:J315"/>
    <mergeCell ref="K315:L315"/>
    <mergeCell ref="L284:M284"/>
    <mergeCell ref="L285:M285"/>
    <mergeCell ref="A271:D271"/>
    <mergeCell ref="B303:B304"/>
    <mergeCell ref="C303:C304"/>
    <mergeCell ref="D303:D304"/>
    <mergeCell ref="E303:E304"/>
    <mergeCell ref="F303:F30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D8A4-EC37-474C-9F74-F8B41F6395C1}">
  <dimension ref="A4:N72"/>
  <sheetViews>
    <sheetView topLeftCell="A49" workbookViewId="0">
      <selection activeCell="E35" sqref="E35"/>
    </sheetView>
  </sheetViews>
  <sheetFormatPr baseColWidth="10" defaultRowHeight="16.5" x14ac:dyDescent="0.3"/>
  <cols>
    <col min="1" max="1" width="17.5703125" customWidth="1"/>
  </cols>
  <sheetData>
    <row r="4" spans="1:12" x14ac:dyDescent="0.3">
      <c r="A4" s="91" t="s">
        <v>284</v>
      </c>
      <c r="B4" s="91"/>
    </row>
    <row r="6" spans="1:12" x14ac:dyDescent="0.3">
      <c r="A6" t="s">
        <v>309</v>
      </c>
      <c r="B6" s="81">
        <v>50</v>
      </c>
    </row>
    <row r="7" spans="1:12" x14ac:dyDescent="0.3">
      <c r="A7" t="s">
        <v>311</v>
      </c>
      <c r="B7" s="81">
        <v>35</v>
      </c>
    </row>
    <row r="9" spans="1:12" x14ac:dyDescent="0.3">
      <c r="A9" s="87" t="s">
        <v>331</v>
      </c>
      <c r="B9" s="87"/>
      <c r="C9" s="90" t="s">
        <v>293</v>
      </c>
      <c r="D9" s="90"/>
      <c r="E9" s="90"/>
      <c r="F9" s="90"/>
      <c r="G9" s="90"/>
      <c r="H9" s="90"/>
    </row>
    <row r="10" spans="1:12" x14ac:dyDescent="0.3">
      <c r="A10" s="19" t="s">
        <v>290</v>
      </c>
      <c r="B10" s="75">
        <v>14.34</v>
      </c>
      <c r="K10" s="47" t="s">
        <v>286</v>
      </c>
      <c r="L10" s="47" t="s">
        <v>287</v>
      </c>
    </row>
    <row r="11" spans="1:12" x14ac:dyDescent="0.3">
      <c r="A11" s="19" t="s">
        <v>291</v>
      </c>
      <c r="B11" s="75">
        <f>B10/2</f>
        <v>7.17</v>
      </c>
      <c r="F11" t="s">
        <v>288</v>
      </c>
      <c r="G11" s="90" t="s">
        <v>294</v>
      </c>
      <c r="H11" s="90"/>
      <c r="K11" s="11"/>
      <c r="L11" s="11"/>
    </row>
    <row r="12" spans="1:12" x14ac:dyDescent="0.3">
      <c r="A12" s="19" t="s">
        <v>292</v>
      </c>
      <c r="B12" s="75">
        <v>7.7</v>
      </c>
      <c r="K12" s="11">
        <v>3</v>
      </c>
      <c r="L12" s="74">
        <v>0.71</v>
      </c>
    </row>
    <row r="13" spans="1:12" x14ac:dyDescent="0.3">
      <c r="A13" s="19" t="s">
        <v>285</v>
      </c>
      <c r="B13" s="79">
        <f>B12/L15</f>
        <v>2.7017543859649122</v>
      </c>
      <c r="C13" t="s">
        <v>295</v>
      </c>
      <c r="D13" s="77">
        <v>3</v>
      </c>
      <c r="F13" s="76"/>
      <c r="K13" s="11">
        <v>4</v>
      </c>
      <c r="L13" s="74">
        <v>1.27</v>
      </c>
    </row>
    <row r="14" spans="1:12" x14ac:dyDescent="0.3">
      <c r="A14" s="19" t="s">
        <v>297</v>
      </c>
      <c r="B14" s="75">
        <f>3*L15</f>
        <v>8.5500000000000007</v>
      </c>
      <c r="D14" s="78">
        <v>3</v>
      </c>
      <c r="K14" s="11">
        <v>5</v>
      </c>
      <c r="L14" s="74">
        <v>1.99</v>
      </c>
    </row>
    <row r="15" spans="1:12" x14ac:dyDescent="0.3">
      <c r="K15" s="11">
        <v>6</v>
      </c>
      <c r="L15" s="74">
        <v>2.85</v>
      </c>
    </row>
    <row r="16" spans="1:12" x14ac:dyDescent="0.3">
      <c r="K16" s="11">
        <v>7</v>
      </c>
      <c r="L16" s="74">
        <v>3.88</v>
      </c>
    </row>
    <row r="17" spans="1:13" x14ac:dyDescent="0.3">
      <c r="K17" s="11">
        <v>8</v>
      </c>
      <c r="L17" s="74">
        <v>5.0999999999999996</v>
      </c>
    </row>
    <row r="18" spans="1:13" x14ac:dyDescent="0.3">
      <c r="A18" s="87" t="s">
        <v>332</v>
      </c>
      <c r="B18" s="87"/>
      <c r="K18" s="11">
        <v>10</v>
      </c>
      <c r="L18" s="74">
        <v>8.19</v>
      </c>
    </row>
    <row r="19" spans="1:13" x14ac:dyDescent="0.3">
      <c r="A19" s="90" t="s">
        <v>296</v>
      </c>
      <c r="B19" s="90"/>
      <c r="C19" s="90"/>
      <c r="D19" s="90"/>
    </row>
    <row r="21" spans="1:13" x14ac:dyDescent="0.3">
      <c r="A21" s="19" t="s">
        <v>298</v>
      </c>
      <c r="B21" s="75">
        <f>B10-B14</f>
        <v>5.7899999999999991</v>
      </c>
      <c r="F21" t="s">
        <v>288</v>
      </c>
      <c r="G21" s="90" t="s">
        <v>299</v>
      </c>
      <c r="H21" s="90"/>
    </row>
    <row r="22" spans="1:13" x14ac:dyDescent="0.3">
      <c r="A22" s="19" t="s">
        <v>285</v>
      </c>
      <c r="B22" s="80">
        <f>B21/L15</f>
        <v>2.0315789473684207</v>
      </c>
      <c r="C22" t="s">
        <v>295</v>
      </c>
      <c r="D22" s="77">
        <v>2</v>
      </c>
    </row>
    <row r="24" spans="1:13" x14ac:dyDescent="0.3">
      <c r="A24" s="19" t="s">
        <v>310</v>
      </c>
      <c r="B24" s="81">
        <v>525</v>
      </c>
    </row>
    <row r="25" spans="1:13" x14ac:dyDescent="0.3">
      <c r="A25" s="19" t="s">
        <v>300</v>
      </c>
      <c r="B25" s="82">
        <f>B24/4</f>
        <v>131.25</v>
      </c>
    </row>
    <row r="28" spans="1:13" x14ac:dyDescent="0.3">
      <c r="A28" s="42" t="s">
        <v>301</v>
      </c>
      <c r="B28" s="42"/>
    </row>
    <row r="29" spans="1:13" x14ac:dyDescent="0.3">
      <c r="A29" t="s">
        <v>302</v>
      </c>
    </row>
    <row r="30" spans="1:13" x14ac:dyDescent="0.3">
      <c r="E30" s="90" t="s">
        <v>312</v>
      </c>
      <c r="F30" s="90"/>
      <c r="G30" s="90"/>
      <c r="H30" s="90"/>
      <c r="I30" s="90"/>
      <c r="J30" s="90"/>
      <c r="K30" s="90"/>
      <c r="L30" s="90"/>
      <c r="M30" s="90"/>
    </row>
    <row r="31" spans="1:13" x14ac:dyDescent="0.3">
      <c r="A31" s="19" t="s">
        <v>303</v>
      </c>
      <c r="B31" s="83">
        <v>0.20630000000000001</v>
      </c>
    </row>
    <row r="32" spans="1:13" x14ac:dyDescent="0.3">
      <c r="A32" s="19" t="s">
        <v>304</v>
      </c>
      <c r="B32" s="75">
        <f>2*L12</f>
        <v>1.42</v>
      </c>
      <c r="C32" t="s">
        <v>306</v>
      </c>
    </row>
    <row r="33" spans="1:14" x14ac:dyDescent="0.3">
      <c r="A33" s="19" t="s">
        <v>305</v>
      </c>
      <c r="B33" s="82">
        <f>B32/B31</f>
        <v>6.8831798351914681</v>
      </c>
    </row>
    <row r="34" spans="1:14" x14ac:dyDescent="0.3">
      <c r="A34" s="88" t="s">
        <v>308</v>
      </c>
      <c r="B34" s="88"/>
      <c r="C34" s="82">
        <f>B6*2</f>
        <v>100</v>
      </c>
    </row>
    <row r="37" spans="1:14" x14ac:dyDescent="0.3">
      <c r="A37" s="87" t="s">
        <v>313</v>
      </c>
      <c r="B37" s="87"/>
    </row>
    <row r="38" spans="1:14" x14ac:dyDescent="0.3">
      <c r="A38" s="90" t="s">
        <v>314</v>
      </c>
      <c r="B38" s="90"/>
      <c r="C38" s="90"/>
      <c r="D38" s="90"/>
      <c r="E38" s="90"/>
    </row>
    <row r="40" spans="1:14" x14ac:dyDescent="0.3">
      <c r="A40" s="19" t="s">
        <v>315</v>
      </c>
      <c r="B40" s="75">
        <v>11.95</v>
      </c>
      <c r="E40" s="90" t="s">
        <v>317</v>
      </c>
      <c r="F40" s="90"/>
      <c r="G40" s="90"/>
      <c r="H40" s="90"/>
      <c r="I40" s="90"/>
      <c r="J40" s="90"/>
      <c r="K40" s="90"/>
      <c r="L40" s="90"/>
      <c r="M40" s="90"/>
      <c r="N40" s="90"/>
    </row>
    <row r="41" spans="1:14" x14ac:dyDescent="0.3">
      <c r="A41" s="19" t="s">
        <v>316</v>
      </c>
      <c r="B41" s="84">
        <f>B40/L14</f>
        <v>6.0050251256281406</v>
      </c>
      <c r="C41" t="s">
        <v>289</v>
      </c>
    </row>
    <row r="45" spans="1:14" x14ac:dyDescent="0.3">
      <c r="A45" s="91" t="s">
        <v>318</v>
      </c>
      <c r="B45" s="91"/>
    </row>
    <row r="47" spans="1:14" x14ac:dyDescent="0.3">
      <c r="A47" s="90" t="s">
        <v>319</v>
      </c>
      <c r="B47" s="90"/>
      <c r="C47" s="90"/>
      <c r="D47" s="90"/>
      <c r="E47" s="90"/>
      <c r="F47" s="90"/>
      <c r="G47" s="90"/>
      <c r="H47" s="90"/>
    </row>
    <row r="49" spans="1:6" x14ac:dyDescent="0.3">
      <c r="A49" s="87" t="s">
        <v>320</v>
      </c>
      <c r="B49" s="87"/>
    </row>
    <row r="50" spans="1:6" x14ac:dyDescent="0.3">
      <c r="A50" s="11" t="s">
        <v>24</v>
      </c>
      <c r="B50" s="81">
        <v>300</v>
      </c>
    </row>
    <row r="51" spans="1:6" x14ac:dyDescent="0.3">
      <c r="A51" s="11" t="s">
        <v>307</v>
      </c>
      <c r="B51" s="82">
        <f>B50/6</f>
        <v>50</v>
      </c>
    </row>
    <row r="54" spans="1:6" x14ac:dyDescent="0.3">
      <c r="A54" s="91" t="s">
        <v>321</v>
      </c>
      <c r="B54" s="91"/>
    </row>
    <row r="55" spans="1:6" x14ac:dyDescent="0.3">
      <c r="D55" s="90" t="s">
        <v>328</v>
      </c>
      <c r="E55" s="90"/>
      <c r="F55" s="90"/>
    </row>
    <row r="56" spans="1:6" x14ac:dyDescent="0.3">
      <c r="A56" s="87" t="s">
        <v>322</v>
      </c>
      <c r="B56" s="87"/>
    </row>
    <row r="57" spans="1:6" x14ac:dyDescent="0.3">
      <c r="A57" s="110" t="s">
        <v>326</v>
      </c>
      <c r="B57" s="110"/>
      <c r="C57" s="110"/>
      <c r="D57" s="110"/>
      <c r="E57" s="110"/>
      <c r="F57" s="110"/>
    </row>
    <row r="59" spans="1:6" x14ac:dyDescent="0.3">
      <c r="A59" s="11" t="s">
        <v>323</v>
      </c>
      <c r="B59" s="83">
        <v>32</v>
      </c>
    </row>
    <row r="60" spans="1:6" x14ac:dyDescent="0.3">
      <c r="A60" s="11" t="s">
        <v>324</v>
      </c>
      <c r="B60" s="81">
        <v>425</v>
      </c>
    </row>
    <row r="61" spans="1:6" x14ac:dyDescent="0.3">
      <c r="A61" s="11" t="s">
        <v>325</v>
      </c>
      <c r="B61" s="82">
        <f>B60/(B59-1)</f>
        <v>13.709677419354838</v>
      </c>
    </row>
    <row r="62" spans="1:6" x14ac:dyDescent="0.3">
      <c r="A62" s="11" t="s">
        <v>330</v>
      </c>
      <c r="B62" s="82">
        <f>B60/4</f>
        <v>106.25</v>
      </c>
    </row>
    <row r="64" spans="1:6" x14ac:dyDescent="0.3">
      <c r="A64" s="87" t="s">
        <v>329</v>
      </c>
      <c r="B64" s="87"/>
    </row>
    <row r="65" spans="1:7" x14ac:dyDescent="0.3">
      <c r="A65" s="110" t="s">
        <v>327</v>
      </c>
      <c r="B65" s="110"/>
      <c r="C65" s="110"/>
      <c r="D65" s="110"/>
      <c r="E65" s="110"/>
      <c r="F65" s="110"/>
    </row>
    <row r="66" spans="1:7" x14ac:dyDescent="0.3">
      <c r="G66" s="85"/>
    </row>
    <row r="67" spans="1:7" x14ac:dyDescent="0.3">
      <c r="A67" s="11" t="s">
        <v>323</v>
      </c>
      <c r="B67" s="83">
        <v>18</v>
      </c>
      <c r="G67" s="85"/>
    </row>
    <row r="68" spans="1:7" x14ac:dyDescent="0.3">
      <c r="A68" s="11" t="s">
        <v>324</v>
      </c>
      <c r="B68" s="81">
        <v>525</v>
      </c>
      <c r="G68" s="85"/>
    </row>
    <row r="69" spans="1:7" x14ac:dyDescent="0.3">
      <c r="A69" s="11" t="s">
        <v>325</v>
      </c>
      <c r="B69" s="82">
        <f>B68/(B67-1)</f>
        <v>30.882352941176471</v>
      </c>
      <c r="G69" s="85"/>
    </row>
    <row r="70" spans="1:7" x14ac:dyDescent="0.3">
      <c r="G70" s="85"/>
    </row>
    <row r="71" spans="1:7" x14ac:dyDescent="0.3">
      <c r="G71" s="85"/>
    </row>
    <row r="72" spans="1:7" x14ac:dyDescent="0.3">
      <c r="G72" s="86"/>
    </row>
  </sheetData>
  <mergeCells count="21">
    <mergeCell ref="A19:D19"/>
    <mergeCell ref="A54:B54"/>
    <mergeCell ref="A56:B56"/>
    <mergeCell ref="A37:B37"/>
    <mergeCell ref="A38:E38"/>
    <mergeCell ref="E40:N40"/>
    <mergeCell ref="A45:B45"/>
    <mergeCell ref="A47:H47"/>
    <mergeCell ref="A49:B49"/>
    <mergeCell ref="A4:B4"/>
    <mergeCell ref="A9:B9"/>
    <mergeCell ref="C9:H9"/>
    <mergeCell ref="G11:H11"/>
    <mergeCell ref="A18:B18"/>
    <mergeCell ref="A64:B64"/>
    <mergeCell ref="A57:F57"/>
    <mergeCell ref="A65:F65"/>
    <mergeCell ref="D55:F55"/>
    <mergeCell ref="G21:H21"/>
    <mergeCell ref="E30:M30"/>
    <mergeCell ref="A34:B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PREDIMENCIONAMIENTO</vt:lpstr>
      <vt:lpstr>ESPECTRO</vt:lpstr>
      <vt:lpstr>CALCULO DE ACERO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Francisco Tzunun</dc:creator>
  <cp:lastModifiedBy>Marlon Ivan Carreto Rivera</cp:lastModifiedBy>
  <dcterms:created xsi:type="dcterms:W3CDTF">2025-03-03T16:16:31Z</dcterms:created>
  <dcterms:modified xsi:type="dcterms:W3CDTF">2025-06-26T19:04:55Z</dcterms:modified>
</cp:coreProperties>
</file>