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дз и прочее\3 курс\"/>
    </mc:Choice>
  </mc:AlternateContent>
  <xr:revisionPtr revIDLastSave="0" documentId="13_ncr:1_{217409BE-C0D1-4A60-8FD8-B15E774552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Лаб1" sheetId="1" r:id="rId1"/>
    <sheet name="Лаб2" sheetId="2" r:id="rId2"/>
    <sheet name="Лаб3" sheetId="3" r:id="rId3"/>
    <sheet name="Лаб4" sheetId="4" r:id="rId4"/>
    <sheet name="Регрессия к лаб4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D32" i="4" l="1"/>
  <c r="B17" i="4"/>
  <c r="B18" i="4" s="1"/>
  <c r="E12" i="4"/>
  <c r="D12" i="4"/>
  <c r="E11" i="4"/>
  <c r="D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B16" i="1"/>
  <c r="C16" i="1"/>
  <c r="B34" i="1"/>
  <c r="G47" i="1" s="1"/>
  <c r="C21" i="3"/>
  <c r="Q13" i="3" s="1"/>
  <c r="Q12" i="3"/>
  <c r="S5" i="3"/>
  <c r="S6" i="3"/>
  <c r="S7" i="3"/>
  <c r="S8" i="3"/>
  <c r="S9" i="3"/>
  <c r="S10" i="3"/>
  <c r="S4" i="3"/>
  <c r="R11" i="3"/>
  <c r="Q11" i="3"/>
  <c r="C22" i="3"/>
  <c r="D20" i="3"/>
  <c r="C20" i="3"/>
  <c r="D19" i="3"/>
  <c r="C19" i="3"/>
  <c r="D18" i="3"/>
  <c r="C18" i="3"/>
  <c r="T28" i="2"/>
  <c r="N30" i="2"/>
  <c r="N22" i="2"/>
  <c r="N18" i="2"/>
  <c r="R18" i="2"/>
  <c r="W22" i="2"/>
  <c r="W16" i="2"/>
  <c r="W17" i="2"/>
  <c r="W18" i="2"/>
  <c r="W19" i="2"/>
  <c r="W20" i="2"/>
  <c r="W21" i="2"/>
  <c r="W15" i="2"/>
  <c r="V16" i="2"/>
  <c r="V17" i="2"/>
  <c r="V18" i="2"/>
  <c r="V19" i="2"/>
  <c r="V20" i="2"/>
  <c r="V21" i="2"/>
  <c r="V15" i="2"/>
  <c r="V22" i="2" s="1"/>
  <c r="R19" i="2"/>
  <c r="N19" i="2"/>
  <c r="R16" i="2"/>
  <c r="R17" i="2" s="1"/>
  <c r="N17" i="2"/>
  <c r="N16" i="2"/>
  <c r="H5" i="2"/>
  <c r="H6" i="2"/>
  <c r="H7" i="2"/>
  <c r="H8" i="2"/>
  <c r="H9" i="2"/>
  <c r="H10" i="2"/>
  <c r="H4" i="2"/>
  <c r="F4" i="2"/>
  <c r="G4" i="2"/>
  <c r="G5" i="2" s="1"/>
  <c r="G6" i="2" s="1"/>
  <c r="G7" i="2" s="1"/>
  <c r="G8" i="2" s="1"/>
  <c r="F5" i="2"/>
  <c r="F6" i="2"/>
  <c r="F7" i="2" s="1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H11" i="4" l="1"/>
  <c r="B25" i="4"/>
  <c r="D31" i="4" s="1"/>
  <c r="F11" i="4"/>
  <c r="F12" i="4"/>
  <c r="G12" i="4"/>
  <c r="H12" i="4"/>
  <c r="G11" i="4"/>
  <c r="V24" i="2"/>
  <c r="G9" i="2"/>
  <c r="F8" i="2"/>
  <c r="L13" i="2"/>
  <c r="B15" i="4" l="1"/>
  <c r="B16" i="4" s="1"/>
  <c r="G10" i="2"/>
  <c r="I9" i="2" s="1"/>
  <c r="I5" i="2"/>
  <c r="F9" i="2"/>
  <c r="I10" i="2" l="1"/>
  <c r="I8" i="2"/>
  <c r="I7" i="2"/>
  <c r="I4" i="2"/>
  <c r="J4" i="2" s="1"/>
  <c r="I6" i="2"/>
  <c r="F10" i="2"/>
  <c r="J10" i="2" s="1"/>
  <c r="J7" i="2"/>
  <c r="J8" i="2" l="1"/>
  <c r="J5" i="2"/>
  <c r="J6" i="2"/>
  <c r="J9" i="2"/>
  <c r="D15" i="2" l="1"/>
  <c r="D18" i="2" s="1"/>
  <c r="D13" i="2" l="1"/>
  <c r="D14" i="2"/>
  <c r="D17" i="2" s="1"/>
  <c r="D16" i="2" l="1"/>
  <c r="D19" i="2" s="1"/>
  <c r="D20" i="2"/>
  <c r="B36" i="1"/>
  <c r="B35" i="1"/>
  <c r="G38" i="1"/>
  <c r="E39" i="1" l="1"/>
  <c r="B10" i="1"/>
  <c r="H16" i="1"/>
  <c r="H18" i="1" s="1"/>
  <c r="G16" i="1"/>
  <c r="G18" i="1" s="1"/>
  <c r="F16" i="1"/>
  <c r="F18" i="1" s="1"/>
  <c r="E16" i="1"/>
  <c r="D16" i="1"/>
  <c r="D18" i="1" s="1"/>
  <c r="C18" i="1"/>
  <c r="B18" i="1"/>
  <c r="B19" i="1" s="1"/>
  <c r="B9" i="1"/>
  <c r="I16" i="1" l="1"/>
  <c r="E18" i="1"/>
  <c r="C19" i="1"/>
  <c r="D19" i="1" s="1"/>
  <c r="B17" i="1"/>
  <c r="C17" i="1" s="1"/>
  <c r="D17" i="1" s="1"/>
  <c r="E17" i="1" s="1"/>
  <c r="F17" i="1" s="1"/>
  <c r="G17" i="1" s="1"/>
  <c r="H17" i="1" s="1"/>
  <c r="E40" i="1"/>
  <c r="B38" i="1"/>
  <c r="B37" i="1"/>
  <c r="G39" i="1"/>
  <c r="B13" i="1"/>
  <c r="E41" i="1" l="1"/>
  <c r="E19" i="1"/>
  <c r="F19" i="1" s="1"/>
  <c r="G19" i="1" s="1"/>
  <c r="H19" i="1" s="1"/>
  <c r="L39" i="1"/>
  <c r="A51" i="1"/>
  <c r="D52" i="1"/>
  <c r="F50" i="1"/>
  <c r="H48" i="1"/>
  <c r="J38" i="1"/>
  <c r="A49" i="1"/>
  <c r="B52" i="1"/>
  <c r="F48" i="1"/>
  <c r="I38" i="1"/>
  <c r="A48" i="1"/>
  <c r="C50" i="1"/>
  <c r="E48" i="1"/>
  <c r="B51" i="1"/>
  <c r="K42" i="1"/>
  <c r="L43" i="1"/>
  <c r="H51" i="1"/>
  <c r="C48" i="1"/>
  <c r="J42" i="1"/>
  <c r="K43" i="1"/>
  <c r="G51" i="1"/>
  <c r="B48" i="1"/>
  <c r="I42" i="1"/>
  <c r="G44" i="1"/>
  <c r="F51" i="1"/>
  <c r="H49" i="1"/>
  <c r="D50" i="1"/>
  <c r="L41" i="1"/>
  <c r="G43" i="1"/>
  <c r="E51" i="1"/>
  <c r="G49" i="1"/>
  <c r="C51" i="1"/>
  <c r="E49" i="1"/>
  <c r="M40" i="1"/>
  <c r="F47" i="1"/>
  <c r="J41" i="1"/>
  <c r="D49" i="1"/>
  <c r="K40" i="1"/>
  <c r="A47" i="1"/>
  <c r="G52" i="1"/>
  <c r="B49" i="1"/>
  <c r="D47" i="1"/>
  <c r="N39" i="1"/>
  <c r="A53" i="1"/>
  <c r="F52" i="1"/>
  <c r="H50" i="1"/>
  <c r="C47" i="1"/>
  <c r="M39" i="1"/>
  <c r="A52" i="1"/>
  <c r="E52" i="1"/>
  <c r="G50" i="1"/>
  <c r="B47" i="1"/>
  <c r="H38" i="1"/>
  <c r="L40" i="1"/>
  <c r="M43" i="1"/>
  <c r="H52" i="1"/>
  <c r="B50" i="1"/>
  <c r="C49" i="1"/>
  <c r="D48" i="1"/>
  <c r="E47" i="1"/>
  <c r="K41" i="1"/>
  <c r="A50" i="1"/>
  <c r="B53" i="1"/>
  <c r="C52" i="1"/>
  <c r="D51" i="1"/>
  <c r="E50" i="1"/>
  <c r="F49" i="1"/>
  <c r="G48" i="1"/>
  <c r="H47" i="1"/>
  <c r="G42" i="1"/>
  <c r="H42" i="1"/>
  <c r="I41" i="1"/>
  <c r="J40" i="1"/>
  <c r="K39" i="1"/>
  <c r="J43" i="1"/>
  <c r="G41" i="1"/>
  <c r="N38" i="1"/>
  <c r="H41" i="1"/>
  <c r="I40" i="1"/>
  <c r="J39" i="1"/>
  <c r="H44" i="1"/>
  <c r="I43" i="1"/>
  <c r="G40" i="1"/>
  <c r="M38" i="1"/>
  <c r="N42" i="1"/>
  <c r="H40" i="1"/>
  <c r="I39" i="1"/>
  <c r="H43" i="1"/>
  <c r="L38" i="1"/>
  <c r="M42" i="1"/>
  <c r="N41" i="1"/>
  <c r="H39" i="1"/>
  <c r="K38" i="1"/>
  <c r="L42" i="1"/>
  <c r="M41" i="1"/>
  <c r="N40" i="1"/>
  <c r="N43" i="1"/>
  <c r="D46" i="1" l="1"/>
  <c r="E38" i="1"/>
  <c r="B55" i="1"/>
  <c r="B11" i="1"/>
  <c r="E42" i="1" s="1"/>
</calcChain>
</file>

<file path=xl/sharedStrings.xml><?xml version="1.0" encoding="utf-8"?>
<sst xmlns="http://schemas.openxmlformats.org/spreadsheetml/2006/main" count="183" uniqueCount="127">
  <si>
    <t>Минимум</t>
  </si>
  <si>
    <t>Максимум</t>
  </si>
  <si>
    <t>R</t>
  </si>
  <si>
    <t>N</t>
  </si>
  <si>
    <t>K</t>
  </si>
  <si>
    <t>гистограмма</t>
  </si>
  <si>
    <t xml:space="preserve">Среднее арифметическое </t>
  </si>
  <si>
    <t>Среднее гармоническое</t>
  </si>
  <si>
    <t>Среднее геометрическое</t>
  </si>
  <si>
    <t>мода</t>
  </si>
  <si>
    <t>медиана</t>
  </si>
  <si>
    <t>мат ожидание</t>
  </si>
  <si>
    <t>дисперсия</t>
  </si>
  <si>
    <t>стандартное отклонение</t>
  </si>
  <si>
    <t>коэфф вариации</t>
  </si>
  <si>
    <t>коэфф осилляции</t>
  </si>
  <si>
    <t xml:space="preserve">выборочный центральный момент 3го порядка </t>
  </si>
  <si>
    <t>коэфф ассиметрии</t>
  </si>
  <si>
    <t xml:space="preserve"> [14,11;14,20)</t>
  </si>
  <si>
    <t>[14,20;14,29)</t>
  </si>
  <si>
    <t>[14,29;14,38)</t>
  </si>
  <si>
    <t xml:space="preserve"> [14,38;14,47)</t>
  </si>
  <si>
    <t>[14,47;14;56)</t>
  </si>
  <si>
    <t>[14,56;14,65)</t>
  </si>
  <si>
    <t>[14,65;14;74)</t>
  </si>
  <si>
    <t>Частота</t>
  </si>
  <si>
    <t>Накоп частота</t>
  </si>
  <si>
    <t>Относит. Частота</t>
  </si>
  <si>
    <t>Накоп относит Частота</t>
  </si>
  <si>
    <t>Диапазон</t>
  </si>
  <si>
    <t>Мат ожидания</t>
  </si>
  <si>
    <t>f₀ - накопленные частоты</t>
  </si>
  <si>
    <t>e</t>
  </si>
  <si>
    <t>f₀</t>
  </si>
  <si>
    <r>
      <t>f</t>
    </r>
    <r>
      <rPr>
        <sz val="6"/>
        <color theme="1"/>
        <rFont val="Calibri"/>
        <family val="2"/>
        <charset val="204"/>
        <scheme val="minor"/>
      </rPr>
      <t>e</t>
    </r>
  </si>
  <si>
    <r>
      <t>f</t>
    </r>
    <r>
      <rPr>
        <sz val="8"/>
        <color theme="1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</rPr>
      <t>₀</t>
    </r>
  </si>
  <si>
    <r>
      <t>f*</t>
    </r>
    <r>
      <rPr>
        <sz val="6"/>
        <color theme="1"/>
        <rFont val="Calibri"/>
        <family val="2"/>
        <charset val="204"/>
        <scheme val="minor"/>
      </rPr>
      <t>e</t>
    </r>
  </si>
  <si>
    <t>d</t>
  </si>
  <si>
    <t>е - expected</t>
  </si>
  <si>
    <t xml:space="preserve">Dmax = </t>
  </si>
  <si>
    <t xml:space="preserve">n1 = </t>
  </si>
  <si>
    <t xml:space="preserve">n2 = </t>
  </si>
  <si>
    <t xml:space="preserve">n1*n2 = </t>
  </si>
  <si>
    <t xml:space="preserve">n1+n2 = </t>
  </si>
  <si>
    <t xml:space="preserve">n = </t>
  </si>
  <si>
    <t xml:space="preserve">k = </t>
  </si>
  <si>
    <t>вывод:</t>
  </si>
  <si>
    <t xml:space="preserve">хи  квадрат = </t>
  </si>
  <si>
    <t>D15*D14</t>
  </si>
  <si>
    <t>D15+D14</t>
  </si>
  <si>
    <t>D14+D15</t>
  </si>
  <si>
    <t>D13*КОРЕНЬ(D16/D17)</t>
  </si>
  <si>
    <t>1,36/КОРЕНЬ(D18)</t>
  </si>
  <si>
    <t>МАКС(G4:G10)</t>
  </si>
  <si>
    <t>МАКС(F4:F10)</t>
  </si>
  <si>
    <t>МАКС(J4:J10)</t>
  </si>
  <si>
    <t xml:space="preserve">лямбда = </t>
  </si>
  <si>
    <t>критерий колмогорова-смирнова</t>
  </si>
  <si>
    <t>лямбда и k не совпадают.</t>
  </si>
  <si>
    <t xml:space="preserve">дисперсия </t>
  </si>
  <si>
    <t>n1</t>
  </si>
  <si>
    <t>станд. Отклонение</t>
  </si>
  <si>
    <t>ошибка репрезентативно</t>
  </si>
  <si>
    <r>
      <t xml:space="preserve">СЛУЧАЙ НЕЗАВИСИМЫХ ВЫБОРОК </t>
    </r>
    <r>
      <rPr>
        <b/>
        <sz val="12"/>
        <color theme="1"/>
        <rFont val="Calibri"/>
        <family val="2"/>
        <charset val="204"/>
        <scheme val="minor"/>
      </rPr>
      <t>n1 = n2</t>
    </r>
  </si>
  <si>
    <t>ср знач</t>
  </si>
  <si>
    <t>n2</t>
  </si>
  <si>
    <t>сумма:</t>
  </si>
  <si>
    <t>t =</t>
  </si>
  <si>
    <r>
      <t>Вывод: т.к t-критерий Стьюдента меньше значений распределений Стьюдента, принимается гипотеза H</t>
    </r>
    <r>
      <rPr>
        <sz val="8"/>
        <color theme="1"/>
        <rFont val="Calibri"/>
        <family val="2"/>
        <charset val="204"/>
        <scheme val="minor"/>
      </rPr>
      <t>0</t>
    </r>
  </si>
  <si>
    <r>
      <t>т.к. лямбда &lt; 1,22, то принимается гипотеза H</t>
    </r>
    <r>
      <rPr>
        <sz val="8"/>
        <color theme="1"/>
        <rFont val="Calibri"/>
        <family val="2"/>
        <charset val="204"/>
        <scheme val="minor"/>
      </rPr>
      <t>0</t>
    </r>
  </si>
  <si>
    <t>сумма</t>
  </si>
  <si>
    <t>ср. знач</t>
  </si>
  <si>
    <t>F</t>
  </si>
  <si>
    <t>k</t>
  </si>
  <si>
    <t>Вывод:</t>
  </si>
  <si>
    <r>
      <t>для F критерия при k = 6 в обоих случая находим Fкрит = 4.28 , оно &gt;1.634, следовательно H</t>
    </r>
    <r>
      <rPr>
        <sz val="9"/>
        <color rgb="FF000000"/>
        <rFont val="Calibri"/>
        <family val="2"/>
        <charset val="204"/>
        <scheme val="minor"/>
      </rPr>
      <t>0</t>
    </r>
    <r>
      <rPr>
        <sz val="11"/>
        <color rgb="FF000000"/>
        <rFont val="Calibri"/>
        <family val="2"/>
        <charset val="204"/>
        <scheme val="minor"/>
      </rPr>
      <t xml:space="preserve"> должна быть принята. </t>
    </r>
  </si>
  <si>
    <t>хи квадрат</t>
  </si>
  <si>
    <t>откл. Пирсона</t>
  </si>
  <si>
    <r>
      <t xml:space="preserve">хи квадрат </t>
    </r>
    <r>
      <rPr>
        <sz val="8"/>
        <color theme="1"/>
        <rFont val="Times New Roman"/>
        <family val="1"/>
        <charset val="204"/>
      </rPr>
      <t>0,05</t>
    </r>
  </si>
  <si>
    <r>
      <t>наблюдаемое значение хи квадрат больше критического, следовательно H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отвергается</t>
    </r>
  </si>
  <si>
    <t>Гнеушев</t>
  </si>
  <si>
    <t>3ПКС-420</t>
  </si>
  <si>
    <t>Вариант 5</t>
  </si>
  <si>
    <t>оценим качество уравнения регрессии в целом с помощью критерия Фишера</t>
  </si>
  <si>
    <t>для оценки стат значимости коэффициентов регрессии и корреляции, расчитаем t-критерий Стьюдента</t>
  </si>
  <si>
    <t xml:space="preserve">t крит. Стьюдента = </t>
  </si>
  <si>
    <t xml:space="preserve">критическое значение критерия = </t>
  </si>
  <si>
    <t>ПОСТРОЕНИЕ ЛИНИИ РЕГРЕССИИ НА КОРРЕЛЯЦИОННОМ ПОЛЕ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</si>
  <si>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</si>
  <si>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</si>
  <si>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</si>
  <si>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</si>
  <si>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</si>
  <si>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</si>
  <si>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</si>
  <si>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</si>
  <si>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</si>
  <si>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</si>
  <si>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Значимость F</t>
  </si>
  <si>
    <t>Регрессия</t>
  </si>
  <si>
    <t>ВЫВОД ИТОГОВ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</si>
  <si>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</si>
  <si>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</si>
  <si>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</si>
  <si>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</si>
  <si>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</si>
  <si>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</si>
  <si>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</si>
  <si>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</si>
  <si>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</si>
  <si>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</si>
  <si>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</si>
  <si>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xi*yi</t>
  </si>
  <si>
    <t>x^2</t>
  </si>
  <si>
    <t>y^2</t>
  </si>
  <si>
    <t>суммы</t>
  </si>
  <si>
    <t>среднее</t>
  </si>
  <si>
    <t xml:space="preserve">b = </t>
  </si>
  <si>
    <t xml:space="preserve">a = </t>
  </si>
  <si>
    <t>кореляция</t>
  </si>
  <si>
    <t>детерминация</t>
  </si>
  <si>
    <t>тк Fэмп &gt; Fкрит, признается статическая значимость уравнения в целом</t>
  </si>
  <si>
    <r>
      <t>F</t>
    </r>
    <r>
      <rPr>
        <sz val="8"/>
        <color theme="1"/>
        <rFont val="Calibri"/>
        <family val="2"/>
        <charset val="204"/>
        <scheme val="minor"/>
      </rPr>
      <t xml:space="preserve">эмп </t>
    </r>
  </si>
  <si>
    <r>
      <t>F</t>
    </r>
    <r>
      <rPr>
        <sz val="8"/>
        <color theme="1"/>
        <rFont val="Calibri"/>
        <family val="2"/>
        <charset val="204"/>
        <scheme val="minor"/>
      </rPr>
      <t>крит</t>
    </r>
  </si>
  <si>
    <t>детерминация показывает, что вариация ожидаемых значений на 59,5% обусловлена стандартными измерениями</t>
  </si>
  <si>
    <t>тк значение коэффициента корреляции, уравнение регрессии и параметр при x стат значимы, по уровню регрессии можно делать стат прогнозы.</t>
  </si>
  <si>
    <t># =F.ОБР.ПХ(0,05;1;5)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</si>
</sst>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2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4"/>
      <color theme="1"/>
      <name val="Abadi"/>
      <family val="2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2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/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10" fillId="0" borderId="0" xfId="0" applyFont="1"/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4" fillId="2" borderId="1" xfId="0" applyFont="1" applyFill="1" applyBorder="1"/>
    <xf numFmtId="0" fontId="13" fillId="0" borderId="0" xfId="0" applyFont="1"/>
    <xf numFmtId="0" fontId="0" fillId="2" borderId="0" xfId="0" applyFill="1"/>
    <xf numFmtId="164" fontId="4" fillId="0" borderId="0" xfId="0" applyNumberFormat="1" applyFont="1"/>
    <xf numFmtId="164" fontId="13" fillId="0" borderId="0" xfId="0" applyNumberFormat="1" applyFont="1"/>
    <xf numFmtId="0" fontId="0" fillId="2" borderId="1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1" fillId="2" borderId="7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0" fillId="0" borderId="0" xfId="0" applyFill="1"/>
    <xf numFmtId="0" fontId="12" fillId="4" borderId="0" xfId="0" applyFont="1" applyFill="1"/>
    <xf numFmtId="0" fontId="0" fillId="2" borderId="1" xfId="0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Font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0" fillId="2" borderId="1" xfId="0" applyFont="1" applyFill="1" applyBorder="1"/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164" fontId="0" fillId="0" borderId="0" xfId="0" applyNumberFormat="1" applyFont="1" applyFill="1" applyAlignment="1"/>
    <xf numFmtId="0" fontId="0" fillId="2" borderId="1" xfId="0" applyFont="1" applyFill="1" applyBorder="1" applyAlignme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19" fillId="0" borderId="14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Continuous"/>
    </xf>
    <xf numFmtId="0" fontId="12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0" borderId="0" xfId="0" applyFont="1" applyFill="1" applyBorder="1" applyAlignment="1"/>
    <xf numFmtId="0" fontId="0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Лаб1!$B$15:$H$15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Лаб1!$B$16:$H$16</c:f>
              <c:numCache>
                <c:formatCode>0.000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C-4EB9-A1CF-786204E7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0254384"/>
        <c:axId val="380256736"/>
      </c:barChart>
      <c:catAx>
        <c:axId val="380254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6736"/>
        <c:crosses val="autoZero"/>
        <c:auto val="1"/>
        <c:lblAlgn val="ctr"/>
        <c:lblOffset val="100"/>
        <c:noMultiLvlLbl val="0"/>
      </c:catAx>
      <c:valAx>
        <c:axId val="38025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НАКОПЛЕННЫХ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Лаб1!$B$15:$H$15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Лаб1!$B$17:$H$17</c:f>
              <c:numCache>
                <c:formatCode>0.000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44</c:v>
                </c:pt>
                <c:pt idx="5">
                  <c:v>48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0-4B32-A3C7-2071F7AB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56344"/>
        <c:axId val="380257128"/>
      </c:lineChart>
      <c:catAx>
        <c:axId val="380256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7128"/>
        <c:crosses val="autoZero"/>
        <c:auto val="1"/>
        <c:lblAlgn val="ctr"/>
        <c:lblOffset val="100"/>
        <c:noMultiLvlLbl val="0"/>
      </c:catAx>
      <c:valAx>
        <c:axId val="380257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Лаб1!$B$15:$H$15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Лаб1!$B$16:$H$16</c:f>
              <c:numCache>
                <c:formatCode>0.000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9-4094-9006-F6413936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55560"/>
        <c:axId val="380255952"/>
      </c:lineChart>
      <c:catAx>
        <c:axId val="380255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5952"/>
        <c:crosses val="autoZero"/>
        <c:auto val="1"/>
        <c:lblAlgn val="ctr"/>
        <c:lblOffset val="100"/>
        <c:noMultiLvlLbl val="0"/>
      </c:catAx>
      <c:valAx>
        <c:axId val="38025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5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и ожидаемые данные</a:t>
            </a:r>
          </a:p>
        </c:rich>
      </c:tx>
      <c:layout>
        <c:manualLayout>
          <c:xMode val="edge"/>
          <c:yMode val="edge"/>
          <c:x val="0.21197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Реальные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Лаб2!$C$4:$C$10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Лаб2!$D$4:$D$10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85B-853D-608DF15BA747}"/>
            </c:ext>
          </c:extLst>
        </c:ser>
        <c:ser>
          <c:idx val="1"/>
          <c:order val="1"/>
          <c:tx>
            <c:v>Ожидаемые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Лаб2!$C$4:$C$10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Лаб2!$E$4:$E$10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3-485B-853D-608DF15B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59934751"/>
        <c:axId val="259936831"/>
      </c:barChart>
      <c:catAx>
        <c:axId val="259934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36831"/>
        <c:crosses val="autoZero"/>
        <c:auto val="1"/>
        <c:lblAlgn val="ctr"/>
        <c:lblOffset val="100"/>
        <c:noMultiLvlLbl val="0"/>
      </c:catAx>
      <c:valAx>
        <c:axId val="259936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и ожидаемые данные</a:t>
            </a:r>
          </a:p>
        </c:rich>
      </c:tx>
      <c:layout>
        <c:manualLayout>
          <c:xMode val="edge"/>
          <c:yMode val="edge"/>
          <c:x val="0.21753455818022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Реальные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Лаб2!$C$4:$C$10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Лаб2!$D$4:$D$10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E-4527-9419-7D6098CBE260}"/>
            </c:ext>
          </c:extLst>
        </c:ser>
        <c:ser>
          <c:idx val="1"/>
          <c:order val="1"/>
          <c:tx>
            <c:v>Ожидаемые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Лаб2!$C$4:$C$10</c:f>
              <c:strCache>
                <c:ptCount val="7"/>
                <c:pt idx="0">
                  <c:v> [14,11;14,20)</c:v>
                </c:pt>
                <c:pt idx="1">
                  <c:v>[14,20;14,29)</c:v>
                </c:pt>
                <c:pt idx="2">
                  <c:v>[14,29;14,38)</c:v>
                </c:pt>
                <c:pt idx="3">
                  <c:v> [14,38;14,47)</c:v>
                </c:pt>
                <c:pt idx="4">
                  <c:v>[14,47;14;56)</c:v>
                </c:pt>
                <c:pt idx="5">
                  <c:v>[14,56;14,65)</c:v>
                </c:pt>
                <c:pt idx="6">
                  <c:v>[14,65;14;74)</c:v>
                </c:pt>
              </c:strCache>
            </c:strRef>
          </c:cat>
          <c:val>
            <c:numRef>
              <c:f>Лаб2!$E$4:$E$10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E-4527-9419-7D6098CB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59934751"/>
        <c:axId val="259936831"/>
      </c:barChart>
      <c:catAx>
        <c:axId val="259934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36831"/>
        <c:crosses val="autoZero"/>
        <c:auto val="1"/>
        <c:lblAlgn val="ctr"/>
        <c:lblOffset val="100"/>
        <c:noMultiLvlLbl val="0"/>
      </c:catAx>
      <c:valAx>
        <c:axId val="259936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12912025621871E-2"/>
          <c:y val="5.9827463932218952E-2"/>
          <c:w val="0.82114431026063139"/>
          <c:h val="0.814000397422237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Лаб4!$B$39:$B$45</c:f>
              <c:numCache>
                <c:formatCode>0.000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Лаб4!$C$39:$C$45</c:f>
              <c:numCache>
                <c:formatCode>0.000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E-48D2-80C1-6829593F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2767"/>
        <c:axId val="136301935"/>
      </c:scatterChart>
      <c:valAx>
        <c:axId val="1363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01935"/>
        <c:crosses val="autoZero"/>
        <c:crossBetween val="midCat"/>
      </c:valAx>
      <c:valAx>
        <c:axId val="136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2379</xdr:colOff>
      <xdr:row>21</xdr:row>
      <xdr:rowOff>7143</xdr:rowOff>
    </xdr:from>
    <xdr:to>
      <xdr:col>4</xdr:col>
      <xdr:colOff>42861</xdr:colOff>
      <xdr:row>31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9D11C3-A7D8-EAAB-5B9B-CA89F44B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523876</xdr:colOff>
      <xdr:row>20</xdr:row>
      <xdr:rowOff>157163</xdr:rowOff>
    </xdr:from>
    <xdr:to>
      <xdr:col>17</xdr:col>
      <xdr:colOff>121442</xdr:colOff>
      <xdr:row>32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BAC2205-EB59-604B-F153-6E3F7232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404811</xdr:colOff>
      <xdr:row>20</xdr:row>
      <xdr:rowOff>159543</xdr:rowOff>
    </xdr:from>
    <xdr:to>
      <xdr:col>10</xdr:col>
      <xdr:colOff>26192</xdr:colOff>
      <xdr:row>31</xdr:row>
      <xdr:rowOff>171449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07FFE71-94EC-11F0-E511-8E731E222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12</xdr:row>
      <xdr:rowOff>152400</xdr:rowOff>
    </xdr:from>
    <xdr:to>
      <xdr:col>21</xdr:col>
      <xdr:colOff>580956</xdr:colOff>
      <xdr:row>13</xdr:row>
      <xdr:rowOff>190470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0D89342-D36A-6456-7E4D-05A2223D5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7025" y="2505075"/>
          <a:ext cx="552381" cy="238095"/>
        </a:xfrm>
        <a:prstGeom prst="rect">
          <a:avLst/>
        </a:prstGeom>
        <a:effectLst>
          <a:glow rad="127000">
            <a:schemeClr val="accent1">
              <a:lumMod val="20000"/>
              <a:lumOff val="80000"/>
            </a:schemeClr>
          </a:glow>
        </a:effectLst>
      </xdr:spPr>
    </xdr:pic>
    <xdr:clientData/>
  </xdr:twoCellAnchor>
  <xdr:twoCellAnchor editAs="oneCell">
    <xdr:from>
      <xdr:col>22</xdr:col>
      <xdr:colOff>47625</xdr:colOff>
      <xdr:row>12</xdr:row>
      <xdr:rowOff>142875</xdr:rowOff>
    </xdr:from>
    <xdr:to>
      <xdr:col>23</xdr:col>
      <xdr:colOff>9454</xdr:colOff>
      <xdr:row>13</xdr:row>
      <xdr:rowOff>171421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FD2D70-8558-D56D-BAAC-BB127A284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5675" y="2495550"/>
          <a:ext cx="571429" cy="228571"/>
        </a:xfrm>
        <a:prstGeom prst="rect">
          <a:avLst/>
        </a:prstGeom>
        <a:effectLst>
          <a:glow rad="127000">
            <a:schemeClr val="accent1">
              <a:lumMod val="20000"/>
              <a:lumOff val="80000"/>
            </a:schemeClr>
          </a:glow>
        </a:effectLst>
      </xdr:spPr>
    </xdr:pic>
    <xdr:clientData/>
  </xdr:twoCellAnchor>
  <xdr:twoCellAnchor editAs="oneCell">
    <xdr:from>
      <xdr:col>20</xdr:col>
      <xdr:colOff>885825</xdr:colOff>
      <xdr:row>22</xdr:row>
      <xdr:rowOff>9525</xdr:rowOff>
    </xdr:from>
    <xdr:to>
      <xdr:col>23</xdr:col>
      <xdr:colOff>152400</xdr:colOff>
      <xdr:row>23</xdr:row>
      <xdr:rowOff>19648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71998D2-5F31-78B3-B460-915877773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20825" y="4352925"/>
          <a:ext cx="1419225" cy="200623"/>
        </a:xfrm>
        <a:prstGeom prst="rect">
          <a:avLst/>
        </a:prstGeom>
        <a:effectLst>
          <a:glow rad="127000">
            <a:schemeClr val="accent1">
              <a:lumMod val="20000"/>
              <a:lumOff val="80000"/>
            </a:schemeClr>
          </a:glow>
        </a:effectLst>
      </xdr:spPr>
    </xdr:pic>
    <xdr:clientData/>
  </xdr:twoCellAnchor>
  <xdr:twoCellAnchor editAs="oneCell">
    <xdr:from>
      <xdr:col>12</xdr:col>
      <xdr:colOff>619125</xdr:colOff>
      <xdr:row>19</xdr:row>
      <xdr:rowOff>161925</xdr:rowOff>
    </xdr:from>
    <xdr:to>
      <xdr:col>13</xdr:col>
      <xdr:colOff>780951</xdr:colOff>
      <xdr:row>20</xdr:row>
      <xdr:rowOff>180948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7BA2EFC-1E55-D83C-13C7-9AEFD34E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3905250"/>
          <a:ext cx="790476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17</xdr:col>
      <xdr:colOff>123477</xdr:colOff>
      <xdr:row>28</xdr:row>
      <xdr:rowOff>9423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52334EE-B528-CF24-A335-8FA244C90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29625" y="4724400"/>
          <a:ext cx="2780952" cy="819048"/>
        </a:xfrm>
        <a:prstGeom prst="rect">
          <a:avLst/>
        </a:prstGeom>
        <a:effectLst>
          <a:glow rad="127000">
            <a:schemeClr val="accent1">
              <a:lumMod val="20000"/>
              <a:lumOff val="80000"/>
            </a:schemeClr>
          </a:glow>
        </a:effectLst>
      </xdr:spPr>
    </xdr:pic>
    <xdr:clientData/>
  </xdr:twoCellAnchor>
  <xdr:twoCellAnchor>
    <xdr:from>
      <xdr:col>2</xdr:col>
      <xdr:colOff>257175</xdr:colOff>
      <xdr:row>24</xdr:row>
      <xdr:rowOff>166687</xdr:rowOff>
    </xdr:from>
    <xdr:to>
      <xdr:col>9</xdr:col>
      <xdr:colOff>342900</xdr:colOff>
      <xdr:row>38</xdr:row>
      <xdr:rowOff>147637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349008D-E119-EC88-2E65-8A45C789B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18</xdr:row>
      <xdr:rowOff>28575</xdr:rowOff>
    </xdr:from>
    <xdr:to>
      <xdr:col>5</xdr:col>
      <xdr:colOff>395707</xdr:colOff>
      <xdr:row>22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EA85C5-7B4B-41B4-95DA-6D95D24B4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3524250"/>
          <a:ext cx="805282" cy="733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glow rad="190500">
            <a:schemeClr val="accent1">
              <a:lumMod val="40000"/>
              <a:lumOff val="60000"/>
              <a:alpha val="40000"/>
            </a:schemeClr>
          </a:glow>
        </a:effectLst>
      </xdr:spPr>
    </xdr:pic>
    <xdr:clientData/>
  </xdr:twoCellAnchor>
  <xdr:twoCellAnchor>
    <xdr:from>
      <xdr:col>7</xdr:col>
      <xdr:colOff>66675</xdr:colOff>
      <xdr:row>8</xdr:row>
      <xdr:rowOff>123825</xdr:rowOff>
    </xdr:from>
    <xdr:to>
      <xdr:col>13</xdr:col>
      <xdr:colOff>600075</xdr:colOff>
      <xdr:row>23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966570-3249-454A-B932-3E1E5019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598870</xdr:colOff>
      <xdr:row>36</xdr:row>
      <xdr:rowOff>76640</xdr:rowOff>
    </xdr:from>
    <xdr:to>
      <xdr:col>9</xdr:col>
      <xdr:colOff>985346</xdr:colOff>
      <xdr:row>52</xdr:row>
      <xdr:rowOff>87587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F8D2CEF-6C75-3227-4091-66BB3D4A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87587</xdr:colOff>
      <xdr:row>22</xdr:row>
      <xdr:rowOff>120432</xdr:rowOff>
    </xdr:from>
    <xdr:to>
      <xdr:col>8</xdr:col>
      <xdr:colOff>1392349</xdr:colOff>
      <xdr:row>25</xdr:row>
      <xdr:rowOff>57308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52987CA-7D51-9A7C-094E-2C5546CE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673" y="4215087"/>
          <a:ext cx="1304762" cy="495238"/>
        </a:xfrm>
        <a:prstGeom prst="rect">
          <a:avLst/>
        </a:prstGeom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470776</xdr:colOff>
      <xdr:row>14</xdr:row>
      <xdr:rowOff>87585</xdr:rowOff>
    </xdr:from>
    <xdr:to>
      <xdr:col>7</xdr:col>
      <xdr:colOff>333424</xdr:colOff>
      <xdr:row>19</xdr:row>
      <xdr:rowOff>14125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49338F8-484E-BE38-81D1-547C111D6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4914" y="2693275"/>
          <a:ext cx="3114286" cy="857143"/>
        </a:xfrm>
        <a:prstGeom prst="rect">
          <a:avLst/>
        </a:prstGeom>
        <a:effectLst>
          <a:glow rad="101600">
            <a:schemeClr val="accent5">
              <a:satMod val="175000"/>
              <a:alpha val="40000"/>
            </a:schemeClr>
          </a:glo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neus\Desktop\&#1090;&#1074;&#1080;&#1084;&#1089;_&#1083;&#1072;&#1073;&#1099;_&#1063;&#1080;&#1095;&#1077;&#1088;&#1080;&#1085;&#1072;_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р-1"/>
      <sheetName val="лр-2"/>
      <sheetName val="лр-3"/>
      <sheetName val="лр-4"/>
    </sheetNames>
    <sheetDataSet>
      <sheetData sheetId="0" refreshError="1"/>
      <sheetData sheetId="1" refreshError="1"/>
      <sheetData sheetId="2" refreshError="1"/>
      <sheetData sheetId="3">
        <row r="38">
          <cell r="C38" t="str">
            <v>e</v>
          </cell>
        </row>
        <row r="39">
          <cell r="B39">
            <v>3</v>
          </cell>
          <cell r="C39">
            <v>5</v>
          </cell>
        </row>
        <row r="40">
          <cell r="B40">
            <v>6</v>
          </cell>
          <cell r="C40">
            <v>9</v>
          </cell>
        </row>
        <row r="41">
          <cell r="B41">
            <v>9</v>
          </cell>
          <cell r="C41">
            <v>17</v>
          </cell>
        </row>
        <row r="42">
          <cell r="B42">
            <v>23</v>
          </cell>
          <cell r="C42">
            <v>21</v>
          </cell>
        </row>
        <row r="43">
          <cell r="B43">
            <v>19</v>
          </cell>
          <cell r="C43">
            <v>17</v>
          </cell>
        </row>
        <row r="44">
          <cell r="B44">
            <v>5</v>
          </cell>
          <cell r="C44">
            <v>9</v>
          </cell>
        </row>
        <row r="45">
          <cell r="B45">
            <v>2</v>
          </cell>
          <cell r="C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zoomScale="85" zoomScaleNormal="85" workbookViewId="0">
      <selection activeCell="J15" sqref="J15"/>
    </sheetView>
  </sheetViews>
  <sheetFormatPr defaultColWidth="9" defaultRowHeight="15" x14ac:dyDescent="0.25"/>
  <cols>
    <col min="1" max="1" width="27.85546875" style="1" bestFit="1" customWidth="1"/>
    <col min="2" max="2" width="16.42578125" style="1" bestFit="1" customWidth="1"/>
    <col min="3" max="3" width="15.7109375" style="1" customWidth="1"/>
    <col min="4" max="4" width="30" style="1" bestFit="1" customWidth="1"/>
    <col min="5" max="5" width="16.42578125" style="1" bestFit="1" customWidth="1"/>
    <col min="6" max="6" width="15.7109375" style="1" customWidth="1"/>
    <col min="7" max="8" width="15.85546875" style="1" bestFit="1" customWidth="1"/>
    <col min="9" max="11" width="10.85546875" style="1" bestFit="1" customWidth="1"/>
    <col min="12" max="12" width="13.140625" style="1" bestFit="1" customWidth="1"/>
    <col min="13" max="13" width="10.85546875" style="1" bestFit="1" customWidth="1"/>
    <col min="14" max="14" width="8.42578125" style="1" bestFit="1" customWidth="1"/>
    <col min="15" max="16" width="10.85546875" style="1" bestFit="1" customWidth="1"/>
    <col min="17" max="16384" width="9" style="1"/>
  </cols>
  <sheetData>
    <row r="1" spans="1:12" ht="21" x14ac:dyDescent="0.35">
      <c r="A1" s="8">
        <v>14.51</v>
      </c>
      <c r="B1" s="8">
        <v>14.42</v>
      </c>
      <c r="C1" s="8">
        <v>14.56</v>
      </c>
      <c r="D1" s="8">
        <v>14.47</v>
      </c>
      <c r="E1" s="8">
        <v>14.46</v>
      </c>
      <c r="F1" s="8">
        <v>14.35</v>
      </c>
      <c r="G1" s="8">
        <v>14.48</v>
      </c>
      <c r="H1" s="8">
        <v>14.53</v>
      </c>
      <c r="I1" s="10"/>
      <c r="J1" s="10"/>
    </row>
    <row r="2" spans="1:12" ht="21" x14ac:dyDescent="0.35">
      <c r="A2" s="8">
        <v>14.21</v>
      </c>
      <c r="B2" s="8">
        <v>14.31</v>
      </c>
      <c r="C2" s="8">
        <v>14.35</v>
      </c>
      <c r="D2" s="8">
        <v>14.68</v>
      </c>
      <c r="E2" s="8">
        <v>14.56</v>
      </c>
      <c r="F2" s="8">
        <v>14.28</v>
      </c>
      <c r="G2" s="8">
        <v>14.36</v>
      </c>
      <c r="H2" s="8">
        <v>14.21</v>
      </c>
      <c r="I2" s="10"/>
      <c r="J2" s="10"/>
      <c r="L2" s="42" t="s">
        <v>80</v>
      </c>
    </row>
    <row r="3" spans="1:12" ht="21" x14ac:dyDescent="0.35">
      <c r="A3" s="8">
        <v>14.52</v>
      </c>
      <c r="B3" s="8">
        <v>14.23</v>
      </c>
      <c r="C3" s="8">
        <v>14.41</v>
      </c>
      <c r="D3" s="8">
        <v>14.46</v>
      </c>
      <c r="E3" s="8">
        <v>14.69</v>
      </c>
      <c r="F3" s="8">
        <v>14.54</v>
      </c>
      <c r="G3" s="8">
        <v>14.36</v>
      </c>
      <c r="H3" s="8">
        <v>14.15</v>
      </c>
      <c r="I3" s="10"/>
      <c r="J3" s="10"/>
      <c r="L3" s="42" t="s">
        <v>81</v>
      </c>
    </row>
    <row r="4" spans="1:12" ht="21" x14ac:dyDescent="0.35">
      <c r="A4" s="8">
        <v>14.37</v>
      </c>
      <c r="B4" s="8">
        <v>14.51</v>
      </c>
      <c r="C4" s="8">
        <v>14.25</v>
      </c>
      <c r="D4" s="8">
        <v>14.55</v>
      </c>
      <c r="E4" s="8">
        <v>14.51</v>
      </c>
      <c r="F4" s="8">
        <v>14.36</v>
      </c>
      <c r="G4" s="8">
        <v>14.62</v>
      </c>
      <c r="H4" s="8">
        <v>14.55</v>
      </c>
      <c r="I4" s="10"/>
      <c r="J4" s="10"/>
      <c r="L4" s="42" t="s">
        <v>82</v>
      </c>
    </row>
    <row r="5" spans="1:12" ht="21" x14ac:dyDescent="0.35">
      <c r="A5" s="8">
        <v>14.38</v>
      </c>
      <c r="B5" s="8">
        <v>14.33</v>
      </c>
      <c r="C5" s="8">
        <v>14.4</v>
      </c>
      <c r="D5" s="8">
        <v>14.52</v>
      </c>
      <c r="E5" s="8">
        <v>14.48</v>
      </c>
      <c r="F5" s="8">
        <v>14.51</v>
      </c>
      <c r="G5" s="8">
        <v>14.55</v>
      </c>
      <c r="H5" s="8">
        <v>14.39</v>
      </c>
      <c r="I5" s="10"/>
      <c r="J5" s="10"/>
    </row>
    <row r="6" spans="1:12" ht="21" x14ac:dyDescent="0.35">
      <c r="A6" s="8">
        <v>14.54</v>
      </c>
      <c r="B6" s="8">
        <v>14.58</v>
      </c>
      <c r="C6" s="8">
        <v>14.48</v>
      </c>
      <c r="D6" s="8">
        <v>14.37</v>
      </c>
      <c r="E6" s="8">
        <v>14.38</v>
      </c>
      <c r="F6" s="8">
        <v>14.51</v>
      </c>
      <c r="G6" s="8">
        <v>14.36</v>
      </c>
      <c r="H6" s="8">
        <v>14.15</v>
      </c>
      <c r="I6" s="10"/>
      <c r="J6" s="10"/>
    </row>
    <row r="7" spans="1:12" ht="21" x14ac:dyDescent="0.35">
      <c r="A7" s="8">
        <v>14.24</v>
      </c>
      <c r="B7" s="8">
        <v>14.32</v>
      </c>
      <c r="C7" s="8"/>
      <c r="D7" s="8"/>
      <c r="E7" s="8"/>
      <c r="F7" s="8"/>
      <c r="G7" s="8"/>
      <c r="H7" s="8"/>
      <c r="I7" s="10"/>
      <c r="J7" s="10"/>
    </row>
    <row r="9" spans="1:12" ht="18.75" x14ac:dyDescent="0.25">
      <c r="A9" s="2" t="s">
        <v>0</v>
      </c>
      <c r="B9" s="37">
        <f>MIN(A1:J7)</f>
        <v>14.15</v>
      </c>
    </row>
    <row r="10" spans="1:12" ht="18.75" x14ac:dyDescent="0.25">
      <c r="A10" s="2" t="s">
        <v>1</v>
      </c>
      <c r="B10" s="37">
        <f>MAX(A1:J7)</f>
        <v>14.69</v>
      </c>
    </row>
    <row r="11" spans="1:12" ht="18.75" x14ac:dyDescent="0.25">
      <c r="A11" s="2" t="s">
        <v>2</v>
      </c>
      <c r="B11" s="37">
        <f>B10-B9</f>
        <v>0.53999999999999915</v>
      </c>
    </row>
    <row r="12" spans="1:12" ht="18.75" x14ac:dyDescent="0.25">
      <c r="A12" s="2" t="s">
        <v>3</v>
      </c>
      <c r="B12" s="37">
        <v>50</v>
      </c>
    </row>
    <row r="13" spans="1:12" ht="18.75" x14ac:dyDescent="0.25">
      <c r="A13" s="2" t="s">
        <v>4</v>
      </c>
      <c r="B13" s="37">
        <f>1+3.32*LOG10(B12)</f>
        <v>6.6405804143955818</v>
      </c>
      <c r="C13" s="40">
        <v>7</v>
      </c>
    </row>
    <row r="15" spans="1:12" ht="18.75" x14ac:dyDescent="0.25">
      <c r="A15" s="2" t="s">
        <v>29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22</v>
      </c>
      <c r="G15" s="2" t="s">
        <v>23</v>
      </c>
      <c r="H15" s="2" t="s">
        <v>24</v>
      </c>
    </row>
    <row r="16" spans="1:12" ht="15.75" x14ac:dyDescent="0.25">
      <c r="A16" s="3" t="s">
        <v>25</v>
      </c>
      <c r="B16" s="23">
        <f>COUNTIFS($B$2:$I$8,"&gt;=14,11",$B$2:$I$8,"&lt;14,2")</f>
        <v>2</v>
      </c>
      <c r="C16" s="23">
        <f>COUNTIFS($A$1:$J$7,"&gt;=14,20",$A$1:$J$7,"&lt;14,29")</f>
        <v>6</v>
      </c>
      <c r="D16" s="23">
        <f>COUNTIFS(A1:J7,"&gt;=14,29",A1:J7,"&lt;14,38")</f>
        <v>11</v>
      </c>
      <c r="E16" s="23">
        <f>COUNTIFS(A1:J7,"&gt;=14,38",A1:J7,"&lt;14,47")</f>
        <v>8</v>
      </c>
      <c r="F16" s="23">
        <f>COUNTIFS(A1:J7,"&gt;=14,47",A1:J7,"&lt;14,56")</f>
        <v>17</v>
      </c>
      <c r="G16" s="23">
        <f>COUNTIFS(A1:J7,"&gt;=14,56",A1:J7,"&lt;14,65")</f>
        <v>4</v>
      </c>
      <c r="H16" s="23">
        <f>COUNTIFS(A1:J7,"&gt;=14,65",A1:J7,"&lt;14,74")</f>
        <v>2</v>
      </c>
      <c r="I16" s="41">
        <f>SUM(B16:H16)</f>
        <v>50</v>
      </c>
    </row>
    <row r="17" spans="1:8" ht="15.75" x14ac:dyDescent="0.25">
      <c r="A17" s="3" t="s">
        <v>26</v>
      </c>
      <c r="B17" s="23">
        <f>B16</f>
        <v>2</v>
      </c>
      <c r="C17" s="23">
        <f>B17+C16</f>
        <v>8</v>
      </c>
      <c r="D17" s="23">
        <f>C17+D16</f>
        <v>19</v>
      </c>
      <c r="E17" s="23">
        <f t="shared" ref="E17:H17" si="0">D17+E16</f>
        <v>27</v>
      </c>
      <c r="F17" s="23">
        <f t="shared" si="0"/>
        <v>44</v>
      </c>
      <c r="G17" s="23">
        <f t="shared" si="0"/>
        <v>48</v>
      </c>
      <c r="H17" s="23">
        <f t="shared" si="0"/>
        <v>50</v>
      </c>
    </row>
    <row r="18" spans="1:8" ht="15.75" x14ac:dyDescent="0.25">
      <c r="A18" s="3" t="s">
        <v>27</v>
      </c>
      <c r="B18" s="23">
        <f>B16/50</f>
        <v>0.04</v>
      </c>
      <c r="C18" s="23">
        <f t="shared" ref="C18:H18" si="1">C16/50</f>
        <v>0.12</v>
      </c>
      <c r="D18" s="23">
        <f t="shared" si="1"/>
        <v>0.22</v>
      </c>
      <c r="E18" s="23">
        <f t="shared" si="1"/>
        <v>0.16</v>
      </c>
      <c r="F18" s="23">
        <f t="shared" si="1"/>
        <v>0.34</v>
      </c>
      <c r="G18" s="23">
        <f t="shared" si="1"/>
        <v>0.08</v>
      </c>
      <c r="H18" s="23">
        <f t="shared" si="1"/>
        <v>0.04</v>
      </c>
    </row>
    <row r="19" spans="1:8" ht="15.75" x14ac:dyDescent="0.25">
      <c r="A19" s="3" t="s">
        <v>28</v>
      </c>
      <c r="B19" s="23">
        <f>B18</f>
        <v>0.04</v>
      </c>
      <c r="C19" s="23">
        <f>B19+C18</f>
        <v>0.16</v>
      </c>
      <c r="D19" s="23">
        <f t="shared" ref="D19:H19" si="2">C19+D18</f>
        <v>0.38</v>
      </c>
      <c r="E19" s="23">
        <f t="shared" si="2"/>
        <v>0.54</v>
      </c>
      <c r="F19" s="23">
        <f t="shared" si="2"/>
        <v>0.88000000000000012</v>
      </c>
      <c r="G19" s="23">
        <f t="shared" si="2"/>
        <v>0.96000000000000008</v>
      </c>
      <c r="H19" s="23">
        <f t="shared" si="2"/>
        <v>1</v>
      </c>
    </row>
    <row r="22" spans="1:8" x14ac:dyDescent="0.25">
      <c r="A22" s="1" t="s">
        <v>5</v>
      </c>
    </row>
    <row r="34" spans="1:16" ht="15.75" x14ac:dyDescent="0.25">
      <c r="A34" s="4" t="s">
        <v>6</v>
      </c>
      <c r="B34" s="39">
        <f>AVERAGE(A1:H7)</f>
        <v>14.426200000000001</v>
      </c>
    </row>
    <row r="35" spans="1:16" ht="15.75" x14ac:dyDescent="0.25">
      <c r="A35" s="4" t="s">
        <v>7</v>
      </c>
      <c r="B35" s="39">
        <f>HARMEAN(A1:H7)</f>
        <v>14.425050882576905</v>
      </c>
    </row>
    <row r="36" spans="1:16" ht="15.75" x14ac:dyDescent="0.25">
      <c r="A36" s="4" t="s">
        <v>8</v>
      </c>
      <c r="B36" s="39">
        <f>GEOMEAN(A1:H7)</f>
        <v>14.425625878281677</v>
      </c>
    </row>
    <row r="37" spans="1:16" ht="20.25" x14ac:dyDescent="0.25">
      <c r="A37" s="4" t="s">
        <v>9</v>
      </c>
      <c r="B37" s="39">
        <f>MODE(A1:J7)</f>
        <v>14.51</v>
      </c>
      <c r="G37" s="5" t="s">
        <v>30</v>
      </c>
      <c r="H37" s="6"/>
      <c r="I37" s="6"/>
      <c r="J37" s="6"/>
      <c r="K37" s="6"/>
      <c r="L37" s="6"/>
      <c r="M37" s="6"/>
      <c r="N37" s="6"/>
      <c r="O37" s="6"/>
      <c r="P37" s="6"/>
    </row>
    <row r="38" spans="1:16" ht="20.25" x14ac:dyDescent="0.25">
      <c r="A38" s="4" t="s">
        <v>10</v>
      </c>
      <c r="B38" s="39">
        <f>MEDIAN(A1:J7)</f>
        <v>14.440000000000001</v>
      </c>
      <c r="D38" s="2" t="s">
        <v>11</v>
      </c>
      <c r="E38" s="37">
        <f>SUM(G38:N44)</f>
        <v>-5.1773414400006822E-4</v>
      </c>
      <c r="G38" s="7">
        <f>((A1-$B$34)^3)/($B$12)</f>
        <v>1.1769609439999294E-5</v>
      </c>
      <c r="H38" s="7">
        <f t="shared" ref="G38:N43" si="3">((B1-$B$34)^3)/$B$12</f>
        <v>-4.7665600000035463E-9</v>
      </c>
      <c r="I38" s="7">
        <f t="shared" si="3"/>
        <v>4.7906929439998962E-5</v>
      </c>
      <c r="J38" s="7">
        <f t="shared" si="3"/>
        <v>1.6805534399999048E-6</v>
      </c>
      <c r="K38" s="7">
        <f t="shared" si="3"/>
        <v>7.7228943999995799E-7</v>
      </c>
      <c r="L38" s="7">
        <f t="shared" si="3"/>
        <v>-8.849014560000635E-6</v>
      </c>
      <c r="M38" s="7">
        <f t="shared" si="3"/>
        <v>3.1144174399998195E-6</v>
      </c>
      <c r="N38" s="7">
        <f t="shared" si="3"/>
        <v>2.2367737439998641E-5</v>
      </c>
      <c r="O38" s="11"/>
      <c r="P38" s="11"/>
    </row>
    <row r="39" spans="1:16" ht="20.25" x14ac:dyDescent="0.25">
      <c r="D39" s="2" t="s">
        <v>12</v>
      </c>
      <c r="E39" s="37">
        <f>VAR(A1:H7)</f>
        <v>1.68771020408163E-2</v>
      </c>
      <c r="G39" s="7">
        <f t="shared" si="3"/>
        <v>-2.0211431056000172E-4</v>
      </c>
      <c r="H39" s="7">
        <f t="shared" si="3"/>
        <v>-3.1379670560000781E-5</v>
      </c>
      <c r="I39" s="7">
        <f t="shared" si="3"/>
        <v>-8.849014560000635E-6</v>
      </c>
      <c r="J39" s="7">
        <f t="shared" si="3"/>
        <v>3.2696769743999329E-4</v>
      </c>
      <c r="K39" s="7">
        <f t="shared" si="3"/>
        <v>4.7906929439998962E-5</v>
      </c>
      <c r="L39" s="7">
        <f t="shared" si="3"/>
        <v>-6.2498862560002696E-5</v>
      </c>
      <c r="M39" s="7">
        <f t="shared" si="3"/>
        <v>-5.8023505600005344E-6</v>
      </c>
      <c r="N39" s="7">
        <f t="shared" si="3"/>
        <v>-2.0211431056000172E-4</v>
      </c>
      <c r="O39" s="11"/>
      <c r="P39" s="11"/>
    </row>
    <row r="40" spans="1:16" ht="20.25" x14ac:dyDescent="0.25">
      <c r="D40" s="2" t="s">
        <v>13</v>
      </c>
      <c r="E40" s="37">
        <f>SQRT(E39)</f>
        <v>0.12991190107459863</v>
      </c>
      <c r="G40" s="7">
        <f t="shared" si="3"/>
        <v>1.6505873439999003E-5</v>
      </c>
      <c r="H40" s="7">
        <f t="shared" si="3"/>
        <v>-1.510521825600024E-4</v>
      </c>
      <c r="I40" s="7">
        <f t="shared" si="3"/>
        <v>-8.5030560000020852E-8</v>
      </c>
      <c r="J40" s="7">
        <f t="shared" si="3"/>
        <v>7.7228943999995799E-7</v>
      </c>
      <c r="K40" s="7">
        <f t="shared" si="3"/>
        <v>3.6715916143999184E-4</v>
      </c>
      <c r="L40" s="7">
        <f t="shared" si="3"/>
        <v>2.9475201439998198E-5</v>
      </c>
      <c r="M40" s="7">
        <f t="shared" si="3"/>
        <v>-5.8023505600005344E-6</v>
      </c>
      <c r="N40" s="7">
        <f t="shared" si="3"/>
        <v>-4.2140629456000506E-4</v>
      </c>
      <c r="O40" s="11"/>
      <c r="P40" s="11"/>
    </row>
    <row r="41" spans="1:16" ht="20.25" x14ac:dyDescent="0.25">
      <c r="D41" s="2" t="s">
        <v>14</v>
      </c>
      <c r="E41" s="37">
        <f>E40/B34</f>
        <v>9.0052751989157659E-3</v>
      </c>
      <c r="G41" s="7">
        <f t="shared" si="3"/>
        <v>-3.5500865600004261E-6</v>
      </c>
      <c r="H41" s="7">
        <f t="shared" si="3"/>
        <v>1.1769609439999294E-5</v>
      </c>
      <c r="I41" s="7">
        <f t="shared" si="3"/>
        <v>-1.0940765456000273E-4</v>
      </c>
      <c r="J41" s="7">
        <f t="shared" si="3"/>
        <v>3.7948265439999303E-5</v>
      </c>
      <c r="K41" s="7">
        <f t="shared" si="3"/>
        <v>1.1769609439999294E-5</v>
      </c>
      <c r="L41" s="7">
        <f t="shared" si="3"/>
        <v>-5.8023505600005344E-6</v>
      </c>
      <c r="M41" s="7">
        <f t="shared" si="3"/>
        <v>1.4557651343999496E-4</v>
      </c>
      <c r="N41" s="7">
        <f t="shared" si="3"/>
        <v>3.7948265439999303E-5</v>
      </c>
      <c r="O41" s="11"/>
      <c r="P41" s="11"/>
    </row>
    <row r="42" spans="1:16" ht="20.25" x14ac:dyDescent="0.25">
      <c r="D42" s="2" t="s">
        <v>15</v>
      </c>
      <c r="E42" s="37">
        <f>B11/B34</f>
        <v>3.7431894747057375E-2</v>
      </c>
      <c r="G42" s="7">
        <f t="shared" si="3"/>
        <v>-1.9722225600000877E-6</v>
      </c>
      <c r="H42" s="7">
        <f t="shared" si="3"/>
        <v>-1.7805542560000775E-5</v>
      </c>
      <c r="I42" s="7">
        <f t="shared" si="3"/>
        <v>-3.5969456000004578E-7</v>
      </c>
      <c r="J42" s="7">
        <f t="shared" si="3"/>
        <v>1.6505873439999003E-5</v>
      </c>
      <c r="K42" s="7">
        <f t="shared" si="3"/>
        <v>3.1144174399998195E-6</v>
      </c>
      <c r="L42" s="7">
        <f t="shared" si="3"/>
        <v>1.1769609439999294E-5</v>
      </c>
      <c r="M42" s="7">
        <f t="shared" si="3"/>
        <v>3.7948265439999303E-5</v>
      </c>
      <c r="N42" s="7">
        <f t="shared" si="3"/>
        <v>-9.4875856000007057E-7</v>
      </c>
      <c r="O42" s="11"/>
      <c r="P42" s="11"/>
    </row>
    <row r="43" spans="1:16" ht="20.25" x14ac:dyDescent="0.25">
      <c r="G43" s="7">
        <f t="shared" si="3"/>
        <v>2.9475201439998198E-5</v>
      </c>
      <c r="H43" s="7">
        <f t="shared" si="3"/>
        <v>7.276105743999802E-5</v>
      </c>
      <c r="I43" s="7">
        <f t="shared" si="3"/>
        <v>3.1144174399998195E-6</v>
      </c>
      <c r="J43" s="7">
        <f t="shared" si="3"/>
        <v>-3.5500865600004261E-6</v>
      </c>
      <c r="K43" s="7">
        <f t="shared" si="3"/>
        <v>-1.9722225600000877E-6</v>
      </c>
      <c r="L43" s="7">
        <f t="shared" si="3"/>
        <v>1.1769609439999294E-5</v>
      </c>
      <c r="M43" s="7">
        <f t="shared" si="3"/>
        <v>-5.8023505600005344E-6</v>
      </c>
      <c r="N43" s="7">
        <f t="shared" si="3"/>
        <v>-4.2140629456000506E-4</v>
      </c>
      <c r="O43" s="11"/>
      <c r="P43" s="11"/>
    </row>
    <row r="44" spans="1:16" ht="20.25" x14ac:dyDescent="0.25">
      <c r="G44" s="7">
        <f t="shared" ref="G44:H44" si="4">((A7-$B$34)^3)/$B$12</f>
        <v>-1.2911271856000262E-4</v>
      </c>
      <c r="H44" s="7">
        <f t="shared" si="4"/>
        <v>-2.3955406560000801E-5</v>
      </c>
      <c r="I44" s="11"/>
      <c r="J44" s="11"/>
      <c r="K44" s="11"/>
      <c r="L44" s="11"/>
      <c r="M44" s="11"/>
      <c r="N44" s="12"/>
      <c r="O44" s="12"/>
      <c r="P44" s="12"/>
    </row>
    <row r="46" spans="1:16" ht="18.75" x14ac:dyDescent="0.25">
      <c r="A46" s="43" t="s">
        <v>16</v>
      </c>
      <c r="B46" s="43"/>
      <c r="C46" s="43"/>
      <c r="D46" s="38">
        <f>SUM(A47:H53)/B12</f>
        <v>-5.1773414400006833E-4</v>
      </c>
      <c r="E46" s="9"/>
      <c r="F46" s="9"/>
      <c r="G46" s="9"/>
      <c r="H46" s="9"/>
      <c r="I46" s="9"/>
      <c r="J46" s="9"/>
    </row>
    <row r="47" spans="1:16" ht="18.75" x14ac:dyDescent="0.25">
      <c r="A47" s="37">
        <f t="shared" ref="A47:H47" si="5">(A1-$B$34)^3</f>
        <v>5.8848047199996467E-4</v>
      </c>
      <c r="B47" s="37">
        <f t="shared" si="5"/>
        <v>-2.3832800000017731E-7</v>
      </c>
      <c r="C47" s="37">
        <f t="shared" si="5"/>
        <v>2.3953464719999483E-3</v>
      </c>
      <c r="D47" s="37">
        <f t="shared" si="5"/>
        <v>8.4027671999995242E-5</v>
      </c>
      <c r="E47" s="37">
        <f t="shared" si="5"/>
        <v>3.8614471999997897E-5</v>
      </c>
      <c r="F47" s="37">
        <f t="shared" si="5"/>
        <v>-4.4245072800003178E-4</v>
      </c>
      <c r="G47" s="37">
        <f>(G1-$B$34)^3</f>
        <v>1.5572087199999097E-4</v>
      </c>
      <c r="H47" s="37">
        <f t="shared" si="5"/>
        <v>1.118386871999932E-3</v>
      </c>
      <c r="I47" s="13"/>
      <c r="J47" s="13"/>
    </row>
    <row r="48" spans="1:16" ht="18.75" x14ac:dyDescent="0.25">
      <c r="A48" s="37">
        <f t="shared" ref="A48:H48" si="6">(A2-$B$34)^3</f>
        <v>-1.0105715528000086E-2</v>
      </c>
      <c r="B48" s="37">
        <f t="shared" si="6"/>
        <v>-1.5689835280000392E-3</v>
      </c>
      <c r="C48" s="37">
        <f t="shared" si="6"/>
        <v>-4.4245072800003178E-4</v>
      </c>
      <c r="D48" s="37">
        <f t="shared" si="6"/>
        <v>1.6348384871999664E-2</v>
      </c>
      <c r="E48" s="37">
        <f t="shared" si="6"/>
        <v>2.3953464719999483E-3</v>
      </c>
      <c r="F48" s="37">
        <f t="shared" si="6"/>
        <v>-3.124943128000135E-3</v>
      </c>
      <c r="G48" s="37">
        <f t="shared" si="6"/>
        <v>-2.9011752800002673E-4</v>
      </c>
      <c r="H48" s="37">
        <f t="shared" si="6"/>
        <v>-1.0105715528000086E-2</v>
      </c>
      <c r="I48" s="13"/>
      <c r="J48" s="13"/>
    </row>
    <row r="49" spans="1:10" ht="18.75" x14ac:dyDescent="0.25">
      <c r="A49" s="37">
        <f t="shared" ref="A49:H49" si="7">(A3-$B$34)^3</f>
        <v>8.252936719999501E-4</v>
      </c>
      <c r="B49" s="37">
        <f t="shared" si="7"/>
        <v>-7.5526091280001201E-3</v>
      </c>
      <c r="C49" s="37">
        <f t="shared" si="7"/>
        <v>-4.2515280000010425E-6</v>
      </c>
      <c r="D49" s="37">
        <f t="shared" si="7"/>
        <v>3.8614471999997897E-5</v>
      </c>
      <c r="E49" s="37">
        <f t="shared" si="7"/>
        <v>1.8357958071999591E-2</v>
      </c>
      <c r="F49" s="37">
        <f t="shared" si="7"/>
        <v>1.4737600719999099E-3</v>
      </c>
      <c r="G49" s="37">
        <f t="shared" si="7"/>
        <v>-2.9011752800002673E-4</v>
      </c>
      <c r="H49" s="37">
        <f t="shared" si="7"/>
        <v>-2.1070314728000254E-2</v>
      </c>
      <c r="I49" s="13"/>
      <c r="J49" s="13"/>
    </row>
    <row r="50" spans="1:10" ht="18.75" x14ac:dyDescent="0.25">
      <c r="A50" s="37">
        <f t="shared" ref="A50:H50" si="8">(A4-$B$34)^3</f>
        <v>-1.7750432800002131E-4</v>
      </c>
      <c r="B50" s="37">
        <f t="shared" si="8"/>
        <v>5.8848047199996467E-4</v>
      </c>
      <c r="C50" s="37">
        <f t="shared" si="8"/>
        <v>-5.4703827280001369E-3</v>
      </c>
      <c r="D50" s="37">
        <f t="shared" si="8"/>
        <v>1.8974132719999652E-3</v>
      </c>
      <c r="E50" s="37">
        <f t="shared" si="8"/>
        <v>5.8848047199996467E-4</v>
      </c>
      <c r="F50" s="37">
        <f t="shared" si="8"/>
        <v>-2.9011752800002673E-4</v>
      </c>
      <c r="G50" s="37">
        <f t="shared" si="8"/>
        <v>7.2788256719997476E-3</v>
      </c>
      <c r="H50" s="37">
        <f t="shared" si="8"/>
        <v>1.8974132719999652E-3</v>
      </c>
      <c r="I50" s="13"/>
      <c r="J50" s="13"/>
    </row>
    <row r="51" spans="1:10" ht="18.75" x14ac:dyDescent="0.25">
      <c r="A51" s="37">
        <f t="shared" ref="A51:H51" si="9">(A5-$B$34)^3</f>
        <v>-9.8611128000004389E-5</v>
      </c>
      <c r="B51" s="37">
        <f t="shared" si="9"/>
        <v>-8.9027712800003871E-4</v>
      </c>
      <c r="C51" s="37">
        <f t="shared" si="9"/>
        <v>-1.7984728000002288E-5</v>
      </c>
      <c r="D51" s="37">
        <f t="shared" si="9"/>
        <v>8.252936719999501E-4</v>
      </c>
      <c r="E51" s="37">
        <f t="shared" si="9"/>
        <v>1.5572087199999097E-4</v>
      </c>
      <c r="F51" s="37">
        <f t="shared" si="9"/>
        <v>5.8848047199996467E-4</v>
      </c>
      <c r="G51" s="37">
        <f t="shared" si="9"/>
        <v>1.8974132719999652E-3</v>
      </c>
      <c r="H51" s="37">
        <f t="shared" si="9"/>
        <v>-4.7437928000003529E-5</v>
      </c>
      <c r="I51" s="13"/>
      <c r="J51" s="13"/>
    </row>
    <row r="52" spans="1:10" ht="18.75" x14ac:dyDescent="0.25">
      <c r="A52" s="37">
        <f t="shared" ref="A52:H52" si="10">(A6-$B$34)^3</f>
        <v>1.4737600719999099E-3</v>
      </c>
      <c r="B52" s="37">
        <f t="shared" si="10"/>
        <v>3.6380528719999012E-3</v>
      </c>
      <c r="C52" s="37">
        <f t="shared" si="10"/>
        <v>1.5572087199999097E-4</v>
      </c>
      <c r="D52" s="37">
        <f t="shared" si="10"/>
        <v>-1.7750432800002131E-4</v>
      </c>
      <c r="E52" s="37">
        <f t="shared" si="10"/>
        <v>-9.8611128000004389E-5</v>
      </c>
      <c r="F52" s="37">
        <f t="shared" si="10"/>
        <v>5.8848047199996467E-4</v>
      </c>
      <c r="G52" s="37">
        <f t="shared" si="10"/>
        <v>-2.9011752800002673E-4</v>
      </c>
      <c r="H52" s="37">
        <f t="shared" si="10"/>
        <v>-2.1070314728000254E-2</v>
      </c>
      <c r="I52" s="13"/>
      <c r="J52" s="13"/>
    </row>
    <row r="53" spans="1:10" ht="18.75" x14ac:dyDescent="0.25">
      <c r="A53" s="37">
        <f t="shared" ref="A53:B53" si="11">(A7-$B$34)^3</f>
        <v>-6.4556359280001311E-3</v>
      </c>
      <c r="B53" s="37">
        <f t="shared" si="11"/>
        <v>-1.19777032800004E-3</v>
      </c>
      <c r="C53" s="37"/>
      <c r="D53" s="37"/>
      <c r="E53" s="37"/>
      <c r="F53" s="37"/>
      <c r="G53" s="37"/>
      <c r="H53" s="37"/>
      <c r="I53" s="13"/>
      <c r="J53" s="13"/>
    </row>
    <row r="55" spans="1:10" ht="18.75" x14ac:dyDescent="0.25">
      <c r="A55" s="4" t="s">
        <v>17</v>
      </c>
      <c r="B55" s="37">
        <f>D46/((SQRT(E39))^3)</f>
        <v>-0.23613479870210799</v>
      </c>
    </row>
  </sheetData>
  <mergeCells count="1">
    <mergeCell ref="A46:C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582C-D32E-46C7-91A1-9A503F36243D}">
  <dimension ref="C1:AB30"/>
  <sheetViews>
    <sheetView topLeftCell="C12" workbookViewId="0">
      <selection activeCell="J16" sqref="J16"/>
    </sheetView>
  </sheetViews>
  <sheetFormatPr defaultRowHeight="15" x14ac:dyDescent="0.25"/>
  <cols>
    <col min="3" max="3" width="12.42578125" bestFit="1" customWidth="1"/>
    <col min="11" max="11" width="13.140625" bestFit="1" customWidth="1"/>
    <col min="13" max="13" width="9.42578125" customWidth="1"/>
    <col min="14" max="14" width="12.42578125" customWidth="1"/>
    <col min="18" max="18" width="15.42578125" customWidth="1"/>
    <col min="21" max="21" width="14" bestFit="1" customWidth="1"/>
  </cols>
  <sheetData>
    <row r="1" spans="3:23" x14ac:dyDescent="0.25">
      <c r="C1" s="45" t="s">
        <v>57</v>
      </c>
      <c r="D1" s="45"/>
      <c r="E1" s="45"/>
      <c r="F1" s="45"/>
    </row>
    <row r="2" spans="3:23" x14ac:dyDescent="0.25">
      <c r="P2" t="s">
        <v>31</v>
      </c>
    </row>
    <row r="3" spans="3:23" x14ac:dyDescent="0.25">
      <c r="C3" s="14"/>
      <c r="D3" s="25">
        <v>0</v>
      </c>
      <c r="E3" s="25" t="s">
        <v>32</v>
      </c>
      <c r="F3" s="25" t="s">
        <v>33</v>
      </c>
      <c r="G3" s="25" t="s">
        <v>34</v>
      </c>
      <c r="H3" s="25" t="s">
        <v>35</v>
      </c>
      <c r="I3" s="25" t="s">
        <v>36</v>
      </c>
      <c r="J3" s="25" t="s">
        <v>37</v>
      </c>
      <c r="P3" t="s">
        <v>38</v>
      </c>
    </row>
    <row r="4" spans="3:23" x14ac:dyDescent="0.25">
      <c r="C4" s="16" t="s">
        <v>18</v>
      </c>
      <c r="D4" s="14">
        <v>2</v>
      </c>
      <c r="E4" s="14">
        <v>2</v>
      </c>
      <c r="F4" s="14">
        <f>D4</f>
        <v>2</v>
      </c>
      <c r="G4" s="14">
        <f>E4</f>
        <v>2</v>
      </c>
      <c r="H4" s="19">
        <f>F4/MAX($F$4:$F$10)</f>
        <v>0.04</v>
      </c>
      <c r="I4" s="19">
        <f>G4/MAX($G$4:$G$10)</f>
        <v>5.2631578947368418E-2</v>
      </c>
      <c r="J4" s="19">
        <f>ABS(I4-H4)</f>
        <v>1.2631578947368417E-2</v>
      </c>
      <c r="K4">
        <f>(D4-E4)/SQRT(E4)</f>
        <v>0</v>
      </c>
      <c r="L4">
        <f>((D4-E4)^2/SQRT(E4))/E4</f>
        <v>0</v>
      </c>
    </row>
    <row r="5" spans="3:23" ht="15.75" x14ac:dyDescent="0.25">
      <c r="C5" s="16" t="s">
        <v>19</v>
      </c>
      <c r="D5" s="14">
        <v>6</v>
      </c>
      <c r="E5" s="14">
        <v>3</v>
      </c>
      <c r="F5" s="14">
        <f>F4+D5</f>
        <v>8</v>
      </c>
      <c r="G5" s="14">
        <f>G4+E5</f>
        <v>5</v>
      </c>
      <c r="H5" s="19">
        <f t="shared" ref="H5:H10" si="0">F5/MAX($F$4:$F$10)</f>
        <v>0.16</v>
      </c>
      <c r="I5" s="19">
        <f t="shared" ref="I5:I10" si="1">G5/MAX($G$4:$G$10)</f>
        <v>0.13157894736842105</v>
      </c>
      <c r="J5" s="19">
        <f t="shared" ref="J5:J10" si="2">ABS(I5-H5)</f>
        <v>2.8421052631578958E-2</v>
      </c>
      <c r="K5" s="18">
        <f t="shared" ref="K5:K10" si="3">(D5-E5)/SQRT(E5)</f>
        <v>1.7320508075688774</v>
      </c>
      <c r="L5" s="18">
        <f t="shared" ref="L5:L10" si="4">((D5-E5)^2/SQRT(E5))/E5</f>
        <v>1.7320508075688774</v>
      </c>
      <c r="O5" s="20">
        <v>14.51</v>
      </c>
      <c r="P5" s="20">
        <v>14.42</v>
      </c>
      <c r="Q5" s="20">
        <v>14.56</v>
      </c>
      <c r="R5" s="20">
        <v>14.47</v>
      </c>
      <c r="S5" s="20">
        <v>14.46</v>
      </c>
      <c r="T5" s="20">
        <v>14.35</v>
      </c>
      <c r="U5" s="20">
        <v>14.48</v>
      </c>
      <c r="V5" s="20">
        <v>14.53</v>
      </c>
    </row>
    <row r="6" spans="3:23" ht="15.75" x14ac:dyDescent="0.25">
      <c r="C6" s="16" t="s">
        <v>20</v>
      </c>
      <c r="D6" s="14">
        <v>11</v>
      </c>
      <c r="E6" s="14">
        <v>7</v>
      </c>
      <c r="F6" s="14">
        <f t="shared" ref="F6:G10" si="5">F5+D6</f>
        <v>19</v>
      </c>
      <c r="G6" s="14">
        <f t="shared" si="5"/>
        <v>12</v>
      </c>
      <c r="H6" s="19">
        <f t="shared" si="0"/>
        <v>0.38</v>
      </c>
      <c r="I6" s="19">
        <f t="shared" si="1"/>
        <v>0.31578947368421051</v>
      </c>
      <c r="J6" s="19">
        <f t="shared" si="2"/>
        <v>6.4210526315789496E-2</v>
      </c>
      <c r="K6" s="18">
        <f t="shared" si="3"/>
        <v>1.5118578920369088</v>
      </c>
      <c r="L6" s="18">
        <f t="shared" si="4"/>
        <v>0.86391879544966221</v>
      </c>
      <c r="O6" s="20">
        <v>14.21</v>
      </c>
      <c r="P6" s="20">
        <v>14.31</v>
      </c>
      <c r="Q6" s="20">
        <v>14.35</v>
      </c>
      <c r="R6" s="20">
        <v>14.68</v>
      </c>
      <c r="S6" s="20">
        <v>14.56</v>
      </c>
      <c r="T6" s="20">
        <v>14.28</v>
      </c>
      <c r="U6" s="20">
        <v>14.36</v>
      </c>
      <c r="V6" s="20">
        <v>14.21</v>
      </c>
    </row>
    <row r="7" spans="3:23" ht="15.75" x14ac:dyDescent="0.25">
      <c r="C7" s="16" t="s">
        <v>21</v>
      </c>
      <c r="D7" s="14">
        <v>8</v>
      </c>
      <c r="E7" s="14">
        <v>14</v>
      </c>
      <c r="F7" s="14">
        <f t="shared" si="5"/>
        <v>27</v>
      </c>
      <c r="G7" s="14">
        <f t="shared" si="5"/>
        <v>26</v>
      </c>
      <c r="H7" s="19">
        <f t="shared" si="0"/>
        <v>0.54</v>
      </c>
      <c r="I7" s="19">
        <f t="shared" si="1"/>
        <v>0.68421052631578949</v>
      </c>
      <c r="J7" s="19">
        <f t="shared" si="2"/>
        <v>0.14421052631578946</v>
      </c>
      <c r="K7" s="18">
        <f t="shared" si="3"/>
        <v>-1.6035674514745464</v>
      </c>
      <c r="L7" s="18">
        <f t="shared" si="4"/>
        <v>0.68724319348909124</v>
      </c>
      <c r="O7" s="20">
        <v>14.52</v>
      </c>
      <c r="P7" s="20">
        <v>14.23</v>
      </c>
      <c r="Q7" s="20">
        <v>14.41</v>
      </c>
      <c r="R7" s="20">
        <v>14.46</v>
      </c>
      <c r="S7" s="20">
        <v>14.69</v>
      </c>
      <c r="T7" s="20">
        <v>14.54</v>
      </c>
      <c r="U7" s="20">
        <v>14.36</v>
      </c>
      <c r="V7" s="20">
        <v>14.15</v>
      </c>
    </row>
    <row r="8" spans="3:23" ht="15.75" x14ac:dyDescent="0.25">
      <c r="C8" s="16" t="s">
        <v>22</v>
      </c>
      <c r="D8" s="14">
        <v>17</v>
      </c>
      <c r="E8" s="14">
        <v>7</v>
      </c>
      <c r="F8" s="14">
        <f t="shared" si="5"/>
        <v>44</v>
      </c>
      <c r="G8" s="14">
        <f t="shared" si="5"/>
        <v>33</v>
      </c>
      <c r="H8" s="19">
        <f t="shared" si="0"/>
        <v>0.88</v>
      </c>
      <c r="I8" s="19">
        <f t="shared" si="1"/>
        <v>0.86842105263157898</v>
      </c>
      <c r="J8" s="19">
        <f t="shared" si="2"/>
        <v>1.1578947368421022E-2</v>
      </c>
      <c r="K8" s="18">
        <f t="shared" si="3"/>
        <v>3.7796447300922722</v>
      </c>
      <c r="L8" s="18">
        <f t="shared" si="4"/>
        <v>5.3994924715603885</v>
      </c>
      <c r="O8" s="20">
        <v>14.37</v>
      </c>
      <c r="P8" s="20">
        <v>14.51</v>
      </c>
      <c r="Q8" s="20">
        <v>14.25</v>
      </c>
      <c r="R8" s="20">
        <v>14.55</v>
      </c>
      <c r="S8" s="20">
        <v>14.51</v>
      </c>
      <c r="T8" s="20">
        <v>14.36</v>
      </c>
      <c r="U8" s="20">
        <v>14.62</v>
      </c>
      <c r="V8" s="20">
        <v>14.55</v>
      </c>
    </row>
    <row r="9" spans="3:23" ht="15.75" x14ac:dyDescent="0.25">
      <c r="C9" s="16" t="s">
        <v>23</v>
      </c>
      <c r="D9" s="14">
        <v>4</v>
      </c>
      <c r="E9" s="14">
        <v>3</v>
      </c>
      <c r="F9" s="14">
        <f t="shared" si="5"/>
        <v>48</v>
      </c>
      <c r="G9" s="14">
        <f t="shared" si="5"/>
        <v>36</v>
      </c>
      <c r="H9" s="19">
        <f t="shared" si="0"/>
        <v>0.96</v>
      </c>
      <c r="I9" s="19">
        <f t="shared" si="1"/>
        <v>0.94736842105263153</v>
      </c>
      <c r="J9" s="19">
        <f t="shared" si="2"/>
        <v>1.2631578947368438E-2</v>
      </c>
      <c r="K9" s="18">
        <f t="shared" si="3"/>
        <v>0.57735026918962584</v>
      </c>
      <c r="L9" s="18">
        <f t="shared" si="4"/>
        <v>0.19245008972987529</v>
      </c>
      <c r="O9" s="20">
        <v>14.38</v>
      </c>
      <c r="P9" s="20">
        <v>14.33</v>
      </c>
      <c r="Q9" s="20">
        <v>14.4</v>
      </c>
      <c r="R9" s="20">
        <v>14.52</v>
      </c>
      <c r="S9" s="20">
        <v>14.48</v>
      </c>
      <c r="T9" s="20">
        <v>14.51</v>
      </c>
      <c r="U9" s="20">
        <v>14.55</v>
      </c>
      <c r="V9" s="20">
        <v>14.39</v>
      </c>
    </row>
    <row r="10" spans="3:23" ht="15.75" x14ac:dyDescent="0.25">
      <c r="C10" s="16" t="s">
        <v>24</v>
      </c>
      <c r="D10" s="14">
        <v>2</v>
      </c>
      <c r="E10" s="14">
        <v>2</v>
      </c>
      <c r="F10" s="14">
        <f t="shared" si="5"/>
        <v>50</v>
      </c>
      <c r="G10" s="14">
        <f t="shared" si="5"/>
        <v>38</v>
      </c>
      <c r="H10" s="19">
        <f t="shared" si="0"/>
        <v>1</v>
      </c>
      <c r="I10" s="19">
        <f t="shared" si="1"/>
        <v>1</v>
      </c>
      <c r="J10" s="14">
        <f t="shared" si="2"/>
        <v>0</v>
      </c>
      <c r="K10">
        <f t="shared" si="3"/>
        <v>0</v>
      </c>
      <c r="L10">
        <f t="shared" si="4"/>
        <v>0</v>
      </c>
      <c r="O10" s="20">
        <v>14.54</v>
      </c>
      <c r="P10" s="20">
        <v>14.58</v>
      </c>
      <c r="Q10" s="20">
        <v>14.48</v>
      </c>
      <c r="R10" s="20">
        <v>14.37</v>
      </c>
      <c r="S10" s="20">
        <v>14.38</v>
      </c>
      <c r="T10" s="20">
        <v>14.51</v>
      </c>
      <c r="U10" s="20">
        <v>14.36</v>
      </c>
      <c r="V10" s="20">
        <v>14.15</v>
      </c>
    </row>
    <row r="11" spans="3:23" ht="15.75" x14ac:dyDescent="0.25">
      <c r="O11" s="20">
        <v>14.24</v>
      </c>
      <c r="P11" s="20">
        <v>14.32</v>
      </c>
      <c r="Q11" s="20"/>
      <c r="R11" s="20"/>
      <c r="S11" s="20"/>
      <c r="T11" s="20"/>
      <c r="U11" s="20"/>
      <c r="V11" s="20"/>
    </row>
    <row r="13" spans="3:23" ht="15.75" x14ac:dyDescent="0.25">
      <c r="C13" s="22" t="s">
        <v>39</v>
      </c>
      <c r="D13" s="18">
        <f>MAX(J4:J10)</f>
        <v>0.14421052631578946</v>
      </c>
      <c r="F13" s="15" t="s">
        <v>55</v>
      </c>
      <c r="K13" t="s">
        <v>47</v>
      </c>
      <c r="L13" s="18">
        <f>SUM(L4:L10)</f>
        <v>8.8751553577978957</v>
      </c>
      <c r="N13" s="45" t="s">
        <v>63</v>
      </c>
      <c r="O13" s="45"/>
      <c r="P13" s="45"/>
      <c r="Q13" s="45"/>
    </row>
    <row r="14" spans="3:23" x14ac:dyDescent="0.25">
      <c r="C14" s="22" t="s">
        <v>40</v>
      </c>
      <c r="D14">
        <f>MAX(F4:F10)</f>
        <v>50</v>
      </c>
      <c r="F14" s="15" t="s">
        <v>54</v>
      </c>
    </row>
    <row r="15" spans="3:23" ht="15.75" x14ac:dyDescent="0.25">
      <c r="C15" s="22" t="s">
        <v>41</v>
      </c>
      <c r="D15">
        <f>MAX(G4:G10)</f>
        <v>38</v>
      </c>
      <c r="F15" s="15" t="s">
        <v>53</v>
      </c>
      <c r="L15" s="49" t="s">
        <v>60</v>
      </c>
      <c r="M15" s="50"/>
      <c r="N15" s="51"/>
      <c r="P15" s="49" t="s">
        <v>65</v>
      </c>
      <c r="Q15" s="50"/>
      <c r="R15" s="51"/>
      <c r="U15" s="4" t="s">
        <v>18</v>
      </c>
      <c r="V15" s="18">
        <f t="shared" ref="V15:V21" si="6">(D4-$N$19)^2</f>
        <v>26.448979591836739</v>
      </c>
      <c r="W15" s="18">
        <f t="shared" ref="W15:W21" si="7">(E4-$R$19)^2</f>
        <v>11.755102040816329</v>
      </c>
    </row>
    <row r="16" spans="3:23" ht="15.75" x14ac:dyDescent="0.25">
      <c r="C16" s="22" t="s">
        <v>42</v>
      </c>
      <c r="D16">
        <f>D15*D14</f>
        <v>1900</v>
      </c>
      <c r="F16" s="15" t="s">
        <v>48</v>
      </c>
      <c r="L16" s="14" t="s">
        <v>59</v>
      </c>
      <c r="M16" s="14"/>
      <c r="N16" s="19">
        <f>VAR(D4:D10)</f>
        <v>29.476190476190471</v>
      </c>
      <c r="P16" s="14" t="s">
        <v>59</v>
      </c>
      <c r="Q16" s="14"/>
      <c r="R16" s="19">
        <f>VAR(E4:E10)</f>
        <v>18.952380952380953</v>
      </c>
      <c r="U16" s="4" t="s">
        <v>19</v>
      </c>
      <c r="V16" s="18">
        <f t="shared" si="6"/>
        <v>1.3061224489795926</v>
      </c>
      <c r="W16" s="18">
        <f t="shared" si="7"/>
        <v>5.8979591836734704</v>
      </c>
    </row>
    <row r="17" spans="3:28" ht="15.75" x14ac:dyDescent="0.25">
      <c r="C17" s="22" t="s">
        <v>43</v>
      </c>
      <c r="D17">
        <f>D15+D14</f>
        <v>88</v>
      </c>
      <c r="F17" s="15" t="s">
        <v>49</v>
      </c>
      <c r="L17" s="14" t="s">
        <v>61</v>
      </c>
      <c r="M17" s="14"/>
      <c r="N17" s="19">
        <f>SQRT(N16)</f>
        <v>5.4291979588324528</v>
      </c>
      <c r="P17" s="14" t="s">
        <v>61</v>
      </c>
      <c r="Q17" s="14"/>
      <c r="R17" s="19">
        <f>SQRT(R16)</f>
        <v>4.3534332373864366</v>
      </c>
      <c r="U17" s="4" t="s">
        <v>20</v>
      </c>
      <c r="V17" s="18">
        <f t="shared" si="6"/>
        <v>14.877551020408161</v>
      </c>
      <c r="W17" s="18">
        <f t="shared" si="7"/>
        <v>2.4693877551020402</v>
      </c>
    </row>
    <row r="18" spans="3:28" ht="15.75" x14ac:dyDescent="0.25">
      <c r="C18" s="22" t="s">
        <v>44</v>
      </c>
      <c r="D18">
        <f>D14+D15</f>
        <v>88</v>
      </c>
      <c r="F18" s="15" t="s">
        <v>50</v>
      </c>
      <c r="L18" s="14" t="s">
        <v>62</v>
      </c>
      <c r="M18" s="14"/>
      <c r="N18" s="19">
        <f>N17/7</f>
        <v>0.7755997084046361</v>
      </c>
      <c r="P18" s="14" t="s">
        <v>62</v>
      </c>
      <c r="Q18" s="14"/>
      <c r="R18" s="19">
        <f>R17/7</f>
        <v>0.62191903391234804</v>
      </c>
      <c r="U18" s="4" t="s">
        <v>21</v>
      </c>
      <c r="V18" s="18">
        <f t="shared" si="6"/>
        <v>0.73469387755101978</v>
      </c>
      <c r="W18" s="18">
        <f t="shared" si="7"/>
        <v>73.469387755102034</v>
      </c>
    </row>
    <row r="19" spans="3:28" ht="15.75" x14ac:dyDescent="0.25">
      <c r="C19" s="22" t="s">
        <v>56</v>
      </c>
      <c r="D19" s="18">
        <f>D13*SQRT(D16/D17)</f>
        <v>0.67008890362099027</v>
      </c>
      <c r="F19" s="15" t="s">
        <v>51</v>
      </c>
      <c r="L19" s="44" t="s">
        <v>64</v>
      </c>
      <c r="M19" s="44"/>
      <c r="N19" s="19">
        <f>AVERAGE(D4:D10)</f>
        <v>7.1428571428571432</v>
      </c>
      <c r="P19" s="44" t="s">
        <v>64</v>
      </c>
      <c r="Q19" s="44"/>
      <c r="R19" s="19">
        <f>AVERAGE(E4:E10)</f>
        <v>5.4285714285714288</v>
      </c>
      <c r="U19" s="4" t="s">
        <v>22</v>
      </c>
      <c r="V19" s="18">
        <f t="shared" si="6"/>
        <v>97.163265306122454</v>
      </c>
      <c r="W19" s="18">
        <f t="shared" si="7"/>
        <v>2.4693877551020402</v>
      </c>
    </row>
    <row r="20" spans="3:28" ht="15.75" x14ac:dyDescent="0.25">
      <c r="C20" s="22" t="s">
        <v>45</v>
      </c>
      <c r="D20" s="18">
        <f>1.36/SQRT(D18)</f>
        <v>0.1449764871218151</v>
      </c>
      <c r="F20" s="15" t="s">
        <v>52</v>
      </c>
      <c r="U20" s="4" t="s">
        <v>23</v>
      </c>
      <c r="V20" s="18">
        <f t="shared" si="6"/>
        <v>9.8775510204081662</v>
      </c>
      <c r="W20" s="18">
        <f t="shared" si="7"/>
        <v>5.8979591836734704</v>
      </c>
    </row>
    <row r="21" spans="3:28" ht="15.75" x14ac:dyDescent="0.25">
      <c r="U21" s="4" t="s">
        <v>24</v>
      </c>
      <c r="V21" s="18">
        <f t="shared" si="6"/>
        <v>26.448979591836739</v>
      </c>
      <c r="W21" s="18">
        <f t="shared" si="7"/>
        <v>11.755102040816329</v>
      </c>
    </row>
    <row r="22" spans="3:28" ht="15.75" x14ac:dyDescent="0.25">
      <c r="N22" s="3">
        <f>(7-1)*7</f>
        <v>42</v>
      </c>
      <c r="U22" s="4" t="s">
        <v>66</v>
      </c>
      <c r="V22" s="18">
        <f>SUM(V15:V21)</f>
        <v>176.85714285714286</v>
      </c>
      <c r="W22" s="18">
        <f>SUM(W15:W21)</f>
        <v>113.71428571428569</v>
      </c>
    </row>
    <row r="23" spans="3:28" x14ac:dyDescent="0.25">
      <c r="C23" s="22" t="s">
        <v>46</v>
      </c>
      <c r="D23" s="26" t="s">
        <v>69</v>
      </c>
      <c r="E23" s="27"/>
      <c r="F23" s="27"/>
      <c r="G23" s="27"/>
      <c r="H23" s="28"/>
      <c r="V23" s="45"/>
      <c r="W23" s="45"/>
    </row>
    <row r="24" spans="3:28" ht="15.75" x14ac:dyDescent="0.25">
      <c r="D24" s="29" t="s">
        <v>58</v>
      </c>
      <c r="E24" s="30"/>
      <c r="F24" s="30"/>
      <c r="G24" s="30"/>
      <c r="H24" s="31"/>
      <c r="V24" s="46">
        <f>SUM(V22:W22)</f>
        <v>290.57142857142856</v>
      </c>
      <c r="W24" s="46"/>
    </row>
    <row r="28" spans="3:28" ht="18.75" x14ac:dyDescent="0.3">
      <c r="S28" s="21" t="s">
        <v>67</v>
      </c>
      <c r="T28" s="24">
        <f>(N19-R19)/N30</f>
        <v>0.65175053591228216</v>
      </c>
    </row>
    <row r="29" spans="3:28" x14ac:dyDescent="0.25">
      <c r="D29" s="17"/>
    </row>
    <row r="30" spans="3:28" ht="18.75" x14ac:dyDescent="0.3">
      <c r="N30" s="47">
        <f>SQRT(V24/N22)</f>
        <v>2.6302789485031384</v>
      </c>
      <c r="O30" s="47"/>
      <c r="P30" s="47"/>
      <c r="Q30" s="47"/>
      <c r="R30" s="48" t="s">
        <v>68</v>
      </c>
      <c r="S30" s="48"/>
      <c r="T30" s="48"/>
      <c r="U30" s="48"/>
      <c r="V30" s="48"/>
      <c r="W30" s="48"/>
      <c r="X30" s="48"/>
      <c r="Y30" s="48"/>
      <c r="Z30" s="48"/>
      <c r="AA30" s="48"/>
      <c r="AB30" s="48"/>
    </row>
  </sheetData>
  <mergeCells count="10">
    <mergeCell ref="C1:F1"/>
    <mergeCell ref="L15:N15"/>
    <mergeCell ref="N13:Q13"/>
    <mergeCell ref="P15:R15"/>
    <mergeCell ref="L19:M19"/>
    <mergeCell ref="P19:Q19"/>
    <mergeCell ref="V23:W23"/>
    <mergeCell ref="V24:W24"/>
    <mergeCell ref="N30:Q30"/>
    <mergeCell ref="R30:AB30"/>
  </mergeCells>
  <phoneticPr fontId="11" type="noConversion"/>
  <pageMargins left="0.7" right="0.7" top="0.75" bottom="0.75" header="0.3" footer="0.3"/>
  <pageSetup paperSize="9" orientation="portrait" r:id="rId1"/>
  <ignoredErrors>
    <ignoredError sqref="N19 N1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445E-3E23-4E88-8C8A-BF1C154696D9}">
  <dimension ref="B1:Y25"/>
  <sheetViews>
    <sheetView workbookViewId="0">
      <selection activeCell="G7" sqref="G7"/>
    </sheetView>
  </sheetViews>
  <sheetFormatPr defaultRowHeight="15" x14ac:dyDescent="0.25"/>
  <cols>
    <col min="1" max="2" width="12.42578125" bestFit="1" customWidth="1"/>
    <col min="13" max="13" width="14.85546875" bestFit="1" customWidth="1"/>
    <col min="16" max="16" width="14" bestFit="1" customWidth="1"/>
    <col min="19" max="19" width="14" bestFit="1" customWidth="1"/>
  </cols>
  <sheetData>
    <row r="1" spans="2:25" x14ac:dyDescent="0.25">
      <c r="P1" s="35" t="s">
        <v>76</v>
      </c>
    </row>
    <row r="2" spans="2:25" ht="15.75" x14ac:dyDescent="0.25">
      <c r="B2" s="20">
        <v>14.51</v>
      </c>
      <c r="C2" s="20">
        <v>14.42</v>
      </c>
      <c r="D2" s="20">
        <v>14.56</v>
      </c>
      <c r="E2" s="20">
        <v>14.47</v>
      </c>
      <c r="F2" s="20">
        <v>14.46</v>
      </c>
      <c r="G2" s="20">
        <v>14.35</v>
      </c>
      <c r="H2" s="20">
        <v>14.48</v>
      </c>
      <c r="I2" s="20">
        <v>14.53</v>
      </c>
    </row>
    <row r="3" spans="2:25" ht="15.75" x14ac:dyDescent="0.25">
      <c r="B3" s="20">
        <v>14.21</v>
      </c>
      <c r="C3" s="20">
        <v>14.31</v>
      </c>
      <c r="D3" s="20">
        <v>14.35</v>
      </c>
      <c r="E3" s="20">
        <v>14.68</v>
      </c>
      <c r="F3" s="20">
        <v>14.56</v>
      </c>
      <c r="G3" s="20">
        <v>14.28</v>
      </c>
      <c r="H3" s="20">
        <v>14.36</v>
      </c>
      <c r="I3" s="20">
        <v>14.21</v>
      </c>
      <c r="P3" s="14"/>
      <c r="Q3" s="36">
        <v>0</v>
      </c>
      <c r="R3" s="36" t="s">
        <v>32</v>
      </c>
      <c r="S3" s="25" t="s">
        <v>77</v>
      </c>
    </row>
    <row r="4" spans="2:25" ht="15.75" x14ac:dyDescent="0.25">
      <c r="B4" s="20">
        <v>14.52</v>
      </c>
      <c r="C4" s="20">
        <v>14.23</v>
      </c>
      <c r="D4" s="20">
        <v>14.41</v>
      </c>
      <c r="E4" s="20">
        <v>14.46</v>
      </c>
      <c r="F4" s="20">
        <v>14.69</v>
      </c>
      <c r="G4" s="20">
        <v>14.54</v>
      </c>
      <c r="H4" s="20">
        <v>14.36</v>
      </c>
      <c r="I4" s="20">
        <v>14.15</v>
      </c>
      <c r="P4" s="16" t="s">
        <v>18</v>
      </c>
      <c r="Q4" s="19">
        <v>2</v>
      </c>
      <c r="R4" s="19">
        <v>2</v>
      </c>
      <c r="S4" s="19">
        <f>((Q4-R4)^2)/R4</f>
        <v>0</v>
      </c>
    </row>
    <row r="5" spans="2:25" ht="15.75" x14ac:dyDescent="0.25">
      <c r="B5" s="20">
        <v>14.37</v>
      </c>
      <c r="C5" s="20">
        <v>14.51</v>
      </c>
      <c r="D5" s="20">
        <v>14.25</v>
      </c>
      <c r="E5" s="20">
        <v>14.55</v>
      </c>
      <c r="F5" s="20">
        <v>14.51</v>
      </c>
      <c r="G5" s="20">
        <v>14.36</v>
      </c>
      <c r="H5" s="20">
        <v>14.62</v>
      </c>
      <c r="I5" s="20">
        <v>14.55</v>
      </c>
      <c r="P5" s="16" t="s">
        <v>19</v>
      </c>
      <c r="Q5" s="19">
        <v>6</v>
      </c>
      <c r="R5" s="19">
        <v>3</v>
      </c>
      <c r="S5" s="19">
        <f t="shared" ref="S5:S10" si="0">((Q5-R5)^2)/R5</f>
        <v>3</v>
      </c>
    </row>
    <row r="6" spans="2:25" ht="15.75" x14ac:dyDescent="0.25">
      <c r="B6" s="20">
        <v>14.38</v>
      </c>
      <c r="C6" s="20">
        <v>14.33</v>
      </c>
      <c r="D6" s="20">
        <v>14.4</v>
      </c>
      <c r="E6" s="20">
        <v>14.52</v>
      </c>
      <c r="F6" s="20">
        <v>14.48</v>
      </c>
      <c r="G6" s="20">
        <v>14.51</v>
      </c>
      <c r="H6" s="20">
        <v>14.55</v>
      </c>
      <c r="I6" s="20">
        <v>14.39</v>
      </c>
      <c r="P6" s="16" t="s">
        <v>20</v>
      </c>
      <c r="Q6" s="19">
        <v>11</v>
      </c>
      <c r="R6" s="19">
        <v>7</v>
      </c>
      <c r="S6" s="19">
        <f t="shared" si="0"/>
        <v>2.2857142857142856</v>
      </c>
    </row>
    <row r="7" spans="2:25" ht="15.75" x14ac:dyDescent="0.25">
      <c r="B7" s="20">
        <v>14.54</v>
      </c>
      <c r="C7" s="20">
        <v>14.58</v>
      </c>
      <c r="D7" s="20">
        <v>14.48</v>
      </c>
      <c r="E7" s="20">
        <v>14.37</v>
      </c>
      <c r="F7" s="20">
        <v>14.38</v>
      </c>
      <c r="G7" s="20">
        <v>14.51</v>
      </c>
      <c r="H7" s="20">
        <v>14.36</v>
      </c>
      <c r="I7" s="20">
        <v>14.15</v>
      </c>
      <c r="P7" s="16" t="s">
        <v>21</v>
      </c>
      <c r="Q7" s="19">
        <v>8</v>
      </c>
      <c r="R7" s="19">
        <v>14</v>
      </c>
      <c r="S7" s="19">
        <f t="shared" si="0"/>
        <v>2.5714285714285716</v>
      </c>
    </row>
    <row r="8" spans="2:25" ht="15.75" x14ac:dyDescent="0.25">
      <c r="B8" s="20">
        <v>14.24</v>
      </c>
      <c r="C8" s="20">
        <v>14.32</v>
      </c>
      <c r="D8" s="20"/>
      <c r="E8" s="20"/>
      <c r="F8" s="20"/>
      <c r="G8" s="20"/>
      <c r="H8" s="20"/>
      <c r="I8" s="20"/>
      <c r="P8" s="16" t="s">
        <v>22</v>
      </c>
      <c r="Q8" s="19">
        <v>17</v>
      </c>
      <c r="R8" s="19">
        <v>7</v>
      </c>
      <c r="S8" s="19">
        <f t="shared" si="0"/>
        <v>14.285714285714286</v>
      </c>
    </row>
    <row r="9" spans="2:25" x14ac:dyDescent="0.25">
      <c r="P9" s="16" t="s">
        <v>23</v>
      </c>
      <c r="Q9" s="19">
        <v>4</v>
      </c>
      <c r="R9" s="19">
        <v>3</v>
      </c>
      <c r="S9" s="19">
        <f t="shared" si="0"/>
        <v>0.33333333333333331</v>
      </c>
    </row>
    <row r="10" spans="2:25" x14ac:dyDescent="0.25">
      <c r="B10" s="14"/>
      <c r="C10" s="25">
        <v>0</v>
      </c>
      <c r="D10" s="25" t="s">
        <v>32</v>
      </c>
      <c r="P10" s="16" t="s">
        <v>24</v>
      </c>
      <c r="Q10" s="19">
        <v>2</v>
      </c>
      <c r="R10" s="19">
        <v>2</v>
      </c>
      <c r="S10" s="19">
        <f t="shared" si="0"/>
        <v>0</v>
      </c>
    </row>
    <row r="11" spans="2:25" x14ac:dyDescent="0.25">
      <c r="B11" s="16" t="s">
        <v>18</v>
      </c>
      <c r="C11" s="19">
        <v>2</v>
      </c>
      <c r="D11" s="19">
        <v>2</v>
      </c>
      <c r="P11" s="16" t="s">
        <v>70</v>
      </c>
      <c r="Q11" s="19">
        <f>SUM(Q4:Q10)</f>
        <v>50</v>
      </c>
      <c r="R11" s="19">
        <f>SUM(R4:R10)</f>
        <v>38</v>
      </c>
      <c r="S11" s="19"/>
    </row>
    <row r="12" spans="2:25" x14ac:dyDescent="0.25">
      <c r="B12" s="16" t="s">
        <v>19</v>
      </c>
      <c r="C12" s="19">
        <v>6</v>
      </c>
      <c r="D12" s="19">
        <v>3</v>
      </c>
      <c r="P12" s="16" t="s">
        <v>76</v>
      </c>
      <c r="Q12" s="55">
        <f>SUM(S4:S10)</f>
        <v>22.476190476190478</v>
      </c>
      <c r="R12" s="56"/>
      <c r="S12" s="57"/>
    </row>
    <row r="13" spans="2:25" x14ac:dyDescent="0.25">
      <c r="B13" s="16" t="s">
        <v>20</v>
      </c>
      <c r="C13" s="19">
        <v>11</v>
      </c>
      <c r="D13" s="19">
        <v>7</v>
      </c>
      <c r="P13" s="16" t="s">
        <v>78</v>
      </c>
      <c r="Q13" s="55">
        <f>_xlfn.CHISQ.INV(0.95,C21)</f>
        <v>12.591587243743977</v>
      </c>
      <c r="R13" s="56"/>
      <c r="S13" s="57"/>
    </row>
    <row r="14" spans="2:25" x14ac:dyDescent="0.25">
      <c r="B14" s="16" t="s">
        <v>21</v>
      </c>
      <c r="C14" s="19">
        <v>8</v>
      </c>
      <c r="D14" s="19">
        <v>14</v>
      </c>
    </row>
    <row r="15" spans="2:25" x14ac:dyDescent="0.25">
      <c r="B15" s="16" t="s">
        <v>22</v>
      </c>
      <c r="C15" s="19">
        <v>17</v>
      </c>
      <c r="D15" s="19">
        <v>7</v>
      </c>
      <c r="P15" s="16" t="s">
        <v>74</v>
      </c>
      <c r="Q15" s="22" t="s">
        <v>79</v>
      </c>
      <c r="R15" s="22"/>
      <c r="S15" s="22"/>
      <c r="T15" s="22"/>
      <c r="U15" s="22"/>
      <c r="V15" s="22"/>
      <c r="W15" s="22"/>
      <c r="X15" s="22"/>
      <c r="Y15" s="22"/>
    </row>
    <row r="16" spans="2:25" x14ac:dyDescent="0.25">
      <c r="B16" s="16" t="s">
        <v>23</v>
      </c>
      <c r="C16" s="19">
        <v>4</v>
      </c>
      <c r="D16" s="19">
        <v>3</v>
      </c>
    </row>
    <row r="17" spans="2:19" x14ac:dyDescent="0.25">
      <c r="B17" s="16" t="s">
        <v>24</v>
      </c>
      <c r="C17" s="19">
        <v>2</v>
      </c>
      <c r="D17" s="19">
        <v>2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2:19" x14ac:dyDescent="0.25">
      <c r="B18" s="16" t="s">
        <v>70</v>
      </c>
      <c r="C18" s="19">
        <f>SUM(C11:C17)</f>
        <v>50</v>
      </c>
      <c r="D18" s="19">
        <f>SUM(D11:D17)</f>
        <v>38</v>
      </c>
    </row>
    <row r="19" spans="2:19" x14ac:dyDescent="0.25">
      <c r="B19" s="16" t="s">
        <v>71</v>
      </c>
      <c r="C19" s="19">
        <f>AVERAGE(C11:C17)</f>
        <v>7.1428571428571432</v>
      </c>
      <c r="D19" s="19">
        <f>AVERAGE(D11:D17)</f>
        <v>5.4285714285714288</v>
      </c>
    </row>
    <row r="20" spans="2:19" x14ac:dyDescent="0.25">
      <c r="B20" s="32" t="s">
        <v>12</v>
      </c>
      <c r="C20" s="19">
        <f>VAR(C11:C17)</f>
        <v>29.476190476190471</v>
      </c>
      <c r="D20" s="19">
        <f>VAR(D11:D17)</f>
        <v>18.952380952380953</v>
      </c>
    </row>
    <row r="21" spans="2:19" x14ac:dyDescent="0.25">
      <c r="B21" s="16" t="s">
        <v>73</v>
      </c>
      <c r="C21" s="52">
        <f>7-1</f>
        <v>6</v>
      </c>
      <c r="D21" s="52"/>
    </row>
    <row r="22" spans="2:19" x14ac:dyDescent="0.25">
      <c r="B22" s="16" t="s">
        <v>72</v>
      </c>
      <c r="C22" s="53">
        <f>C20^2/D20^2</f>
        <v>2.4188846241256523</v>
      </c>
      <c r="D22" s="54"/>
    </row>
    <row r="25" spans="2:19" x14ac:dyDescent="0.25">
      <c r="B25" s="25" t="s">
        <v>74</v>
      </c>
      <c r="C25" s="33" t="s">
        <v>75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</sheetData>
  <mergeCells count="4">
    <mergeCell ref="C21:D21"/>
    <mergeCell ref="C22:D22"/>
    <mergeCell ref="Q12:S12"/>
    <mergeCell ref="Q13:S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4696-E362-440C-9AD5-220F3C7E4705}">
  <dimension ref="A3:P66"/>
  <sheetViews>
    <sheetView tabSelected="1" topLeftCell="A22" zoomScale="87" zoomScaleNormal="87" workbookViewId="0">
      <selection activeCell="E34" sqref="E34"/>
    </sheetView>
  </sheetViews>
  <sheetFormatPr defaultColWidth="9" defaultRowHeight="15" x14ac:dyDescent="0.25"/>
  <cols>
    <col min="1" max="1" width="15.85546875" style="58" bestFit="1" customWidth="1"/>
    <col min="2" max="2" width="9" style="58"/>
    <col min="3" max="3" width="13.5703125" style="58" bestFit="1" customWidth="1"/>
    <col min="4" max="5" width="9" style="58"/>
    <col min="6" max="8" width="8.5703125" style="58" bestFit="1" customWidth="1"/>
    <col min="9" max="9" width="23.28515625" style="58" customWidth="1"/>
    <col min="10" max="10" width="22.7109375" style="58" customWidth="1"/>
    <col min="11" max="11" width="24.140625" style="58" customWidth="1"/>
    <col min="12" max="12" width="17.85546875" style="58" customWidth="1"/>
    <col min="13" max="13" width="13.7109375" style="58" customWidth="1"/>
    <col min="14" max="14" width="14.7109375" style="58" customWidth="1"/>
    <col min="15" max="16384" width="9" style="58"/>
  </cols>
  <sheetData>
    <row r="3" spans="1:11" x14ac:dyDescent="0.25">
      <c r="C3" s="59"/>
      <c r="D3" s="60">
        <v>0</v>
      </c>
      <c r="E3" s="60" t="s">
        <v>32</v>
      </c>
      <c r="F3" s="61" t="s">
        <v>112</v>
      </c>
      <c r="G3" s="61" t="s">
        <v>113</v>
      </c>
      <c r="H3" s="61" t="s">
        <v>114</v>
      </c>
    </row>
    <row r="4" spans="1:11" x14ac:dyDescent="0.25">
      <c r="C4" s="62" t="s">
        <v>18</v>
      </c>
      <c r="D4" s="59">
        <v>2</v>
      </c>
      <c r="E4" s="59">
        <v>1</v>
      </c>
      <c r="F4" s="63">
        <f>E4*D4</f>
        <v>2</v>
      </c>
      <c r="G4" s="63">
        <f>D4*D4</f>
        <v>4</v>
      </c>
      <c r="H4" s="63">
        <f>E4*E4</f>
        <v>1</v>
      </c>
    </row>
    <row r="5" spans="1:11" x14ac:dyDescent="0.25">
      <c r="C5" s="62" t="s">
        <v>19</v>
      </c>
      <c r="D5" s="59">
        <v>6</v>
      </c>
      <c r="E5" s="59">
        <v>3</v>
      </c>
      <c r="F5" s="63">
        <f t="shared" ref="F5:F10" si="0">E5*D5</f>
        <v>18</v>
      </c>
      <c r="G5" s="63">
        <f t="shared" ref="G5:H10" si="1">D5*D5</f>
        <v>36</v>
      </c>
      <c r="H5" s="63">
        <f t="shared" si="1"/>
        <v>9</v>
      </c>
    </row>
    <row r="6" spans="1:11" x14ac:dyDescent="0.25">
      <c r="C6" s="62" t="s">
        <v>20</v>
      </c>
      <c r="D6" s="59">
        <v>11</v>
      </c>
      <c r="E6" s="59">
        <v>7</v>
      </c>
      <c r="F6" s="63">
        <f t="shared" si="0"/>
        <v>77</v>
      </c>
      <c r="G6" s="63">
        <f t="shared" si="1"/>
        <v>121</v>
      </c>
      <c r="H6" s="63">
        <f t="shared" si="1"/>
        <v>49</v>
      </c>
    </row>
    <row r="7" spans="1:11" x14ac:dyDescent="0.25">
      <c r="C7" s="62" t="s">
        <v>21</v>
      </c>
      <c r="D7" s="59">
        <v>8</v>
      </c>
      <c r="E7" s="59">
        <v>9</v>
      </c>
      <c r="F7" s="63">
        <f t="shared" si="0"/>
        <v>72</v>
      </c>
      <c r="G7" s="63">
        <f t="shared" si="1"/>
        <v>64</v>
      </c>
      <c r="H7" s="63">
        <f t="shared" si="1"/>
        <v>81</v>
      </c>
    </row>
    <row r="8" spans="1:11" x14ac:dyDescent="0.25">
      <c r="C8" s="62" t="s">
        <v>22</v>
      </c>
      <c r="D8" s="59">
        <v>17</v>
      </c>
      <c r="E8" s="59">
        <v>7</v>
      </c>
      <c r="F8" s="63">
        <f t="shared" si="0"/>
        <v>119</v>
      </c>
      <c r="G8" s="63">
        <f t="shared" si="1"/>
        <v>289</v>
      </c>
      <c r="H8" s="63">
        <f t="shared" si="1"/>
        <v>49</v>
      </c>
    </row>
    <row r="9" spans="1:11" x14ac:dyDescent="0.25">
      <c r="C9" s="62" t="s">
        <v>23</v>
      </c>
      <c r="D9" s="59">
        <v>4</v>
      </c>
      <c r="E9" s="59">
        <v>3</v>
      </c>
      <c r="F9" s="63">
        <f t="shared" si="0"/>
        <v>12</v>
      </c>
      <c r="G9" s="63">
        <f t="shared" si="1"/>
        <v>16</v>
      </c>
      <c r="H9" s="63">
        <f t="shared" si="1"/>
        <v>9</v>
      </c>
    </row>
    <row r="10" spans="1:11" x14ac:dyDescent="0.25">
      <c r="C10" s="62" t="s">
        <v>24</v>
      </c>
      <c r="D10" s="59">
        <v>2</v>
      </c>
      <c r="E10" s="59">
        <v>1</v>
      </c>
      <c r="F10" s="63">
        <f t="shared" si="0"/>
        <v>2</v>
      </c>
      <c r="G10" s="63">
        <f t="shared" si="1"/>
        <v>4</v>
      </c>
      <c r="H10" s="63">
        <f t="shared" si="1"/>
        <v>1</v>
      </c>
    </row>
    <row r="11" spans="1:11" x14ac:dyDescent="0.25">
      <c r="C11" s="60" t="s">
        <v>115</v>
      </c>
      <c r="D11" s="59">
        <f t="shared" ref="D11:E11" si="2">SUM(D4:D10)</f>
        <v>50</v>
      </c>
      <c r="E11" s="59">
        <f t="shared" si="2"/>
        <v>31</v>
      </c>
      <c r="F11" s="59">
        <f>SUM(F4:F10)</f>
        <v>302</v>
      </c>
      <c r="G11" s="59">
        <f t="shared" ref="G11:H11" si="3">SUM(G4:G10)</f>
        <v>534</v>
      </c>
      <c r="H11" s="59">
        <f t="shared" si="3"/>
        <v>199</v>
      </c>
    </row>
    <row r="12" spans="1:11" x14ac:dyDescent="0.25">
      <c r="C12" s="60" t="s">
        <v>116</v>
      </c>
      <c r="D12" s="59">
        <f>AVERAGE(D4:D10)</f>
        <v>7.1428571428571432</v>
      </c>
      <c r="E12" s="59">
        <f t="shared" ref="E12:H12" si="4">AVERAGE(E4:E10)</f>
        <v>4.4285714285714288</v>
      </c>
      <c r="F12" s="59">
        <f t="shared" si="4"/>
        <v>43.142857142857146</v>
      </c>
      <c r="G12" s="59">
        <f t="shared" si="4"/>
        <v>76.285714285714292</v>
      </c>
      <c r="H12" s="59">
        <f t="shared" si="4"/>
        <v>28.428571428571427</v>
      </c>
    </row>
    <row r="14" spans="1:1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0" t="s">
        <v>117</v>
      </c>
      <c r="B15" s="61">
        <f>(F12-E12*D12)/(G12-D12*D12)</f>
        <v>0.45557350565428106</v>
      </c>
    </row>
    <row r="16" spans="1:11" x14ac:dyDescent="0.25">
      <c r="A16" s="60" t="s">
        <v>118</v>
      </c>
      <c r="B16" s="61">
        <f>E12-B15*D12</f>
        <v>1.1744749596122781</v>
      </c>
    </row>
    <row r="17" spans="1:12" x14ac:dyDescent="0.25">
      <c r="A17" s="65" t="s">
        <v>119</v>
      </c>
      <c r="B17" s="61">
        <f>CORREL(D4:D10,E4:E10)</f>
        <v>0.77121755767803102</v>
      </c>
    </row>
    <row r="18" spans="1:12" x14ac:dyDescent="0.25">
      <c r="A18" s="65" t="s">
        <v>120</v>
      </c>
      <c r="B18" s="61">
        <f>B17*B17</f>
        <v>0.59477652127086711</v>
      </c>
      <c r="C18" s="66"/>
      <c r="D18" s="66"/>
    </row>
    <row r="20" spans="1:12" x14ac:dyDescent="0.25">
      <c r="B20" s="66"/>
      <c r="C20" s="66"/>
      <c r="D20" s="66"/>
    </row>
    <row r="22" spans="1:12" x14ac:dyDescent="0.25">
      <c r="A22" s="67" t="s">
        <v>124</v>
      </c>
      <c r="B22" s="67"/>
      <c r="C22" s="67"/>
      <c r="D22" s="67"/>
      <c r="E22" s="67"/>
      <c r="F22" s="67"/>
      <c r="G22" s="67"/>
      <c r="H22" s="67"/>
      <c r="I22" s="67"/>
      <c r="J22" s="68"/>
      <c r="K22" s="68"/>
      <c r="L22" s="68"/>
    </row>
    <row r="24" spans="1:12" x14ac:dyDescent="0.25">
      <c r="A24" s="69" t="s">
        <v>83</v>
      </c>
      <c r="B24" s="69"/>
      <c r="C24" s="69"/>
      <c r="D24" s="69"/>
      <c r="E24" s="69"/>
      <c r="F24" s="69"/>
      <c r="G24" s="69"/>
      <c r="H24" s="69"/>
    </row>
    <row r="25" spans="1:12" x14ac:dyDescent="0.25">
      <c r="A25" s="61" t="s">
        <v>122</v>
      </c>
      <c r="B25" s="63">
        <f>(B18/(1-B18))*5</f>
        <v>7.3388704318936915</v>
      </c>
    </row>
    <row r="26" spans="1:12" x14ac:dyDescent="0.25">
      <c r="A26" s="70" t="s">
        <v>123</v>
      </c>
      <c r="B26" s="71">
        <f>_xlfn.F.INV.RT(0.05,1,5)</f>
        <v>6.607890973703368</v>
      </c>
      <c r="C26" s="58" t="s">
        <v>126</v>
      </c>
    </row>
    <row r="27" spans="1:12" x14ac:dyDescent="0.25">
      <c r="A27" s="72" t="s">
        <v>121</v>
      </c>
      <c r="B27" s="72"/>
      <c r="C27" s="72"/>
      <c r="D27" s="72"/>
      <c r="E27" s="72"/>
      <c r="F27" s="72"/>
      <c r="G27" s="72"/>
      <c r="H27" s="72"/>
    </row>
    <row r="29" spans="1:12" x14ac:dyDescent="0.25">
      <c r="A29" s="67" t="s">
        <v>84</v>
      </c>
      <c r="B29" s="67"/>
      <c r="C29" s="67"/>
      <c r="D29" s="67"/>
      <c r="E29" s="67"/>
      <c r="F29" s="67"/>
      <c r="G29" s="67"/>
      <c r="H29" s="67"/>
      <c r="I29" s="67"/>
      <c r="J29" s="66"/>
    </row>
    <row r="31" spans="1:12" x14ac:dyDescent="0.25">
      <c r="A31" s="73" t="s">
        <v>85</v>
      </c>
      <c r="B31" s="74"/>
      <c r="C31" s="75"/>
      <c r="D31" s="63">
        <f>SQRT(B25)</f>
        <v>2.7090349632099051</v>
      </c>
    </row>
    <row r="32" spans="1:12" x14ac:dyDescent="0.25">
      <c r="A32" s="76" t="s">
        <v>86</v>
      </c>
      <c r="B32" s="91"/>
      <c r="C32" s="77"/>
      <c r="D32" s="63">
        <f>_xlfn.T.INV.2T(0.05,5)</f>
        <v>2.570581835636315</v>
      </c>
    </row>
    <row r="34" spans="1:16" ht="15.75" x14ac:dyDescent="0.25">
      <c r="E34" s="89" t="s">
        <v>125</v>
      </c>
      <c r="F34" s="89"/>
      <c r="G34" s="89"/>
      <c r="H34" s="89"/>
      <c r="I34" s="89"/>
      <c r="J34" s="89"/>
      <c r="K34" s="89"/>
      <c r="L34" s="89"/>
      <c r="M34" s="89"/>
      <c r="N34" s="89"/>
      <c r="O34" s="90"/>
      <c r="P34" s="66"/>
    </row>
    <row r="36" spans="1:16" x14ac:dyDescent="0.25">
      <c r="A36" s="78" t="s">
        <v>87</v>
      </c>
      <c r="B36" s="78"/>
      <c r="C36" s="78"/>
      <c r="D36" s="78"/>
      <c r="E36" s="78"/>
      <c r="F36" s="78"/>
      <c r="G36" s="78"/>
    </row>
    <row r="38" spans="1:16" x14ac:dyDescent="0.25">
      <c r="A38" s="59"/>
      <c r="B38" s="60">
        <v>0</v>
      </c>
      <c r="C38" s="60" t="s">
        <v>32</v>
      </c>
    </row>
    <row r="39" spans="1:16" x14ac:dyDescent="0.25">
      <c r="A39" s="62" t="s">
        <v>18</v>
      </c>
      <c r="B39" s="59">
        <v>2</v>
      </c>
      <c r="C39" s="59">
        <v>1</v>
      </c>
    </row>
    <row r="40" spans="1:16" x14ac:dyDescent="0.25">
      <c r="A40" s="62" t="s">
        <v>19</v>
      </c>
      <c r="B40" s="59">
        <v>6</v>
      </c>
      <c r="C40" s="59">
        <v>3</v>
      </c>
    </row>
    <row r="41" spans="1:16" x14ac:dyDescent="0.25">
      <c r="A41" s="62" t="s">
        <v>20</v>
      </c>
      <c r="B41" s="59">
        <v>11</v>
      </c>
      <c r="C41" s="59">
        <v>7</v>
      </c>
    </row>
    <row r="42" spans="1:16" x14ac:dyDescent="0.25">
      <c r="A42" s="62" t="s">
        <v>21</v>
      </c>
      <c r="B42" s="59">
        <v>8</v>
      </c>
      <c r="C42" s="59">
        <v>9</v>
      </c>
    </row>
    <row r="43" spans="1:16" x14ac:dyDescent="0.25">
      <c r="A43" s="62" t="s">
        <v>22</v>
      </c>
      <c r="B43" s="59">
        <v>17</v>
      </c>
      <c r="C43" s="59">
        <v>7</v>
      </c>
    </row>
    <row r="44" spans="1:16" x14ac:dyDescent="0.25">
      <c r="A44" s="62" t="s">
        <v>23</v>
      </c>
      <c r="B44" s="59">
        <v>4</v>
      </c>
      <c r="C44" s="59">
        <v>3</v>
      </c>
    </row>
    <row r="45" spans="1:16" x14ac:dyDescent="0.25">
      <c r="A45" s="62" t="s">
        <v>24</v>
      </c>
      <c r="B45" s="59">
        <v>2</v>
      </c>
      <c r="C45" s="59">
        <v>1</v>
      </c>
    </row>
    <row r="49" spans="1:14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4"/>
      <c r="K49" s="84"/>
      <c r="L49" s="84"/>
      <c r="M49" s="84"/>
      <c r="N49" s="84"/>
    </row>
    <row r="50" spans="1:14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1:14" x14ac:dyDescent="0.25">
      <c r="A51" s="85"/>
      <c r="B51" s="85"/>
      <c r="C51" s="85"/>
      <c r="D51" s="84"/>
      <c r="E51" s="84"/>
      <c r="F51" s="86"/>
      <c r="G51" s="86"/>
      <c r="H51" s="86"/>
      <c r="I51" s="86"/>
      <c r="J51" s="84"/>
      <c r="K51" s="84"/>
      <c r="L51" s="84"/>
      <c r="M51" s="84"/>
      <c r="N51" s="84"/>
    </row>
    <row r="52" spans="1:14" x14ac:dyDescent="0.25">
      <c r="A52" s="87"/>
      <c r="B52" s="85"/>
      <c r="C52" s="85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</row>
    <row r="53" spans="1:14" x14ac:dyDescent="0.25">
      <c r="A53" s="87"/>
      <c r="B53" s="85"/>
      <c r="C53" s="85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</row>
    <row r="54" spans="1:14" x14ac:dyDescent="0.25">
      <c r="A54" s="87"/>
      <c r="B54" s="85"/>
      <c r="C54" s="85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spans="1:14" x14ac:dyDescent="0.25">
      <c r="A55" s="87"/>
      <c r="B55" s="85"/>
      <c r="C55" s="85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1:14" x14ac:dyDescent="0.25">
      <c r="A56" s="87"/>
      <c r="B56" s="85"/>
      <c r="C56" s="85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1:14" x14ac:dyDescent="0.25">
      <c r="A57" s="87"/>
      <c r="B57" s="85"/>
      <c r="C57" s="85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</row>
    <row r="58" spans="1:14" x14ac:dyDescent="0.25">
      <c r="A58" s="87"/>
      <c r="B58" s="85"/>
      <c r="C58" s="85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spans="1:14" x14ac:dyDescent="0.25">
      <c r="A59" s="84"/>
      <c r="B59" s="84"/>
      <c r="C59" s="84"/>
      <c r="D59" s="84"/>
      <c r="E59" s="84"/>
      <c r="F59" s="88"/>
      <c r="G59" s="88"/>
      <c r="H59" s="88"/>
      <c r="I59" s="88"/>
      <c r="J59" s="88"/>
      <c r="K59" s="86"/>
      <c r="L59" s="86"/>
      <c r="M59" s="84"/>
      <c r="N59" s="84"/>
    </row>
    <row r="60" spans="1:14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4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14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14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14" x14ac:dyDescent="0.25">
      <c r="A64" s="84"/>
      <c r="B64" s="84"/>
      <c r="C64" s="84"/>
      <c r="D64" s="84"/>
      <c r="E64" s="84"/>
      <c r="F64" s="88"/>
      <c r="G64" s="88"/>
      <c r="H64" s="88"/>
      <c r="I64" s="88"/>
      <c r="J64" s="88"/>
      <c r="K64" s="88"/>
      <c r="L64" s="88"/>
      <c r="M64" s="88"/>
      <c r="N64" s="88"/>
    </row>
    <row r="65" spans="1:14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spans="1:14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</row>
  </sheetData>
  <mergeCells count="8">
    <mergeCell ref="A36:G36"/>
    <mergeCell ref="A49:H49"/>
    <mergeCell ref="F51:I51"/>
    <mergeCell ref="K59:L59"/>
    <mergeCell ref="A31:C31"/>
    <mergeCell ref="A32:C32"/>
    <mergeCell ref="A24:H24"/>
    <mergeCell ref="A27:H27"/>
  </mergeCells>
  <pageMargins left="0.7" right="0.7" top="0.75" bottom="0.75" header="0.3" footer="0.3"/>
  <pageSetup paperSize="9" orientation="portrait" r:id="rId1"/>
  <ignoredErrors>
    <ignoredError sqref="B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75D2-E0CE-4884-AD77-B9AB5E43022E}">
  <dimension ref="A1:I18"/>
  <sheetViews>
    <sheetView workbookViewId="0">
      <selection activeCell="B26" sqref="B26"/>
    </sheetView>
  </sheetViews>
  <sheetFormatPr defaultRowHeight="15" x14ac:dyDescent="0.25"/>
  <cols>
    <col min="1" max="1" width="26.28515625" bestFit="1" customWidth="1"/>
    <col min="2" max="2" width="15" bestFit="1" customWidth="1"/>
    <col min="3" max="3" width="20.140625" bestFit="1" customWidth="1"/>
    <col min="4" max="5" width="12" bestFit="1" customWidth="1"/>
    <col min="6" max="6" width="14.7109375" bestFit="1" customWidth="1"/>
    <col min="7" max="7" width="12.85546875" bestFit="1" customWidth="1"/>
    <col min="8" max="8" width="14" bestFit="1" customWidth="1"/>
    <col min="9" max="9" width="14.5703125" bestFit="1" customWidth="1"/>
  </cols>
  <sheetData>
    <row r="1" spans="1:9" x14ac:dyDescent="0.25">
      <c r="A1" t="s">
        <v>100</v>
      </c>
    </row>
    <row r="2" spans="1:9" ht="15.75" thickBot="1" x14ac:dyDescent="0.3"/>
    <row r="3" spans="1:9" x14ac:dyDescent="0.25">
      <c r="A3" s="82" t="s">
        <v>88</v>
      </c>
      <c r="B3" s="82"/>
    </row>
    <row r="4" spans="1:9" x14ac:dyDescent="0.25">
      <c r="A4" s="79" t="s">
        <v>89</v>
      </c>
      <c r="B4" s="79">
        <v>0.77121755767803091</v>
      </c>
    </row>
    <row r="5" spans="1:9" x14ac:dyDescent="0.25">
      <c r="A5" s="79" t="s">
        <v>90</v>
      </c>
      <c r="B5" s="79">
        <v>0.594776521270867</v>
      </c>
    </row>
    <row r="6" spans="1:9" x14ac:dyDescent="0.25">
      <c r="A6" s="79" t="s">
        <v>91</v>
      </c>
      <c r="B6" s="79">
        <v>0.51373182552504049</v>
      </c>
    </row>
    <row r="7" spans="1:9" x14ac:dyDescent="0.25">
      <c r="A7" s="79" t="s">
        <v>92</v>
      </c>
      <c r="B7" s="79">
        <v>2.2364291870938589</v>
      </c>
    </row>
    <row r="8" spans="1:9" ht="15.75" thickBot="1" x14ac:dyDescent="0.3">
      <c r="A8" s="80" t="s">
        <v>93</v>
      </c>
      <c r="B8" s="80">
        <v>7</v>
      </c>
    </row>
    <row r="10" spans="1:9" ht="15.75" thickBot="1" x14ac:dyDescent="0.3">
      <c r="A10" t="s">
        <v>94</v>
      </c>
    </row>
    <row r="11" spans="1:9" x14ac:dyDescent="0.25">
      <c r="A11" s="81"/>
      <c r="B11" s="81" t="s">
        <v>95</v>
      </c>
      <c r="C11" s="81" t="s">
        <v>96</v>
      </c>
      <c r="D11" s="81" t="s">
        <v>97</v>
      </c>
      <c r="E11" s="81" t="s">
        <v>72</v>
      </c>
      <c r="F11" s="81" t="s">
        <v>98</v>
      </c>
    </row>
    <row r="12" spans="1:9" x14ac:dyDescent="0.25">
      <c r="A12" s="79" t="s">
        <v>99</v>
      </c>
      <c r="B12" s="79">
        <v>1</v>
      </c>
      <c r="C12" s="79">
        <v>36.706208169859217</v>
      </c>
      <c r="D12" s="79">
        <v>36.706208169859217</v>
      </c>
      <c r="E12" s="79">
        <v>7.3388704318936879</v>
      </c>
      <c r="F12" s="79">
        <v>4.232490580802277E-2</v>
      </c>
    </row>
    <row r="13" spans="1:9" x14ac:dyDescent="0.25">
      <c r="A13" s="79" t="s">
        <v>101</v>
      </c>
      <c r="B13" s="79">
        <v>5</v>
      </c>
      <c r="C13" s="79">
        <v>25.008077544426492</v>
      </c>
      <c r="D13" s="79">
        <v>5.0016155088852985</v>
      </c>
      <c r="E13" s="79"/>
      <c r="F13" s="79"/>
    </row>
    <row r="14" spans="1:9" ht="15.75" thickBot="1" x14ac:dyDescent="0.3">
      <c r="A14" s="80" t="s">
        <v>102</v>
      </c>
      <c r="B14" s="80">
        <v>6</v>
      </c>
      <c r="C14" s="80">
        <v>61.714285714285708</v>
      </c>
      <c r="D14" s="80"/>
      <c r="E14" s="80"/>
      <c r="F14" s="80"/>
    </row>
    <row r="16" spans="1:9" x14ac:dyDescent="0.25">
      <c r="B16" t="s">
        <v>103</v>
      </c>
      <c r="C16" t="s">
        <v>92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 t="s">
        <v>109</v>
      </c>
    </row>
    <row r="17" spans="1:9" x14ac:dyDescent="0.25">
      <c r="A17" t="s">
        <v>110</v>
      </c>
      <c r="B17">
        <v>1.1744749596122777</v>
      </c>
      <c r="C17">
        <v>1.4688094488005936</v>
      </c>
      <c r="D17">
        <v>0.799610160849207</v>
      </c>
      <c r="E17">
        <v>0.46022031694498716</v>
      </c>
      <c r="F17">
        <v>-2.6012199294855165</v>
      </c>
      <c r="G17">
        <v>4.9501698487100718</v>
      </c>
      <c r="H17">
        <v>-2.6012199294855165</v>
      </c>
      <c r="I17">
        <v>4.9501698487100718</v>
      </c>
    </row>
    <row r="18" spans="1:9" x14ac:dyDescent="0.25">
      <c r="A18" t="s">
        <v>111</v>
      </c>
      <c r="B18">
        <v>0.45557350565428112</v>
      </c>
      <c r="C18">
        <v>0.16816818972113864</v>
      </c>
      <c r="D18">
        <v>2.7090349632099047</v>
      </c>
      <c r="E18">
        <v>4.2324905808022742E-2</v>
      </c>
      <c r="F18">
        <v>2.3283411825280431E-2</v>
      </c>
      <c r="G18">
        <v>0.88786359948328175</v>
      </c>
      <c r="H18">
        <v>2.3283411825280431E-2</v>
      </c>
      <c r="I18">
        <v>0.88786359948328175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Лаб1</vt:lpstr>
      <vt:lpstr>Лаб2</vt:lpstr>
      <vt:lpstr>Лаб3</vt:lpstr>
      <vt:lpstr>Лаб4</vt:lpstr>
      <vt:lpstr>Регрессия к лаб4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Гнеушев Ярослав</dc:creator>
  <cp:lastModifiedBy>Ярослав Гнеушев</cp:lastModifiedBy>
  <dcterms:created xsi:type="dcterms:W3CDTF">2022-09-26T12:09:33Z</dcterms:created>
  <dcterms:modified xsi:type="dcterms:W3CDTF">2022-11-29T15:38:26Z</dcterms:modified>
</cp:coreProperties>
</file>