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9d553257c3fb3/Documents/Python Projects/Eve Production Auto/data/"/>
    </mc:Choice>
  </mc:AlternateContent>
  <xr:revisionPtr revIDLastSave="2" documentId="8_{1745AA88-0A9C-4217-AAC9-F3DD1ABF8AAE}" xr6:coauthVersionLast="47" xr6:coauthVersionMax="47" xr10:uidLastSave="{CBF46DEB-7CD6-4F48-BF08-E006CF22DC13}"/>
  <bookViews>
    <workbookView xWindow="5280" yWindow="5280" windowWidth="28800" windowHeight="15460" activeTab="1" xr2:uid="{BF44D274-2D4D-43F3-BA6D-5CE71891A828}"/>
  </bookViews>
  <sheets>
    <sheet name="Market Orders" sheetId="8" r:id="rId1"/>
    <sheet name="Pricing" sheetId="6" r:id="rId2"/>
    <sheet name="BP Tech 1 Manufacture" sheetId="4" r:id="rId3"/>
    <sheet name="BP Tech 2 Manufacture Nonship" sheetId="10" r:id="rId4"/>
    <sheet name="Ship Component Reqs" sheetId="1" r:id="rId5"/>
    <sheet name="Component BP" sheetId="2" r:id="rId6"/>
    <sheet name="Component BP Run" sheetId="3" r:id="rId7"/>
    <sheet name="Economies of Scale Worksheet" sheetId="11" r:id="rId8"/>
    <sheet name="Sell Ore or Refine" sheetId="7" r:id="rId9"/>
    <sheet name="Datacore" sheetId="5" r:id="rId10"/>
    <sheet name="Providence Industry Calc" sheetId="9" r:id="rId11"/>
  </sheets>
  <definedNames>
    <definedName name="_xlnm._FilterDatabase" localSheetId="9" hidden="1">Datacore!$A$1:$G$9</definedName>
    <definedName name="_xlnm._FilterDatabase" localSheetId="4" hidden="1">'Ship Component Reqs'!$A$3:$F$9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6" l="1"/>
  <c r="E37" i="6"/>
  <c r="E203" i="8"/>
  <c r="F214" i="8"/>
  <c r="E214" i="8"/>
  <c r="K203" i="8"/>
  <c r="J203" i="8"/>
  <c r="E251" i="8"/>
  <c r="F251" i="8"/>
  <c r="G251" i="8" s="1"/>
  <c r="E250" i="8"/>
  <c r="F250" i="8" s="1"/>
  <c r="G250" i="8" s="1"/>
  <c r="E249" i="8"/>
  <c r="F249" i="8" s="1"/>
  <c r="G249" i="8" s="1"/>
  <c r="E248" i="8"/>
  <c r="F248" i="8" s="1"/>
  <c r="G248" i="8" s="1"/>
  <c r="E247" i="8"/>
  <c r="F247" i="8" s="1"/>
  <c r="G247" i="8" s="1"/>
  <c r="E246" i="8"/>
  <c r="F246" i="8" s="1"/>
  <c r="G246" i="8" s="1"/>
  <c r="E245" i="8"/>
  <c r="E240" i="8"/>
  <c r="E241" i="8"/>
  <c r="E242" i="8"/>
  <c r="E243" i="8"/>
  <c r="E244" i="8"/>
  <c r="E239" i="8"/>
  <c r="E13" i="8"/>
  <c r="E12" i="8"/>
  <c r="E11" i="8"/>
  <c r="E9" i="8"/>
  <c r="F215" i="8"/>
  <c r="F245" i="8"/>
  <c r="G245" i="8" s="1"/>
  <c r="F244" i="8"/>
  <c r="G244" i="8" s="1"/>
  <c r="F243" i="8"/>
  <c r="G243" i="8" s="1"/>
  <c r="F242" i="8"/>
  <c r="G242" i="8" s="1"/>
  <c r="F241" i="8"/>
  <c r="G241" i="8" s="1"/>
  <c r="F240" i="8"/>
  <c r="G240" i="8" s="1"/>
  <c r="F239" i="8"/>
  <c r="G239" i="8" s="1"/>
  <c r="L49" i="11"/>
  <c r="L41" i="11"/>
  <c r="F57" i="11"/>
  <c r="E238" i="8"/>
  <c r="F238" i="8" s="1"/>
  <c r="G238" i="8" s="1"/>
  <c r="E237" i="8"/>
  <c r="F237" i="8" s="1"/>
  <c r="G237" i="8" s="1"/>
  <c r="E236" i="8"/>
  <c r="F236" i="8" s="1"/>
  <c r="G236" i="8" s="1"/>
  <c r="E235" i="8"/>
  <c r="F235" i="8" s="1"/>
  <c r="G235" i="8" s="1"/>
  <c r="E234" i="8"/>
  <c r="F234" i="8" s="1"/>
  <c r="G234" i="8" s="1"/>
  <c r="E233" i="8"/>
  <c r="F233" i="8" s="1"/>
  <c r="G233" i="8" s="1"/>
  <c r="E232" i="8"/>
  <c r="F232" i="8" s="1"/>
  <c r="G232" i="8" s="1"/>
  <c r="F231" i="8"/>
  <c r="G231" i="8" s="1"/>
  <c r="E231" i="8"/>
  <c r="U11" i="9"/>
  <c r="U10" i="9"/>
  <c r="U13" i="9"/>
  <c r="U12" i="9"/>
  <c r="U7" i="9"/>
  <c r="V15" i="9"/>
  <c r="V3" i="9"/>
  <c r="T14" i="9"/>
  <c r="U8" i="9"/>
  <c r="U9" i="9"/>
  <c r="E468" i="2"/>
  <c r="E464" i="2"/>
  <c r="E459" i="2"/>
  <c r="E454" i="2"/>
  <c r="E444" i="2"/>
  <c r="E230" i="8"/>
  <c r="F230" i="8" s="1"/>
  <c r="G230" i="8" s="1"/>
  <c r="F229" i="8"/>
  <c r="G229" i="8" s="1"/>
  <c r="E229" i="8"/>
  <c r="E228" i="8"/>
  <c r="F228" i="8" s="1"/>
  <c r="G228" i="8" s="1"/>
  <c r="E227" i="8"/>
  <c r="F227" i="8" s="1"/>
  <c r="G227" i="8" s="1"/>
  <c r="E226" i="8"/>
  <c r="F226" i="8" s="1"/>
  <c r="G226" i="8" s="1"/>
  <c r="E225" i="8"/>
  <c r="F225" i="8" s="1"/>
  <c r="G225" i="8" s="1"/>
  <c r="E224" i="8"/>
  <c r="F224" i="8" s="1"/>
  <c r="G224" i="8" s="1"/>
  <c r="E223" i="8"/>
  <c r="F223" i="8" s="1"/>
  <c r="G223" i="8" s="1"/>
  <c r="E222" i="8"/>
  <c r="F222" i="8" s="1"/>
  <c r="G222" i="8" s="1"/>
  <c r="E221" i="8"/>
  <c r="F221" i="8" s="1"/>
  <c r="G221" i="8" s="1"/>
  <c r="E220" i="8"/>
  <c r="F220" i="8" s="1"/>
  <c r="G220" i="8" s="1"/>
  <c r="E219" i="8"/>
  <c r="F219" i="8" s="1"/>
  <c r="G219" i="8" s="1"/>
  <c r="N34" i="11"/>
  <c r="N30" i="11"/>
  <c r="N29" i="11"/>
  <c r="N28" i="11"/>
  <c r="N24" i="11"/>
  <c r="N23" i="11"/>
  <c r="N19" i="11"/>
  <c r="N18" i="11"/>
  <c r="N17" i="11"/>
  <c r="N13" i="11"/>
  <c r="N12" i="11"/>
  <c r="N8" i="11"/>
  <c r="N7" i="11"/>
  <c r="N3" i="11"/>
  <c r="N4" i="11"/>
  <c r="N9" i="11"/>
  <c r="N14" i="11"/>
  <c r="N20" i="11"/>
  <c r="N25" i="11"/>
  <c r="N31" i="11"/>
  <c r="N35" i="11"/>
  <c r="N41" i="11"/>
  <c r="G184" i="2"/>
  <c r="G183" i="2"/>
  <c r="G180" i="2"/>
  <c r="G179" i="2"/>
  <c r="G178" i="2"/>
  <c r="G177" i="2"/>
  <c r="G174" i="2"/>
  <c r="G173" i="2"/>
  <c r="G172" i="2"/>
  <c r="G169" i="2"/>
  <c r="G168" i="2"/>
  <c r="G167" i="2"/>
  <c r="G166" i="2"/>
  <c r="G163" i="2"/>
  <c r="G162" i="2"/>
  <c r="G161" i="2"/>
  <c r="G158" i="2"/>
  <c r="G157" i="2"/>
  <c r="G156" i="2"/>
  <c r="G153" i="2"/>
  <c r="G152" i="2"/>
  <c r="G147" i="2"/>
  <c r="G146" i="2"/>
  <c r="G143" i="2"/>
  <c r="G142" i="2"/>
  <c r="G141" i="2"/>
  <c r="G140" i="2"/>
  <c r="G137" i="2"/>
  <c r="G136" i="2"/>
  <c r="G135" i="2"/>
  <c r="G132" i="2"/>
  <c r="G131" i="2"/>
  <c r="G130" i="2"/>
  <c r="G129" i="2"/>
  <c r="G126" i="2"/>
  <c r="G125" i="2"/>
  <c r="G124" i="2"/>
  <c r="G121" i="2"/>
  <c r="G120" i="2"/>
  <c r="G119" i="2"/>
  <c r="G116" i="2"/>
  <c r="G115" i="2"/>
  <c r="G109" i="2"/>
  <c r="G108" i="2"/>
  <c r="G105" i="2"/>
  <c r="G104" i="2"/>
  <c r="G103" i="2"/>
  <c r="G102" i="2"/>
  <c r="G99" i="2"/>
  <c r="G98" i="2"/>
  <c r="G97" i="2"/>
  <c r="G94" i="2"/>
  <c r="G93" i="2"/>
  <c r="G92" i="2"/>
  <c r="G91" i="2"/>
  <c r="G88" i="2"/>
  <c r="G87" i="2"/>
  <c r="G86" i="2"/>
  <c r="G83" i="2"/>
  <c r="G82" i="2"/>
  <c r="G81" i="2"/>
  <c r="G78" i="2"/>
  <c r="G77" i="2"/>
  <c r="G72" i="2"/>
  <c r="G71" i="2"/>
  <c r="G68" i="2"/>
  <c r="G67" i="2"/>
  <c r="G66" i="2"/>
  <c r="G65" i="2"/>
  <c r="G62" i="2"/>
  <c r="G61" i="2"/>
  <c r="G60" i="2"/>
  <c r="G57" i="2"/>
  <c r="G56" i="2"/>
  <c r="G55" i="2"/>
  <c r="G54" i="2"/>
  <c r="G51" i="2"/>
  <c r="G50" i="2"/>
  <c r="G49" i="2"/>
  <c r="G46" i="2"/>
  <c r="G45" i="2"/>
  <c r="G44" i="2"/>
  <c r="G41" i="2"/>
  <c r="G40" i="2"/>
  <c r="L45" i="11"/>
  <c r="L46" i="11" s="1"/>
  <c r="N46" i="11" s="1"/>
  <c r="R43" i="11" s="1"/>
  <c r="G63" i="11"/>
  <c r="G61" i="11"/>
  <c r="G60" i="11"/>
  <c r="G59" i="11"/>
  <c r="G58" i="11"/>
  <c r="G57" i="11"/>
  <c r="G56" i="11"/>
  <c r="G55" i="11"/>
  <c r="G582" i="2"/>
  <c r="G581" i="2"/>
  <c r="G580" i="2"/>
  <c r="G577" i="2"/>
  <c r="G576" i="2"/>
  <c r="G575" i="2"/>
  <c r="G574" i="2"/>
  <c r="G571" i="2"/>
  <c r="G570" i="2"/>
  <c r="G569" i="2"/>
  <c r="G568" i="2"/>
  <c r="G565" i="2"/>
  <c r="G564" i="2"/>
  <c r="G563" i="2"/>
  <c r="G560" i="2"/>
  <c r="G559" i="2"/>
  <c r="G558" i="2"/>
  <c r="G555" i="2"/>
  <c r="G554" i="2"/>
  <c r="G551" i="2"/>
  <c r="G550" i="2"/>
  <c r="G545" i="2"/>
  <c r="G544" i="2"/>
  <c r="G543" i="2"/>
  <c r="G540" i="2"/>
  <c r="G539" i="2"/>
  <c r="G538" i="2"/>
  <c r="G537" i="2"/>
  <c r="G534" i="2"/>
  <c r="G533" i="2"/>
  <c r="G532" i="2"/>
  <c r="G531" i="2"/>
  <c r="G528" i="2"/>
  <c r="G527" i="2"/>
  <c r="G526" i="2"/>
  <c r="G523" i="2"/>
  <c r="G522" i="2"/>
  <c r="G521" i="2"/>
  <c r="G514" i="2"/>
  <c r="G513" i="2"/>
  <c r="G434" i="2"/>
  <c r="G428" i="2"/>
  <c r="G424" i="2"/>
  <c r="G419" i="2"/>
  <c r="G414" i="2"/>
  <c r="G410" i="2"/>
  <c r="G404" i="2"/>
  <c r="G433" i="2"/>
  <c r="G432" i="2"/>
  <c r="G431" i="2"/>
  <c r="G427" i="2"/>
  <c r="G423" i="2"/>
  <c r="G422" i="2"/>
  <c r="G418" i="2"/>
  <c r="G417" i="2"/>
  <c r="G413" i="2"/>
  <c r="G409" i="2"/>
  <c r="G408" i="2"/>
  <c r="G407" i="2"/>
  <c r="G403" i="2"/>
  <c r="G402" i="2"/>
  <c r="G222" i="2"/>
  <c r="G221" i="2"/>
  <c r="G218" i="2"/>
  <c r="G217" i="2"/>
  <c r="G216" i="2"/>
  <c r="G215" i="2"/>
  <c r="G212" i="2"/>
  <c r="G211" i="2"/>
  <c r="G210" i="2"/>
  <c r="G209" i="2"/>
  <c r="G206" i="2"/>
  <c r="G205" i="2"/>
  <c r="G204" i="2"/>
  <c r="G201" i="2"/>
  <c r="G200" i="2"/>
  <c r="G199" i="2"/>
  <c r="G196" i="2"/>
  <c r="G195" i="2"/>
  <c r="G194" i="2"/>
  <c r="G191" i="2"/>
  <c r="G190" i="2"/>
  <c r="G259" i="2"/>
  <c r="G258" i="2"/>
  <c r="G255" i="2"/>
  <c r="G254" i="2"/>
  <c r="G253" i="2"/>
  <c r="G252" i="2"/>
  <c r="G249" i="2"/>
  <c r="G248" i="2"/>
  <c r="G247" i="2"/>
  <c r="G246" i="2"/>
  <c r="G243" i="2"/>
  <c r="G242" i="2"/>
  <c r="G241" i="2"/>
  <c r="G238" i="2"/>
  <c r="G237" i="2"/>
  <c r="G236" i="2"/>
  <c r="G233" i="2"/>
  <c r="G232" i="2"/>
  <c r="G231" i="2"/>
  <c r="G228" i="2"/>
  <c r="G227" i="2"/>
  <c r="G296" i="2"/>
  <c r="G295" i="2"/>
  <c r="G292" i="2"/>
  <c r="G291" i="2"/>
  <c r="G290" i="2"/>
  <c r="G289" i="2"/>
  <c r="G286" i="2"/>
  <c r="G285" i="2"/>
  <c r="G284" i="2"/>
  <c r="G283" i="2"/>
  <c r="G280" i="2"/>
  <c r="G279" i="2"/>
  <c r="G278" i="2"/>
  <c r="G275" i="2"/>
  <c r="G274" i="2"/>
  <c r="G273" i="2"/>
  <c r="G270" i="2"/>
  <c r="G269" i="2"/>
  <c r="G268" i="2"/>
  <c r="G265" i="2"/>
  <c r="G264" i="2"/>
  <c r="G333" i="2"/>
  <c r="G332" i="2"/>
  <c r="G329" i="2"/>
  <c r="G328" i="2"/>
  <c r="G327" i="2"/>
  <c r="G326" i="2"/>
  <c r="G323" i="2"/>
  <c r="G322" i="2"/>
  <c r="G321" i="2"/>
  <c r="G320" i="2"/>
  <c r="G317" i="2"/>
  <c r="G316" i="2"/>
  <c r="G315" i="2"/>
  <c r="G312" i="2"/>
  <c r="G311" i="2"/>
  <c r="G310" i="2"/>
  <c r="G307" i="2"/>
  <c r="G306" i="2"/>
  <c r="G305" i="2"/>
  <c r="G302" i="2"/>
  <c r="G301" i="2"/>
  <c r="G370" i="2"/>
  <c r="G366" i="2"/>
  <c r="G360" i="2"/>
  <c r="G354" i="2"/>
  <c r="G349" i="2"/>
  <c r="G344" i="2"/>
  <c r="G339" i="2"/>
  <c r="G369" i="2"/>
  <c r="G365" i="2"/>
  <c r="G364" i="2"/>
  <c r="G363" i="2"/>
  <c r="G359" i="2"/>
  <c r="G358" i="2"/>
  <c r="G357" i="2"/>
  <c r="G353" i="2"/>
  <c r="G352" i="2"/>
  <c r="G348" i="2"/>
  <c r="G347" i="2"/>
  <c r="G343" i="2"/>
  <c r="G342" i="2"/>
  <c r="G377" i="2"/>
  <c r="G383" i="2"/>
  <c r="G376" i="2"/>
  <c r="G375" i="2"/>
  <c r="G382" i="2"/>
  <c r="G381" i="2"/>
  <c r="G380" i="2"/>
  <c r="F386" i="2"/>
  <c r="G386" i="2"/>
  <c r="F387" i="2"/>
  <c r="G387" i="2"/>
  <c r="F388" i="2"/>
  <c r="G388" i="2"/>
  <c r="F389" i="2"/>
  <c r="G389" i="2"/>
  <c r="G390" i="2"/>
  <c r="G391" i="2"/>
  <c r="G392" i="2"/>
  <c r="G393" i="2"/>
  <c r="G394" i="2"/>
  <c r="G395" i="2"/>
  <c r="G396" i="2"/>
  <c r="G338" i="2"/>
  <c r="E215" i="8"/>
  <c r="G215" i="8" s="1"/>
  <c r="E213" i="8"/>
  <c r="E218" i="8"/>
  <c r="F218" i="8" s="1"/>
  <c r="G218" i="8" s="1"/>
  <c r="E217" i="8"/>
  <c r="F217" i="8" s="1"/>
  <c r="G217" i="8" s="1"/>
  <c r="E216" i="8"/>
  <c r="F216" i="8" s="1"/>
  <c r="G216" i="8" s="1"/>
  <c r="F213" i="8"/>
  <c r="G213" i="8" s="1"/>
  <c r="E212" i="8"/>
  <c r="F212" i="8" s="1"/>
  <c r="G212" i="8" s="1"/>
  <c r="E211" i="8"/>
  <c r="F211" i="8" s="1"/>
  <c r="G211" i="8" s="1"/>
  <c r="E210" i="8"/>
  <c r="F210" i="8" s="1"/>
  <c r="G210" i="8" s="1"/>
  <c r="E209" i="8"/>
  <c r="F209" i="8" s="1"/>
  <c r="G209" i="8" s="1"/>
  <c r="E208" i="8"/>
  <c r="F208" i="8" s="1"/>
  <c r="G208" i="8" s="1"/>
  <c r="E207" i="8"/>
  <c r="F207" i="8" s="1"/>
  <c r="G207" i="8" s="1"/>
  <c r="E206" i="8"/>
  <c r="F206" i="8" s="1"/>
  <c r="G206" i="8" s="1"/>
  <c r="V4" i="9"/>
  <c r="U2" i="9"/>
  <c r="U1" i="9"/>
  <c r="T3" i="9"/>
  <c r="B14" i="11"/>
  <c r="C14" i="11"/>
  <c r="D14" i="11"/>
  <c r="E14" i="11"/>
  <c r="F14" i="11"/>
  <c r="R146" i="1"/>
  <c r="R147" i="1" s="1"/>
  <c r="S146" i="1"/>
  <c r="C146" i="1"/>
  <c r="F146" i="1" s="1"/>
  <c r="C145" i="1"/>
  <c r="H145" i="1" s="1"/>
  <c r="T136" i="1" s="1"/>
  <c r="H143" i="1"/>
  <c r="L143" i="1" s="1"/>
  <c r="C143" i="1"/>
  <c r="F143" i="1" s="1"/>
  <c r="H142" i="1"/>
  <c r="L142" i="1" s="1"/>
  <c r="C142" i="1"/>
  <c r="F142" i="1" s="1"/>
  <c r="H141" i="1"/>
  <c r="L141" i="1" s="1"/>
  <c r="C141" i="1"/>
  <c r="F141" i="1" s="1"/>
  <c r="H140" i="1"/>
  <c r="L140" i="1" s="1"/>
  <c r="D140" i="1"/>
  <c r="C140" i="1"/>
  <c r="F140" i="1" s="1"/>
  <c r="H139" i="1"/>
  <c r="L139" i="1" s="1"/>
  <c r="C139" i="1"/>
  <c r="F139" i="1" s="1"/>
  <c r="T138" i="1"/>
  <c r="H138" i="1"/>
  <c r="L138" i="1" s="1"/>
  <c r="C138" i="1"/>
  <c r="F138" i="1" s="1"/>
  <c r="H137" i="1"/>
  <c r="L137" i="1" s="1"/>
  <c r="C137" i="1"/>
  <c r="F137" i="1" s="1"/>
  <c r="E205" i="8"/>
  <c r="F205" i="8" s="1"/>
  <c r="G205" i="8" s="1"/>
  <c r="E204" i="8"/>
  <c r="F204" i="8" s="1"/>
  <c r="G204" i="8" s="1"/>
  <c r="F203" i="8"/>
  <c r="E202" i="8"/>
  <c r="F202" i="8" s="1"/>
  <c r="G202" i="8" s="1"/>
  <c r="E201" i="8"/>
  <c r="F201" i="8" s="1"/>
  <c r="G201" i="8" s="1"/>
  <c r="F200" i="8"/>
  <c r="G200" i="8" s="1"/>
  <c r="E200" i="8"/>
  <c r="F72" i="8"/>
  <c r="E2" i="8"/>
  <c r="E199" i="8"/>
  <c r="F199" i="8" s="1"/>
  <c r="G199" i="8" s="1"/>
  <c r="F198" i="8"/>
  <c r="G198" i="8" s="1"/>
  <c r="E198" i="8"/>
  <c r="F197" i="8"/>
  <c r="G197" i="8" s="1"/>
  <c r="F196" i="8"/>
  <c r="G196" i="8" s="1"/>
  <c r="E197" i="8"/>
  <c r="E196" i="8"/>
  <c r="F193" i="8"/>
  <c r="E193" i="8"/>
  <c r="E195" i="8"/>
  <c r="F195" i="8" s="1"/>
  <c r="G195" i="8" s="1"/>
  <c r="E194" i="8"/>
  <c r="F194" i="8" s="1"/>
  <c r="G194" i="8" s="1"/>
  <c r="G193" i="8"/>
  <c r="E192" i="8"/>
  <c r="F192" i="8" s="1"/>
  <c r="G192" i="8" s="1"/>
  <c r="E190" i="8"/>
  <c r="F190" i="8"/>
  <c r="G190" i="8" s="1"/>
  <c r="E191" i="8"/>
  <c r="F191" i="8" s="1"/>
  <c r="G191" i="8" s="1"/>
  <c r="F189" i="8"/>
  <c r="G189" i="8" s="1"/>
  <c r="E189" i="8"/>
  <c r="G188" i="8"/>
  <c r="F188" i="8"/>
  <c r="E188" i="8"/>
  <c r="G187" i="8"/>
  <c r="F187" i="8"/>
  <c r="E187" i="8"/>
  <c r="K186" i="8"/>
  <c r="J186" i="8"/>
  <c r="F186" i="8" a="1"/>
  <c r="F186" i="8" s="1"/>
  <c r="E186" i="8" a="1"/>
  <c r="E186" i="8" s="1"/>
  <c r="L251" i="8"/>
  <c r="M251" i="8" s="1"/>
  <c r="E151" i="8" a="1"/>
  <c r="E151" i="8" s="1"/>
  <c r="C78" i="1"/>
  <c r="F78" i="1" s="1"/>
  <c r="E231" i="2" s="1"/>
  <c r="E183" i="8"/>
  <c r="F183" i="8" s="1"/>
  <c r="G183" i="8" s="1"/>
  <c r="E185" i="8"/>
  <c r="F185" i="8" s="1"/>
  <c r="G185" i="8" s="1"/>
  <c r="E184" i="8"/>
  <c r="F184" i="8" s="1"/>
  <c r="G184" i="8" s="1"/>
  <c r="E182" i="8"/>
  <c r="F182" i="8" s="1"/>
  <c r="G182" i="8" s="1"/>
  <c r="E181" i="8"/>
  <c r="F181" i="8" s="1"/>
  <c r="G181" i="8" s="1"/>
  <c r="E180" i="8"/>
  <c r="F180" i="8" s="1"/>
  <c r="G180" i="8" s="1"/>
  <c r="E179" i="8"/>
  <c r="F179" i="8" s="1"/>
  <c r="G179" i="8" s="1"/>
  <c r="E178" i="8"/>
  <c r="F178" i="8" s="1"/>
  <c r="G178" i="8" s="1"/>
  <c r="E177" i="8"/>
  <c r="F177" i="8" s="1"/>
  <c r="G177" i="8" s="1"/>
  <c r="L71" i="11"/>
  <c r="N71" i="11" s="1"/>
  <c r="L65" i="11"/>
  <c r="N65" i="11" s="1"/>
  <c r="L59" i="11"/>
  <c r="N59" i="11" s="1"/>
  <c r="L54" i="11"/>
  <c r="N54" i="11" s="1"/>
  <c r="N49" i="11"/>
  <c r="L42" i="11"/>
  <c r="N42" i="11" s="1"/>
  <c r="E176" i="8"/>
  <c r="F176" i="8" s="1"/>
  <c r="G176" i="8" s="1"/>
  <c r="E175" i="8"/>
  <c r="F175" i="8" s="1"/>
  <c r="G175" i="8" s="1"/>
  <c r="E174" i="8"/>
  <c r="E173" i="8"/>
  <c r="F173" i="8" s="1"/>
  <c r="G173" i="8" s="1"/>
  <c r="E172" i="8"/>
  <c r="F172" i="8" s="1"/>
  <c r="G172" i="8" s="1"/>
  <c r="E171" i="8"/>
  <c r="F174" i="8"/>
  <c r="G174" i="8" s="1"/>
  <c r="F171" i="8"/>
  <c r="G171" i="8" s="1"/>
  <c r="J37" i="4"/>
  <c r="D43" i="4"/>
  <c r="E43" i="4" s="1"/>
  <c r="D37" i="4"/>
  <c r="D36" i="4"/>
  <c r="E170" i="8"/>
  <c r="F170" i="8" s="1"/>
  <c r="G170" i="8" s="1"/>
  <c r="E169" i="8"/>
  <c r="F169" i="8" s="1"/>
  <c r="G169" i="8" s="1"/>
  <c r="E168" i="8"/>
  <c r="F168" i="8" s="1"/>
  <c r="G168" i="8" s="1"/>
  <c r="E167" i="8"/>
  <c r="F167" i="8" s="1"/>
  <c r="G167" i="8" s="1"/>
  <c r="E166" i="8"/>
  <c r="F166" i="8" s="1"/>
  <c r="G166" i="8" s="1"/>
  <c r="E165" i="8"/>
  <c r="F165" i="8" s="1"/>
  <c r="G165" i="8" s="1"/>
  <c r="E152" i="8"/>
  <c r="F152" i="8" s="1"/>
  <c r="G152" i="8" s="1"/>
  <c r="E150" i="8"/>
  <c r="F150" i="8" s="1"/>
  <c r="E164" i="8"/>
  <c r="F164" i="8" s="1"/>
  <c r="G164" i="8" s="1"/>
  <c r="F160" i="8"/>
  <c r="G160" i="8" s="1"/>
  <c r="F161" i="8"/>
  <c r="G161" i="8" s="1"/>
  <c r="E163" i="8"/>
  <c r="F163" i="8" s="1"/>
  <c r="G163" i="8" s="1"/>
  <c r="E159" i="8"/>
  <c r="F159" i="8" s="1"/>
  <c r="G159" i="8" s="1"/>
  <c r="E160" i="8"/>
  <c r="E161" i="8"/>
  <c r="E162" i="8"/>
  <c r="F162" i="8" s="1"/>
  <c r="G162" i="8" s="1"/>
  <c r="E158" i="8"/>
  <c r="F158" i="8" s="1"/>
  <c r="G158" i="8" s="1"/>
  <c r="E157" i="8"/>
  <c r="F157" i="8" s="1"/>
  <c r="G157" i="8" s="1"/>
  <c r="E156" i="8"/>
  <c r="F156" i="8" s="1"/>
  <c r="G156" i="8" s="1"/>
  <c r="E155" i="8"/>
  <c r="E154" i="8"/>
  <c r="F154" i="8" s="1"/>
  <c r="G154" i="8" s="1"/>
  <c r="F155" i="8"/>
  <c r="G155" i="8" s="1"/>
  <c r="E153" i="8"/>
  <c r="F153" i="8" s="1"/>
  <c r="G153" i="8" s="1"/>
  <c r="P13" i="11"/>
  <c r="P11" i="11"/>
  <c r="K35" i="11"/>
  <c r="M35" i="11" s="1"/>
  <c r="K31" i="11"/>
  <c r="U10" i="11" s="1"/>
  <c r="K25" i="11"/>
  <c r="U9" i="11" s="1"/>
  <c r="K20" i="11"/>
  <c r="K29" i="11" s="1"/>
  <c r="M29" i="11" s="1"/>
  <c r="K19" i="11"/>
  <c r="U7" i="11" s="1"/>
  <c r="K14" i="11"/>
  <c r="U6" i="11" s="1"/>
  <c r="K9" i="11"/>
  <c r="U5" i="11" s="1"/>
  <c r="K8" i="11"/>
  <c r="K18" i="11" s="1"/>
  <c r="M18" i="11" s="1"/>
  <c r="K4" i="11"/>
  <c r="U3" i="11" s="1"/>
  <c r="K3" i="11"/>
  <c r="U2" i="11" s="1"/>
  <c r="C77" i="1"/>
  <c r="F77" i="1" s="1"/>
  <c r="E227" i="2" s="1"/>
  <c r="C182" i="1"/>
  <c r="F182" i="1" s="1"/>
  <c r="E149" i="8"/>
  <c r="F149" i="8" s="1"/>
  <c r="G149" i="8" s="1"/>
  <c r="E148" i="8"/>
  <c r="F148" i="8" s="1"/>
  <c r="G148" i="8" s="1"/>
  <c r="E147" i="8"/>
  <c r="F147" i="8" s="1"/>
  <c r="G147" i="8" s="1"/>
  <c r="E146" i="8"/>
  <c r="F146" i="8" s="1"/>
  <c r="G146" i="8" s="1"/>
  <c r="E145" i="8"/>
  <c r="F145" i="8" s="1"/>
  <c r="G145" i="8" s="1"/>
  <c r="E144" i="8"/>
  <c r="F144" i="8" s="1"/>
  <c r="G144" i="8" s="1"/>
  <c r="E143" i="8"/>
  <c r="F143" i="8" s="1"/>
  <c r="G143" i="8" s="1"/>
  <c r="E142" i="8"/>
  <c r="F142" i="8" s="1"/>
  <c r="G142" i="8" s="1"/>
  <c r="E141" i="8"/>
  <c r="F141" i="8" s="1"/>
  <c r="G141" i="8" s="1"/>
  <c r="C160" i="1"/>
  <c r="L74" i="11"/>
  <c r="L69" i="11"/>
  <c r="L63" i="11"/>
  <c r="L57" i="11"/>
  <c r="L52" i="11"/>
  <c r="Q49" i="11"/>
  <c r="Q48" i="11"/>
  <c r="Q47" i="11"/>
  <c r="L47" i="11"/>
  <c r="Q46" i="11"/>
  <c r="Q45" i="11"/>
  <c r="Q44" i="11"/>
  <c r="Q43" i="11"/>
  <c r="L43" i="11"/>
  <c r="Q42" i="11"/>
  <c r="Q41" i="11"/>
  <c r="C152" i="1"/>
  <c r="F152" i="1" s="1"/>
  <c r="C153" i="1"/>
  <c r="F153" i="1" s="1"/>
  <c r="C154" i="1"/>
  <c r="F154" i="1" s="1"/>
  <c r="C155" i="1"/>
  <c r="F155" i="1" s="1"/>
  <c r="C156" i="1"/>
  <c r="F156" i="1" s="1"/>
  <c r="C157" i="1"/>
  <c r="F157" i="1" s="1"/>
  <c r="C158" i="1"/>
  <c r="E160" i="1"/>
  <c r="E161" i="1"/>
  <c r="F161" i="1" s="1"/>
  <c r="E140" i="8"/>
  <c r="F140" i="8" s="1"/>
  <c r="G140" i="8" s="1"/>
  <c r="E139" i="8"/>
  <c r="F139" i="8" s="1"/>
  <c r="G139" i="8" s="1"/>
  <c r="E138" i="8"/>
  <c r="F138" i="8" s="1"/>
  <c r="G138" i="8" s="1"/>
  <c r="M246" i="8"/>
  <c r="M250" i="8"/>
  <c r="E137" i="8"/>
  <c r="F137" i="8" s="1"/>
  <c r="G137" i="8" s="1"/>
  <c r="L36" i="11"/>
  <c r="H35" i="11"/>
  <c r="L32" i="11"/>
  <c r="H30" i="11"/>
  <c r="H29" i="11"/>
  <c r="L26" i="11"/>
  <c r="L21" i="11"/>
  <c r="H18" i="11"/>
  <c r="L15" i="11"/>
  <c r="H13" i="11"/>
  <c r="L10" i="11"/>
  <c r="H7" i="11"/>
  <c r="H12" i="11" s="1"/>
  <c r="H17" i="11" s="1"/>
  <c r="H23" i="11" s="1"/>
  <c r="H28" i="11" s="1"/>
  <c r="H34" i="11" s="1"/>
  <c r="L5" i="11"/>
  <c r="A1" i="11"/>
  <c r="B1" i="11"/>
  <c r="C1" i="11"/>
  <c r="D1" i="11"/>
  <c r="E1" i="11"/>
  <c r="F1" i="11"/>
  <c r="A2" i="11"/>
  <c r="B2" i="11"/>
  <c r="D2" i="11"/>
  <c r="E2" i="11"/>
  <c r="A3" i="11"/>
  <c r="B3" i="11"/>
  <c r="D3" i="11"/>
  <c r="E3" i="11"/>
  <c r="A4" i="11"/>
  <c r="B4" i="11"/>
  <c r="D4" i="11"/>
  <c r="E4" i="11"/>
  <c r="A5" i="11"/>
  <c r="B5" i="11"/>
  <c r="E5" i="11"/>
  <c r="A6" i="11"/>
  <c r="B6" i="11"/>
  <c r="D6" i="11"/>
  <c r="E6" i="11"/>
  <c r="A7" i="11"/>
  <c r="B7" i="11"/>
  <c r="D7" i="11"/>
  <c r="E7" i="11"/>
  <c r="A8" i="11"/>
  <c r="B8" i="11"/>
  <c r="D8" i="11"/>
  <c r="E8" i="11"/>
  <c r="A9" i="11"/>
  <c r="B9" i="11"/>
  <c r="C9" i="11"/>
  <c r="D9" i="11"/>
  <c r="E9" i="11"/>
  <c r="F9" i="11"/>
  <c r="A10" i="11"/>
  <c r="B10" i="11"/>
  <c r="D10" i="11"/>
  <c r="E10" i="11"/>
  <c r="A11" i="11"/>
  <c r="B11" i="11"/>
  <c r="D11" i="11"/>
  <c r="E11" i="11"/>
  <c r="A12" i="11"/>
  <c r="B12" i="11"/>
  <c r="C12" i="11"/>
  <c r="D12" i="11"/>
  <c r="E12" i="11"/>
  <c r="F12" i="11"/>
  <c r="F136" i="8"/>
  <c r="G136" i="8" s="1"/>
  <c r="E135" i="8"/>
  <c r="E134" i="8"/>
  <c r="E133" i="8"/>
  <c r="E132" i="8"/>
  <c r="F132" i="8" s="1"/>
  <c r="G132" i="8" s="1"/>
  <c r="E131" i="8"/>
  <c r="F131" i="8" s="1"/>
  <c r="G131" i="8" s="1"/>
  <c r="F135" i="8"/>
  <c r="G135" i="8" s="1"/>
  <c r="F134" i="8"/>
  <c r="G134" i="8" s="1"/>
  <c r="F133" i="8"/>
  <c r="G133" i="8" s="1"/>
  <c r="E128" i="8"/>
  <c r="F128" i="8" s="1"/>
  <c r="G128" i="8" s="1"/>
  <c r="D534" i="2"/>
  <c r="D540" i="2" s="1"/>
  <c r="F540" i="2" s="1"/>
  <c r="D532" i="2"/>
  <c r="K60" i="11" s="1"/>
  <c r="U48" i="11" s="1"/>
  <c r="D528" i="2"/>
  <c r="K56" i="11" s="1"/>
  <c r="U47" i="11" s="1"/>
  <c r="D527" i="2"/>
  <c r="D533" i="2" s="1"/>
  <c r="D539" i="2" s="1"/>
  <c r="F539" i="2" s="1"/>
  <c r="D522" i="2"/>
  <c r="K50" i="11" s="1"/>
  <c r="D518" i="2"/>
  <c r="D514" i="2"/>
  <c r="K42" i="11" s="1"/>
  <c r="M42" i="11" s="1"/>
  <c r="D513" i="2"/>
  <c r="K41" i="11" s="1"/>
  <c r="K45" i="11" s="1"/>
  <c r="M45" i="11" s="1"/>
  <c r="E130" i="8"/>
  <c r="F130" i="8" s="1"/>
  <c r="G130" i="8" s="1"/>
  <c r="E129" i="8"/>
  <c r="F129" i="8" s="1"/>
  <c r="G129" i="8" s="1"/>
  <c r="E127" i="8"/>
  <c r="F127" i="8" s="1"/>
  <c r="G127" i="8" s="1"/>
  <c r="E126" i="8"/>
  <c r="F126" i="8" s="1"/>
  <c r="G126" i="8" s="1"/>
  <c r="E125" i="8"/>
  <c r="F125" i="8" s="1"/>
  <c r="G125" i="8" s="1"/>
  <c r="M249" i="8"/>
  <c r="M248" i="8"/>
  <c r="M247" i="8"/>
  <c r="B76" i="4"/>
  <c r="B75" i="4"/>
  <c r="B74" i="4"/>
  <c r="B73" i="4"/>
  <c r="J46" i="6"/>
  <c r="F123" i="8"/>
  <c r="G123" i="8" s="1"/>
  <c r="F122" i="8"/>
  <c r="G122" i="8" s="1"/>
  <c r="E121" i="8"/>
  <c r="F121" i="8" s="1"/>
  <c r="G121" i="8" s="1"/>
  <c r="E112" i="8"/>
  <c r="F112" i="8" s="1"/>
  <c r="G112" i="8" s="1"/>
  <c r="E120" i="8"/>
  <c r="F120" i="8" s="1"/>
  <c r="G120" i="8" s="1"/>
  <c r="E119" i="8"/>
  <c r="F119" i="8" s="1"/>
  <c r="G119" i="8" s="1"/>
  <c r="E118" i="8"/>
  <c r="F118" i="8" s="1"/>
  <c r="G118" i="8" s="1"/>
  <c r="E117" i="8"/>
  <c r="F117" i="8" s="1"/>
  <c r="G117" i="8" s="1"/>
  <c r="E116" i="8"/>
  <c r="F116" i="8" s="1"/>
  <c r="G116" i="8" s="1"/>
  <c r="E115" i="8"/>
  <c r="F115" i="8" s="1"/>
  <c r="G115" i="8" s="1"/>
  <c r="E114" i="8"/>
  <c r="F114" i="8" s="1"/>
  <c r="G114" i="8" s="1"/>
  <c r="E113" i="8"/>
  <c r="F113" i="8" s="1"/>
  <c r="G113" i="8" s="1"/>
  <c r="E111" i="8"/>
  <c r="F111" i="8" s="1"/>
  <c r="E109" i="8"/>
  <c r="F109" i="8" s="1"/>
  <c r="G109" i="8" s="1"/>
  <c r="E108" i="8"/>
  <c r="F108" i="8" s="1"/>
  <c r="G108" i="8" s="1"/>
  <c r="E107" i="8"/>
  <c r="F107" i="8" s="1"/>
  <c r="G107" i="8" s="1"/>
  <c r="D6" i="1"/>
  <c r="D5" i="11" s="1"/>
  <c r="I39" i="4"/>
  <c r="I38" i="4"/>
  <c r="R26" i="9"/>
  <c r="R25" i="9"/>
  <c r="O32" i="9"/>
  <c r="N32" i="9"/>
  <c r="S30" i="9"/>
  <c r="U30" i="9" s="1"/>
  <c r="R28" i="9"/>
  <c r="R27" i="9"/>
  <c r="M32" i="9"/>
  <c r="L32" i="9"/>
  <c r="S27" i="9"/>
  <c r="U27" i="9" s="1"/>
  <c r="S26" i="9"/>
  <c r="U26" i="9" s="1"/>
  <c r="S28" i="9"/>
  <c r="U28" i="9" s="1"/>
  <c r="S29" i="9"/>
  <c r="U29" i="9" s="1"/>
  <c r="S25" i="9"/>
  <c r="U25" i="9" s="1"/>
  <c r="Q30" i="9"/>
  <c r="Q28" i="9"/>
  <c r="Q27" i="9"/>
  <c r="O29" i="9"/>
  <c r="Q29" i="9" s="1"/>
  <c r="O25" i="9"/>
  <c r="O26" i="9" s="1"/>
  <c r="Q26" i="9" s="1"/>
  <c r="P24" i="9"/>
  <c r="O24" i="9"/>
  <c r="N24" i="9"/>
  <c r="L30" i="9"/>
  <c r="L29" i="9"/>
  <c r="L27" i="9"/>
  <c r="L25" i="9"/>
  <c r="E105" i="8"/>
  <c r="F105" i="8" s="1"/>
  <c r="G105" i="8" s="1"/>
  <c r="E104" i="8"/>
  <c r="F104" i="8" s="1"/>
  <c r="G104" i="8" s="1"/>
  <c r="J38" i="10"/>
  <c r="B36" i="4"/>
  <c r="E103" i="8"/>
  <c r="F103" i="8" s="1"/>
  <c r="G103" i="8" s="1"/>
  <c r="E102" i="8"/>
  <c r="F102" i="8" s="1"/>
  <c r="G102" i="8" s="1"/>
  <c r="E101" i="8"/>
  <c r="F101" i="8" s="1"/>
  <c r="G101" i="8" s="1"/>
  <c r="E100" i="8"/>
  <c r="F100" i="8" s="1"/>
  <c r="G100" i="8" s="1"/>
  <c r="E99" i="8"/>
  <c r="F99" i="8" s="1"/>
  <c r="G99" i="8" s="1"/>
  <c r="O19" i="2"/>
  <c r="O18" i="2"/>
  <c r="O17" i="2"/>
  <c r="E96" i="8"/>
  <c r="F96" i="8" s="1"/>
  <c r="G96" i="8" s="1"/>
  <c r="E97" i="8"/>
  <c r="F97" i="8" s="1"/>
  <c r="G97" i="8" s="1"/>
  <c r="E98" i="8"/>
  <c r="F98" i="8" s="1"/>
  <c r="G98" i="8" s="1"/>
  <c r="E95" i="8"/>
  <c r="F95" i="8" s="1"/>
  <c r="G95" i="8" s="1"/>
  <c r="E94" i="8"/>
  <c r="F94" i="8" s="1"/>
  <c r="G94" i="8" s="1"/>
  <c r="E93" i="8"/>
  <c r="F93" i="8" s="1"/>
  <c r="G93" i="8" s="1"/>
  <c r="J48" i="6"/>
  <c r="H48" i="6"/>
  <c r="D2" i="10"/>
  <c r="B7" i="10"/>
  <c r="H7" i="10" s="1"/>
  <c r="E13" i="10"/>
  <c r="E92" i="8"/>
  <c r="F92" i="8" s="1"/>
  <c r="G92" i="8" s="1"/>
  <c r="C49" i="4"/>
  <c r="G41" i="4"/>
  <c r="G42" i="4"/>
  <c r="D44" i="4"/>
  <c r="E44" i="4" s="1"/>
  <c r="D45" i="4"/>
  <c r="D46" i="4"/>
  <c r="E46" i="4" s="1"/>
  <c r="D38" i="4"/>
  <c r="E38" i="4" s="1"/>
  <c r="D39" i="4"/>
  <c r="D40" i="4"/>
  <c r="E40" i="4" s="1"/>
  <c r="B49" i="4"/>
  <c r="C33" i="10"/>
  <c r="F33" i="10" s="1"/>
  <c r="L37" i="10"/>
  <c r="I35" i="10"/>
  <c r="H35" i="10"/>
  <c r="C35" i="10"/>
  <c r="F35" i="10" s="1"/>
  <c r="I34" i="10"/>
  <c r="H34" i="10"/>
  <c r="C34" i="10"/>
  <c r="F34" i="10" s="1"/>
  <c r="I33" i="10"/>
  <c r="H33" i="10"/>
  <c r="L33" i="10" s="1"/>
  <c r="I32" i="10"/>
  <c r="H32" i="10"/>
  <c r="C32" i="10"/>
  <c r="F32" i="10" s="1"/>
  <c r="I31" i="10"/>
  <c r="H31" i="10"/>
  <c r="C31" i="10"/>
  <c r="F31" i="10" s="1"/>
  <c r="E91" i="8"/>
  <c r="F91" i="8" s="1"/>
  <c r="G91" i="8" s="1"/>
  <c r="E90" i="8"/>
  <c r="F90" i="8" s="1"/>
  <c r="G90" i="8" s="1"/>
  <c r="E89" i="8"/>
  <c r="F89" i="8" s="1"/>
  <c r="G89" i="8" s="1"/>
  <c r="E88" i="8"/>
  <c r="F88" i="8" s="1"/>
  <c r="G88" i="8" s="1"/>
  <c r="E87" i="8"/>
  <c r="F87" i="8" s="1"/>
  <c r="G87" i="8" s="1"/>
  <c r="E86" i="8"/>
  <c r="F86" i="8" s="1"/>
  <c r="G86" i="8" s="1"/>
  <c r="E85" i="8"/>
  <c r="F85" i="8" s="1"/>
  <c r="G85" i="8" s="1"/>
  <c r="E84" i="8"/>
  <c r="F84" i="8" s="1"/>
  <c r="G84" i="8" s="1"/>
  <c r="E83" i="8"/>
  <c r="F83" i="8" s="1"/>
  <c r="G83" i="8" s="1"/>
  <c r="E82" i="8"/>
  <c r="F82" i="8" s="1"/>
  <c r="G82" i="8" s="1"/>
  <c r="E81" i="8"/>
  <c r="F81" i="8" s="1"/>
  <c r="G81" i="8" s="1"/>
  <c r="J214" i="8" l="1"/>
  <c r="K214" i="8"/>
  <c r="N45" i="11"/>
  <c r="M14" i="11"/>
  <c r="T139" i="1"/>
  <c r="U14" i="9"/>
  <c r="V14" i="9" s="1"/>
  <c r="F527" i="2"/>
  <c r="M4" i="11"/>
  <c r="F513" i="2"/>
  <c r="M41" i="11"/>
  <c r="M19" i="11"/>
  <c r="M3" i="11"/>
  <c r="F532" i="2"/>
  <c r="M31" i="11"/>
  <c r="M25" i="11"/>
  <c r="F528" i="2"/>
  <c r="F533" i="2"/>
  <c r="M20" i="11"/>
  <c r="M9" i="11"/>
  <c r="M8" i="11"/>
  <c r="F522" i="2"/>
  <c r="K46" i="11"/>
  <c r="F514" i="2"/>
  <c r="F515" i="2" s="1"/>
  <c r="F534" i="2"/>
  <c r="F145" i="1"/>
  <c r="U3" i="9"/>
  <c r="K151" i="8"/>
  <c r="J151" i="8"/>
  <c r="E106" i="8" a="1"/>
  <c r="E106" i="8" s="1"/>
  <c r="G150" i="8"/>
  <c r="F151" i="8" a="1"/>
  <c r="F151" i="8" s="1"/>
  <c r="E110" i="8" a="1"/>
  <c r="E110" i="8" s="1"/>
  <c r="E124" i="8" a="1"/>
  <c r="E124" i="8" s="1"/>
  <c r="F158" i="1"/>
  <c r="D47" i="4"/>
  <c r="U8" i="11"/>
  <c r="K24" i="11"/>
  <c r="M24" i="11" s="1"/>
  <c r="K13" i="11"/>
  <c r="M13" i="11" s="1"/>
  <c r="U4" i="11"/>
  <c r="K30" i="11"/>
  <c r="M30" i="11" s="1"/>
  <c r="K7" i="11"/>
  <c r="F160" i="1"/>
  <c r="D538" i="2"/>
  <c r="F538" i="2" s="1"/>
  <c r="K62" i="11"/>
  <c r="G111" i="8"/>
  <c r="F124" i="8" a="1"/>
  <c r="F124" i="8" s="1"/>
  <c r="F106" i="8"/>
  <c r="K106" i="8" s="1"/>
  <c r="F110" i="8"/>
  <c r="K55" i="11"/>
  <c r="K61" i="11"/>
  <c r="K72" i="11"/>
  <c r="U42" i="11"/>
  <c r="U44" i="11"/>
  <c r="K66" i="11"/>
  <c r="U41" i="11"/>
  <c r="K49" i="11"/>
  <c r="M49" i="11" s="1"/>
  <c r="Q25" i="9"/>
  <c r="J35" i="10"/>
  <c r="J34" i="10"/>
  <c r="J32" i="10"/>
  <c r="J31" i="10"/>
  <c r="G49" i="4"/>
  <c r="E36" i="4"/>
  <c r="E39" i="4"/>
  <c r="E37" i="4"/>
  <c r="E45" i="4"/>
  <c r="M17" i="2"/>
  <c r="J33" i="10"/>
  <c r="P33" i="10" s="1"/>
  <c r="L38" i="10"/>
  <c r="L39" i="10"/>
  <c r="R56" i="1"/>
  <c r="R57" i="1" s="1"/>
  <c r="C47" i="1"/>
  <c r="E185" i="2"/>
  <c r="A184" i="2"/>
  <c r="E181" i="2"/>
  <c r="A179" i="2"/>
  <c r="A178" i="2"/>
  <c r="E175" i="2"/>
  <c r="E170" i="2"/>
  <c r="A167" i="2"/>
  <c r="E164" i="2"/>
  <c r="A162" i="2"/>
  <c r="J160" i="2"/>
  <c r="J159" i="2"/>
  <c r="E159" i="2"/>
  <c r="J158" i="2"/>
  <c r="J157" i="2"/>
  <c r="J156" i="2"/>
  <c r="A156" i="2"/>
  <c r="A161" i="2" s="1"/>
  <c r="A166" i="2" s="1"/>
  <c r="A172" i="2" s="1"/>
  <c r="A177" i="2" s="1"/>
  <c r="A183" i="2" s="1"/>
  <c r="J155" i="2"/>
  <c r="J154" i="2"/>
  <c r="E154" i="2"/>
  <c r="J153" i="2"/>
  <c r="J152" i="2"/>
  <c r="C48" i="1"/>
  <c r="C49" i="1"/>
  <c r="C50" i="1"/>
  <c r="C51" i="1"/>
  <c r="C52" i="1"/>
  <c r="C53" i="1"/>
  <c r="C56" i="1"/>
  <c r="F56" i="1" s="1"/>
  <c r="E55" i="1"/>
  <c r="C55" i="1"/>
  <c r="S56" i="1"/>
  <c r="H53" i="1"/>
  <c r="L53" i="1" s="1"/>
  <c r="H52" i="1"/>
  <c r="L52" i="1" s="1"/>
  <c r="H51" i="1"/>
  <c r="L51" i="1" s="1"/>
  <c r="H50" i="1"/>
  <c r="L50" i="1" s="1"/>
  <c r="H49" i="1"/>
  <c r="L49" i="1" s="1"/>
  <c r="H48" i="1"/>
  <c r="L48" i="1" s="1"/>
  <c r="H47" i="1"/>
  <c r="L47" i="1" s="1"/>
  <c r="N520" i="2"/>
  <c r="N519" i="2"/>
  <c r="N518" i="2"/>
  <c r="D523" i="2"/>
  <c r="F523" i="2" s="1"/>
  <c r="N515" i="2"/>
  <c r="D544" i="2"/>
  <c r="F544" i="2" s="1"/>
  <c r="D517" i="2"/>
  <c r="C183" i="1"/>
  <c r="C184" i="1"/>
  <c r="C185" i="1"/>
  <c r="C186" i="1"/>
  <c r="C187" i="1"/>
  <c r="C188" i="1"/>
  <c r="C190" i="1"/>
  <c r="C168" i="1"/>
  <c r="C169" i="1"/>
  <c r="C170" i="1"/>
  <c r="C171" i="1"/>
  <c r="C172" i="1"/>
  <c r="C173" i="1"/>
  <c r="C175" i="1"/>
  <c r="C167" i="1"/>
  <c r="R191" i="1"/>
  <c r="T183" i="1" s="1"/>
  <c r="S25" i="10"/>
  <c r="R25" i="10"/>
  <c r="R26" i="10" s="1"/>
  <c r="H23" i="10"/>
  <c r="Q22" i="10"/>
  <c r="L21" i="10"/>
  <c r="I21" i="10"/>
  <c r="C21" i="10"/>
  <c r="F21" i="10" s="1"/>
  <c r="A21" i="10"/>
  <c r="A385" i="2" s="1"/>
  <c r="E398" i="2" s="1"/>
  <c r="L20" i="10"/>
  <c r="I20" i="10"/>
  <c r="C20" i="10"/>
  <c r="F20" i="10" s="1"/>
  <c r="A20" i="10"/>
  <c r="L19" i="10"/>
  <c r="I19" i="10"/>
  <c r="C19" i="10"/>
  <c r="F19" i="10" s="1"/>
  <c r="A19" i="10"/>
  <c r="L18" i="10"/>
  <c r="I18" i="10"/>
  <c r="C18" i="10"/>
  <c r="F18" i="10" s="1"/>
  <c r="A18" i="10"/>
  <c r="L17" i="10"/>
  <c r="I17" i="10"/>
  <c r="D387" i="2" s="1"/>
  <c r="C17" i="10"/>
  <c r="F17" i="10" s="1"/>
  <c r="A17" i="10"/>
  <c r="L16" i="10"/>
  <c r="I16" i="10"/>
  <c r="D386" i="2" s="1"/>
  <c r="C16" i="10"/>
  <c r="F16" i="10" s="1"/>
  <c r="A16" i="10"/>
  <c r="E79" i="8"/>
  <c r="F79" i="8" s="1"/>
  <c r="G79" i="8" s="1"/>
  <c r="E78" i="8"/>
  <c r="F78" i="8" s="1"/>
  <c r="G78" i="8" s="1"/>
  <c r="F77" i="8"/>
  <c r="G77" i="8" s="1"/>
  <c r="R161" i="1"/>
  <c r="R162" i="1" s="1"/>
  <c r="E12" i="10"/>
  <c r="F9" i="10" s="1"/>
  <c r="E11" i="10"/>
  <c r="E10" i="10"/>
  <c r="E6" i="10"/>
  <c r="E4" i="10"/>
  <c r="C6" i="10"/>
  <c r="C5" i="10"/>
  <c r="H5" i="10" s="1"/>
  <c r="C4" i="10"/>
  <c r="C89" i="4"/>
  <c r="D60" i="4"/>
  <c r="E89" i="4"/>
  <c r="E76" i="8"/>
  <c r="F76" i="8" s="1"/>
  <c r="G76" i="8" s="1"/>
  <c r="E75" i="8"/>
  <c r="F75" i="8" s="1"/>
  <c r="G75" i="8" s="1"/>
  <c r="E74" i="8"/>
  <c r="F74" i="8" s="1"/>
  <c r="G74" i="8" s="1"/>
  <c r="E73" i="8"/>
  <c r="F73" i="8" s="1"/>
  <c r="G73" i="8" s="1"/>
  <c r="E72" i="8"/>
  <c r="G72" i="8" s="1"/>
  <c r="D389" i="2"/>
  <c r="D388" i="2"/>
  <c r="D390" i="2" a="1"/>
  <c r="A390" i="2" a="1"/>
  <c r="A390" i="2" s="1"/>
  <c r="A389" i="2"/>
  <c r="A388" i="2"/>
  <c r="A387" i="2"/>
  <c r="A386" i="2"/>
  <c r="A382" i="2"/>
  <c r="A381" i="2"/>
  <c r="A380" i="2"/>
  <c r="A379" i="2"/>
  <c r="E384" i="2" s="1"/>
  <c r="A377" i="2"/>
  <c r="A376" i="2"/>
  <c r="A383" i="2" s="1"/>
  <c r="A375" i="2"/>
  <c r="A373" i="2"/>
  <c r="A374" i="2"/>
  <c r="E378" i="2" s="1"/>
  <c r="E71" i="8"/>
  <c r="F71" i="8" s="1"/>
  <c r="G71" i="8" s="1"/>
  <c r="E68" i="8"/>
  <c r="F68" i="8" s="1"/>
  <c r="G68" i="8" s="1"/>
  <c r="E70" i="8"/>
  <c r="F70" i="8" s="1"/>
  <c r="G70" i="8" s="1"/>
  <c r="E69" i="8"/>
  <c r="F69" i="8" s="1"/>
  <c r="G69" i="8" s="1"/>
  <c r="E67" i="8"/>
  <c r="F67" i="8" s="1"/>
  <c r="G67" i="8" s="1"/>
  <c r="E66" i="8"/>
  <c r="F66" i="8" s="1"/>
  <c r="G66" i="8" s="1"/>
  <c r="E65" i="8"/>
  <c r="F65" i="8" s="1"/>
  <c r="C108" i="1"/>
  <c r="F108" i="1" s="1"/>
  <c r="E305" i="2" s="1"/>
  <c r="C109" i="1"/>
  <c r="F109" i="1" s="1"/>
  <c r="E310" i="2" s="1"/>
  <c r="E312" i="2" s="1"/>
  <c r="C110" i="1"/>
  <c r="F110" i="1" s="1"/>
  <c r="C111" i="1"/>
  <c r="F111" i="1" s="1"/>
  <c r="C112" i="1"/>
  <c r="F112" i="1" s="1"/>
  <c r="C113" i="1"/>
  <c r="F113" i="1" s="1"/>
  <c r="E332" i="2" s="1"/>
  <c r="E333" i="2" s="1"/>
  <c r="C107" i="1"/>
  <c r="F107" i="1" s="1"/>
  <c r="E62" i="8"/>
  <c r="F62" i="8" s="1"/>
  <c r="G62" i="8" s="1"/>
  <c r="D63" i="8"/>
  <c r="E63" i="8" s="1"/>
  <c r="E472" i="2"/>
  <c r="E466" i="2"/>
  <c r="E462" i="2"/>
  <c r="E457" i="2"/>
  <c r="E452" i="2"/>
  <c r="E448" i="2"/>
  <c r="J447" i="2"/>
  <c r="J446" i="2"/>
  <c r="J445" i="2"/>
  <c r="J444" i="2"/>
  <c r="N443" i="2"/>
  <c r="J443" i="2"/>
  <c r="J442" i="2"/>
  <c r="E442" i="2"/>
  <c r="J441" i="2"/>
  <c r="J440" i="2"/>
  <c r="J439" i="2"/>
  <c r="I128" i="1"/>
  <c r="I143" i="1" s="1"/>
  <c r="J143" i="1" s="1"/>
  <c r="I127" i="1"/>
  <c r="I142" i="1" s="1"/>
  <c r="J142" i="1" s="1"/>
  <c r="I126" i="1"/>
  <c r="I141" i="1" s="1"/>
  <c r="J141" i="1" s="1"/>
  <c r="I125" i="1"/>
  <c r="I140" i="1" s="1"/>
  <c r="J140" i="1" s="1"/>
  <c r="I124" i="1"/>
  <c r="I139" i="1" s="1"/>
  <c r="J139" i="1" s="1"/>
  <c r="I123" i="1"/>
  <c r="I138" i="1" s="1"/>
  <c r="J138" i="1" s="1"/>
  <c r="I122" i="1"/>
  <c r="I137" i="1" s="1"/>
  <c r="J137" i="1" s="1"/>
  <c r="E450" i="2"/>
  <c r="E439" i="2"/>
  <c r="E583" i="2"/>
  <c r="E578" i="2"/>
  <c r="E572" i="2"/>
  <c r="E566" i="2"/>
  <c r="E561" i="2"/>
  <c r="J558" i="2"/>
  <c r="J557" i="2"/>
  <c r="J556" i="2"/>
  <c r="E556" i="2"/>
  <c r="J555" i="2"/>
  <c r="J554" i="2"/>
  <c r="J553" i="2"/>
  <c r="J552" i="2"/>
  <c r="E552" i="2"/>
  <c r="J551" i="2"/>
  <c r="J550" i="2"/>
  <c r="S191" i="1"/>
  <c r="E191" i="1"/>
  <c r="F191" i="1" s="1"/>
  <c r="E190" i="1"/>
  <c r="L188" i="1"/>
  <c r="I188" i="1"/>
  <c r="F188" i="1"/>
  <c r="L187" i="1"/>
  <c r="I187" i="1"/>
  <c r="L186" i="1"/>
  <c r="I186" i="1"/>
  <c r="L185" i="1"/>
  <c r="I185" i="1"/>
  <c r="F185" i="1"/>
  <c r="L184" i="1"/>
  <c r="I184" i="1"/>
  <c r="L183" i="1"/>
  <c r="I183" i="1"/>
  <c r="I182" i="1"/>
  <c r="E546" i="2"/>
  <c r="E541" i="2"/>
  <c r="E535" i="2"/>
  <c r="E529" i="2"/>
  <c r="E524" i="2"/>
  <c r="J521" i="2"/>
  <c r="J520" i="2"/>
  <c r="J519" i="2"/>
  <c r="E519" i="2"/>
  <c r="J518" i="2"/>
  <c r="J517" i="2"/>
  <c r="J516" i="2"/>
  <c r="J515" i="2"/>
  <c r="E515" i="2"/>
  <c r="J514" i="2"/>
  <c r="J513" i="2"/>
  <c r="R176" i="1"/>
  <c r="I173" i="1"/>
  <c r="I172" i="1"/>
  <c r="I171" i="1"/>
  <c r="I170" i="1"/>
  <c r="I169" i="1"/>
  <c r="I168" i="1"/>
  <c r="I167" i="1"/>
  <c r="I158" i="1"/>
  <c r="I157" i="1"/>
  <c r="I156" i="1"/>
  <c r="I155" i="1"/>
  <c r="I154" i="1"/>
  <c r="I153" i="1"/>
  <c r="I152" i="1"/>
  <c r="S176" i="1"/>
  <c r="E176" i="1"/>
  <c r="F176" i="1" s="1"/>
  <c r="L173" i="1"/>
  <c r="L172" i="1"/>
  <c r="L171" i="1"/>
  <c r="L170" i="1"/>
  <c r="L169" i="1"/>
  <c r="L168" i="1"/>
  <c r="E61" i="8"/>
  <c r="F61" i="8" s="1"/>
  <c r="G61" i="8" s="1"/>
  <c r="E60" i="8"/>
  <c r="F60" i="8" s="1"/>
  <c r="G60" i="8" s="1"/>
  <c r="E59" i="8"/>
  <c r="F59" i="8" s="1"/>
  <c r="G59" i="8" s="1"/>
  <c r="E58" i="8"/>
  <c r="F58" i="8" s="1"/>
  <c r="G58" i="8" s="1"/>
  <c r="E57" i="8"/>
  <c r="F57" i="8" s="1"/>
  <c r="G57" i="8" s="1"/>
  <c r="E56" i="8"/>
  <c r="F56" i="8" s="1"/>
  <c r="G56" i="8" s="1"/>
  <c r="E55" i="8"/>
  <c r="F55" i="8" s="1"/>
  <c r="G55" i="8" s="1"/>
  <c r="E54" i="8"/>
  <c r="F54" i="8" s="1"/>
  <c r="G54" i="8" s="1"/>
  <c r="E53" i="8"/>
  <c r="F53" i="8" s="1"/>
  <c r="G53" i="8" s="1"/>
  <c r="E52" i="8"/>
  <c r="F52" i="8" s="1"/>
  <c r="G52" i="8" s="1"/>
  <c r="E51" i="8"/>
  <c r="F51" i="8" s="1"/>
  <c r="G51" i="8" s="1"/>
  <c r="E371" i="2"/>
  <c r="E367" i="2"/>
  <c r="E361" i="2"/>
  <c r="E355" i="2"/>
  <c r="E350" i="2"/>
  <c r="J346" i="2"/>
  <c r="J345" i="2"/>
  <c r="E345" i="2"/>
  <c r="J344" i="2"/>
  <c r="J343" i="2"/>
  <c r="J342" i="2"/>
  <c r="J341" i="2"/>
  <c r="J340" i="2"/>
  <c r="E340" i="2"/>
  <c r="J339" i="2"/>
  <c r="J338" i="2"/>
  <c r="E334" i="2"/>
  <c r="E330" i="2"/>
  <c r="E324" i="2"/>
  <c r="E318" i="2"/>
  <c r="E313" i="2"/>
  <c r="J309" i="2"/>
  <c r="J308" i="2"/>
  <c r="E308" i="2"/>
  <c r="J307" i="2"/>
  <c r="J306" i="2"/>
  <c r="J305" i="2"/>
  <c r="J304" i="2"/>
  <c r="J303" i="2"/>
  <c r="E303" i="2"/>
  <c r="J302" i="2"/>
  <c r="J301" i="2"/>
  <c r="R116" i="1"/>
  <c r="T109" i="1" s="1"/>
  <c r="S116" i="1"/>
  <c r="C116" i="1"/>
  <c r="C115" i="1"/>
  <c r="L113" i="1"/>
  <c r="L112" i="1"/>
  <c r="L111" i="1"/>
  <c r="L110" i="1"/>
  <c r="L109" i="1"/>
  <c r="L108" i="1"/>
  <c r="L107" i="1"/>
  <c r="E50" i="8"/>
  <c r="F50" i="8" s="1"/>
  <c r="G50" i="8" s="1"/>
  <c r="E49" i="8"/>
  <c r="F49" i="8" s="1"/>
  <c r="G49" i="8" s="1"/>
  <c r="E45" i="8"/>
  <c r="F45" i="8" s="1"/>
  <c r="G45" i="8" s="1"/>
  <c r="E46" i="8"/>
  <c r="F46" i="8" s="1"/>
  <c r="G46" i="8" s="1"/>
  <c r="E47" i="8"/>
  <c r="F47" i="8" s="1"/>
  <c r="G47" i="8" s="1"/>
  <c r="E48" i="8"/>
  <c r="F48" i="8" s="1"/>
  <c r="G48" i="8" s="1"/>
  <c r="E44" i="8"/>
  <c r="F44" i="8" s="1"/>
  <c r="G44" i="8" s="1"/>
  <c r="C21" i="1"/>
  <c r="E43" i="8"/>
  <c r="F43" i="8" s="1"/>
  <c r="G43" i="8" s="1"/>
  <c r="E42" i="8"/>
  <c r="F42" i="8" s="1"/>
  <c r="G42" i="8" s="1"/>
  <c r="E41" i="8"/>
  <c r="F41" i="8" s="1"/>
  <c r="G41" i="8" s="1"/>
  <c r="E40" i="8"/>
  <c r="F40" i="8" s="1"/>
  <c r="G40" i="8" s="1"/>
  <c r="E39" i="8"/>
  <c r="F39" i="8" s="1"/>
  <c r="G39" i="8" s="1"/>
  <c r="E38" i="8"/>
  <c r="F38" i="8" s="1"/>
  <c r="G38" i="8" s="1"/>
  <c r="E37" i="8"/>
  <c r="F37" i="8" s="1"/>
  <c r="G37" i="8" s="1"/>
  <c r="E36" i="8"/>
  <c r="F36" i="8" s="1"/>
  <c r="G36" i="8" s="1"/>
  <c r="E35" i="8"/>
  <c r="F35" i="8" s="1"/>
  <c r="G35" i="8" s="1"/>
  <c r="E34" i="8"/>
  <c r="F34" i="8" s="1"/>
  <c r="G34" i="8" s="1"/>
  <c r="E33" i="8"/>
  <c r="F33" i="8" s="1"/>
  <c r="G33" i="8" s="1"/>
  <c r="E32" i="8"/>
  <c r="F32" i="8" s="1"/>
  <c r="G32" i="8" s="1"/>
  <c r="E31" i="8"/>
  <c r="F31" i="8" s="1"/>
  <c r="E30" i="8"/>
  <c r="F30" i="8" s="1"/>
  <c r="G30" i="8" s="1"/>
  <c r="C26" i="1"/>
  <c r="E27" i="8"/>
  <c r="F27" i="8" s="1"/>
  <c r="G27" i="8" s="1"/>
  <c r="E28" i="8"/>
  <c r="F28" i="8" s="1"/>
  <c r="G28" i="8" s="1"/>
  <c r="E29" i="8"/>
  <c r="F29" i="8" s="1"/>
  <c r="G29" i="8" s="1"/>
  <c r="E26" i="8"/>
  <c r="F26" i="8" s="1"/>
  <c r="G26" i="8" s="1"/>
  <c r="E24" i="8"/>
  <c r="F24" i="8" s="1"/>
  <c r="G24" i="8" s="1"/>
  <c r="E25" i="8"/>
  <c r="F25" i="8" s="1"/>
  <c r="G25" i="8" s="1"/>
  <c r="E23" i="8"/>
  <c r="F23" i="8" s="1"/>
  <c r="G23" i="8" s="1"/>
  <c r="E22" i="8"/>
  <c r="F22" i="8" s="1"/>
  <c r="G22" i="8" s="1"/>
  <c r="E21" i="8"/>
  <c r="F21" i="8" s="1"/>
  <c r="G21" i="8" s="1"/>
  <c r="E20" i="8"/>
  <c r="F20" i="8" s="1"/>
  <c r="G20" i="8" s="1"/>
  <c r="E19" i="8"/>
  <c r="F19" i="8" s="1"/>
  <c r="G19" i="8" s="1"/>
  <c r="E18" i="8"/>
  <c r="F18" i="8" s="1"/>
  <c r="G20" i="1"/>
  <c r="E297" i="2"/>
  <c r="E293" i="2"/>
  <c r="E287" i="2"/>
  <c r="E281" i="2"/>
  <c r="E276" i="2"/>
  <c r="J272" i="2"/>
  <c r="J271" i="2"/>
  <c r="E271" i="2"/>
  <c r="J270" i="2"/>
  <c r="J269" i="2"/>
  <c r="J268" i="2"/>
  <c r="J267" i="2"/>
  <c r="J266" i="2"/>
  <c r="E266" i="2"/>
  <c r="J265" i="2"/>
  <c r="J264" i="2"/>
  <c r="R101" i="1"/>
  <c r="R102" i="1" s="1"/>
  <c r="C123" i="1"/>
  <c r="C124" i="1"/>
  <c r="C125" i="1"/>
  <c r="C126" i="1"/>
  <c r="C127" i="1"/>
  <c r="C128" i="1"/>
  <c r="C122" i="1"/>
  <c r="C92" i="1"/>
  <c r="F92" i="1" s="1"/>
  <c r="C93" i="1"/>
  <c r="F93" i="1" s="1"/>
  <c r="C94" i="1"/>
  <c r="F94" i="1" s="1"/>
  <c r="C95" i="1"/>
  <c r="F95" i="1" s="1"/>
  <c r="C96" i="1"/>
  <c r="F96" i="1" s="1"/>
  <c r="C97" i="1"/>
  <c r="F97" i="1" s="1"/>
  <c r="C98" i="1"/>
  <c r="F98" i="1" s="1"/>
  <c r="C79" i="1"/>
  <c r="F79" i="1" s="1"/>
  <c r="E236" i="2" s="1"/>
  <c r="C80" i="1"/>
  <c r="F80" i="1" s="1"/>
  <c r="E241" i="2" s="1"/>
  <c r="C81" i="1"/>
  <c r="F81" i="1" s="1"/>
  <c r="E246" i="2" s="1"/>
  <c r="C82" i="1"/>
  <c r="F82" i="1" s="1"/>
  <c r="E252" i="2" s="1"/>
  <c r="C83" i="1"/>
  <c r="F83" i="1" s="1"/>
  <c r="E258" i="2" s="1"/>
  <c r="C63" i="1"/>
  <c r="F63" i="1" s="1"/>
  <c r="C64" i="1"/>
  <c r="F64" i="1" s="1"/>
  <c r="C65" i="1"/>
  <c r="F65" i="1" s="1"/>
  <c r="C66" i="1"/>
  <c r="F66" i="1" s="1"/>
  <c r="C67" i="1"/>
  <c r="F67" i="1" s="1"/>
  <c r="C68" i="1"/>
  <c r="F68" i="1" s="1"/>
  <c r="C62" i="1"/>
  <c r="F62" i="1" s="1"/>
  <c r="C35" i="1"/>
  <c r="C36" i="1"/>
  <c r="C37" i="1"/>
  <c r="C38" i="1"/>
  <c r="C39" i="1"/>
  <c r="C33" i="1"/>
  <c r="F33" i="1" s="1"/>
  <c r="E115" i="2" s="1"/>
  <c r="C34" i="1"/>
  <c r="C19" i="1"/>
  <c r="S101" i="1"/>
  <c r="C101" i="1"/>
  <c r="C100" i="1"/>
  <c r="L98" i="1"/>
  <c r="L97" i="1"/>
  <c r="L96" i="1"/>
  <c r="L95" i="1"/>
  <c r="L94" i="1"/>
  <c r="L93" i="1"/>
  <c r="L92" i="1"/>
  <c r="J19" i="2"/>
  <c r="J18" i="2"/>
  <c r="J17" i="2"/>
  <c r="E16" i="8"/>
  <c r="F16" i="8" s="1"/>
  <c r="G16" i="8" s="1"/>
  <c r="E15" i="8"/>
  <c r="F15" i="8" s="1"/>
  <c r="G15" i="8" s="1"/>
  <c r="E14" i="8"/>
  <c r="F14" i="8" s="1"/>
  <c r="G14" i="8" s="1"/>
  <c r="F13" i="8"/>
  <c r="G13" i="8" s="1"/>
  <c r="F12" i="8"/>
  <c r="G12" i="8" s="1"/>
  <c r="F11" i="8"/>
  <c r="G11" i="8" s="1"/>
  <c r="F9" i="8"/>
  <c r="G9" i="8" s="1"/>
  <c r="E8" i="8"/>
  <c r="F8" i="8" s="1"/>
  <c r="G8" i="8" s="1"/>
  <c r="F40" i="4"/>
  <c r="G40" i="4" s="1"/>
  <c r="F39" i="4"/>
  <c r="G39" i="4" s="1"/>
  <c r="F38" i="4"/>
  <c r="G38" i="4" s="1"/>
  <c r="F37" i="4"/>
  <c r="G37" i="4" s="1"/>
  <c r="F36" i="4"/>
  <c r="G36" i="4" s="1"/>
  <c r="H36" i="4"/>
  <c r="H37" i="4"/>
  <c r="H41" i="4"/>
  <c r="H42" i="4"/>
  <c r="C7" i="8"/>
  <c r="F7" i="8" s="1"/>
  <c r="G7" i="8" s="1"/>
  <c r="F10" i="8"/>
  <c r="G10" i="8" s="1"/>
  <c r="G32" i="9"/>
  <c r="G31" i="9"/>
  <c r="G30" i="9"/>
  <c r="C32" i="9"/>
  <c r="C31" i="9"/>
  <c r="L28" i="9" s="1"/>
  <c r="C30" i="9"/>
  <c r="H18" i="9"/>
  <c r="G21" i="9"/>
  <c r="G20" i="9"/>
  <c r="E19" i="9"/>
  <c r="I19" i="9" s="1"/>
  <c r="F19" i="9"/>
  <c r="F29" i="9" s="1"/>
  <c r="G27" i="9"/>
  <c r="G24" i="9"/>
  <c r="C21" i="9"/>
  <c r="L26" i="9" s="1"/>
  <c r="C20" i="9"/>
  <c r="H2" i="9"/>
  <c r="G15" i="9"/>
  <c r="G26" i="9" s="1"/>
  <c r="G14" i="9"/>
  <c r="G25" i="9" s="1"/>
  <c r="E3" i="9"/>
  <c r="I3" i="9" s="1"/>
  <c r="F3" i="9"/>
  <c r="F8" i="9" s="1"/>
  <c r="F11" i="9" s="1"/>
  <c r="H11" i="9" s="1"/>
  <c r="K13" i="9"/>
  <c r="M13" i="9" s="1"/>
  <c r="F6" i="8"/>
  <c r="G6" i="8" s="1"/>
  <c r="G18" i="1"/>
  <c r="C4" i="1"/>
  <c r="E5" i="8"/>
  <c r="F5" i="8" s="1"/>
  <c r="G5" i="8" s="1"/>
  <c r="D390" i="2" l="1"/>
  <c r="F390" i="2" s="1"/>
  <c r="F393" i="2"/>
  <c r="F394" i="2"/>
  <c r="F395" i="2"/>
  <c r="F396" i="2"/>
  <c r="F391" i="2"/>
  <c r="F392" i="2"/>
  <c r="J18" i="10"/>
  <c r="K67" i="11"/>
  <c r="U43" i="11"/>
  <c r="M46" i="11"/>
  <c r="U49" i="11"/>
  <c r="K12" i="11"/>
  <c r="M7" i="11"/>
  <c r="U46" i="11"/>
  <c r="G459" i="2"/>
  <c r="G464" i="2"/>
  <c r="G468" i="2"/>
  <c r="G454" i="2"/>
  <c r="G439" i="2"/>
  <c r="E445" i="2"/>
  <c r="E447" i="2" s="1"/>
  <c r="G444" i="2"/>
  <c r="G450" i="2"/>
  <c r="J146" i="1"/>
  <c r="F55" i="1"/>
  <c r="H55" i="1" s="1"/>
  <c r="T46" i="1" s="1"/>
  <c r="E461" i="2"/>
  <c r="E451" i="2"/>
  <c r="E465" i="2"/>
  <c r="E440" i="2"/>
  <c r="G52" i="4"/>
  <c r="H40" i="4"/>
  <c r="H49" i="4"/>
  <c r="J106" i="8"/>
  <c r="F187" i="1"/>
  <c r="J187" i="1" s="1"/>
  <c r="F186" i="1"/>
  <c r="F184" i="1"/>
  <c r="F172" i="1"/>
  <c r="L66" i="11" s="1"/>
  <c r="F169" i="1"/>
  <c r="F168" i="1"/>
  <c r="F173" i="1"/>
  <c r="L72" i="11" s="1"/>
  <c r="N72" i="11" s="1"/>
  <c r="F167" i="1"/>
  <c r="F170" i="1"/>
  <c r="L56" i="11" s="1"/>
  <c r="K68" i="11"/>
  <c r="G18" i="8"/>
  <c r="G65" i="8"/>
  <c r="F80" i="8"/>
  <c r="E64" i="8" a="1"/>
  <c r="E64" i="8" s="1"/>
  <c r="E80" i="8" a="1"/>
  <c r="E80" i="8" s="1"/>
  <c r="J110" i="8"/>
  <c r="K110" i="8"/>
  <c r="J124" i="8"/>
  <c r="K124" i="8"/>
  <c r="N517" i="2"/>
  <c r="K51" i="11"/>
  <c r="K59" i="11"/>
  <c r="M59" i="11" s="1"/>
  <c r="K54" i="11"/>
  <c r="M54" i="11" s="1"/>
  <c r="F53" i="1"/>
  <c r="E183" i="2" s="1"/>
  <c r="F52" i="1"/>
  <c r="E177" i="2" s="1"/>
  <c r="F171" i="1"/>
  <c r="F51" i="1"/>
  <c r="F50" i="1"/>
  <c r="F49" i="1"/>
  <c r="F48" i="1"/>
  <c r="F47" i="1"/>
  <c r="C3" i="11"/>
  <c r="F4" i="1"/>
  <c r="F3" i="11" s="1"/>
  <c r="T168" i="1"/>
  <c r="R177" i="1"/>
  <c r="G31" i="8"/>
  <c r="F63" i="8"/>
  <c r="G63" i="8" s="1"/>
  <c r="F20" i="9"/>
  <c r="F30" i="9" s="1"/>
  <c r="H30" i="9" s="1"/>
  <c r="F22" i="9"/>
  <c r="H22" i="9" s="1"/>
  <c r="F35" i="9"/>
  <c r="E29" i="9"/>
  <c r="I29" i="9" s="1"/>
  <c r="H20" i="9"/>
  <c r="F21" i="9"/>
  <c r="F31" i="9" s="1"/>
  <c r="H31" i="9" s="1"/>
  <c r="F32" i="9"/>
  <c r="H32" i="9" s="1"/>
  <c r="J16" i="10"/>
  <c r="M16" i="10" s="1"/>
  <c r="T18" i="10"/>
  <c r="T48" i="1"/>
  <c r="D545" i="2"/>
  <c r="F545" i="2" s="1"/>
  <c r="D521" i="2"/>
  <c r="F521" i="2" s="1"/>
  <c r="F524" i="2" s="1"/>
  <c r="H52" i="4"/>
  <c r="H38" i="4"/>
  <c r="T49" i="1"/>
  <c r="J17" i="10"/>
  <c r="M17" i="10" s="1"/>
  <c r="O17" i="10" s="1"/>
  <c r="Q17" i="10" s="1"/>
  <c r="T17" i="10"/>
  <c r="F90" i="4"/>
  <c r="N513" i="2"/>
  <c r="N514" i="2"/>
  <c r="N516" i="2"/>
  <c r="N521" i="2"/>
  <c r="E375" i="2"/>
  <c r="E377" i="2" s="1"/>
  <c r="J19" i="10"/>
  <c r="E380" i="2"/>
  <c r="E383" i="2" s="1"/>
  <c r="J20" i="10"/>
  <c r="J21" i="10"/>
  <c r="E386" i="2"/>
  <c r="E389" i="2" s="1"/>
  <c r="E392" i="2" s="1"/>
  <c r="E395" i="2" s="1"/>
  <c r="M18" i="10"/>
  <c r="O18" i="10" s="1"/>
  <c r="Q18" i="10" s="1"/>
  <c r="F190" i="1"/>
  <c r="F6" i="10"/>
  <c r="F175" i="1"/>
  <c r="H175" i="1" s="1"/>
  <c r="T166" i="1" s="1"/>
  <c r="F4" i="10"/>
  <c r="F89" i="4"/>
  <c r="E315" i="2"/>
  <c r="E317" i="2" s="1"/>
  <c r="K307" i="2" s="1"/>
  <c r="M307" i="2" s="1"/>
  <c r="E326" i="2"/>
  <c r="E329" i="2" s="1"/>
  <c r="E469" i="2"/>
  <c r="E455" i="2"/>
  <c r="E456" i="2"/>
  <c r="E568" i="2"/>
  <c r="E569" i="2" s="1"/>
  <c r="E570" i="2" s="1"/>
  <c r="E571" i="2" s="1"/>
  <c r="E580" i="2"/>
  <c r="E581" i="2" s="1"/>
  <c r="E582" i="2" s="1"/>
  <c r="E550" i="2"/>
  <c r="E551" i="2" s="1"/>
  <c r="F183" i="1"/>
  <c r="E283" i="2"/>
  <c r="E286" i="2" s="1"/>
  <c r="E278" i="2"/>
  <c r="E280" i="2" s="1"/>
  <c r="K270" i="2" s="1"/>
  <c r="M270" i="2" s="1"/>
  <c r="E273" i="2"/>
  <c r="E275" i="2" s="1"/>
  <c r="E268" i="2"/>
  <c r="E270" i="2" s="1"/>
  <c r="E264" i="2"/>
  <c r="D47" i="3" s="1"/>
  <c r="E295" i="2"/>
  <c r="E296" i="2" s="1"/>
  <c r="E289" i="2"/>
  <c r="E291" i="2" s="1"/>
  <c r="E301" i="2"/>
  <c r="E302" i="2" s="1"/>
  <c r="K302" i="2" s="1"/>
  <c r="M302" i="2" s="1"/>
  <c r="R117" i="1"/>
  <c r="T184" i="1"/>
  <c r="J170" i="1"/>
  <c r="E320" i="2"/>
  <c r="D60" i="3" s="1"/>
  <c r="E471" i="2"/>
  <c r="E446" i="2"/>
  <c r="E441" i="2"/>
  <c r="E460" i="2"/>
  <c r="J185" i="1"/>
  <c r="J167" i="1"/>
  <c r="E563" i="2"/>
  <c r="E565" i="2" s="1"/>
  <c r="J184" i="1"/>
  <c r="E558" i="2"/>
  <c r="E513" i="2"/>
  <c r="E526" i="2"/>
  <c r="J188" i="1"/>
  <c r="J186" i="1"/>
  <c r="R192" i="1"/>
  <c r="T169" i="1"/>
  <c r="T108" i="1"/>
  <c r="T153" i="1"/>
  <c r="D58" i="3"/>
  <c r="D57" i="3"/>
  <c r="D62" i="3"/>
  <c r="E306" i="2"/>
  <c r="E307" i="2"/>
  <c r="E311" i="2"/>
  <c r="T93" i="1"/>
  <c r="T154" i="1"/>
  <c r="T94" i="1"/>
  <c r="H39" i="4"/>
  <c r="M18" i="2"/>
  <c r="M19" i="2"/>
  <c r="E8" i="9"/>
  <c r="I8" i="9" s="1"/>
  <c r="F5" i="9"/>
  <c r="H5" i="9" s="1"/>
  <c r="F4" i="9"/>
  <c r="H4" i="9" s="1"/>
  <c r="F6" i="9"/>
  <c r="H6" i="9" s="1"/>
  <c r="F10" i="9"/>
  <c r="H10" i="9" s="1"/>
  <c r="F13" i="9"/>
  <c r="F24" i="9" s="1"/>
  <c r="F9" i="9"/>
  <c r="H9" i="9" s="1"/>
  <c r="A79" i="4"/>
  <c r="J47" i="6"/>
  <c r="H47" i="6"/>
  <c r="H46" i="6"/>
  <c r="E4" i="8"/>
  <c r="E17" i="8" s="1" a="1"/>
  <c r="E17" i="8" s="1"/>
  <c r="C12" i="1"/>
  <c r="C11" i="11" s="1"/>
  <c r="C11" i="1"/>
  <c r="C9" i="1"/>
  <c r="C8" i="1"/>
  <c r="C7" i="1"/>
  <c r="C6" i="1"/>
  <c r="C5" i="1"/>
  <c r="C18" i="1"/>
  <c r="F18" i="1" s="1"/>
  <c r="C3" i="1"/>
  <c r="G19" i="1"/>
  <c r="F3" i="8"/>
  <c r="G3" i="8" s="1"/>
  <c r="D497" i="2"/>
  <c r="D495" i="2"/>
  <c r="N483" i="2" s="1"/>
  <c r="D491" i="2"/>
  <c r="D490" i="2"/>
  <c r="D486" i="2"/>
  <c r="D485" i="2"/>
  <c r="D481" i="2"/>
  <c r="D477" i="2"/>
  <c r="D476" i="2"/>
  <c r="J484" i="2"/>
  <c r="J483" i="2"/>
  <c r="J482" i="2"/>
  <c r="J481" i="2"/>
  <c r="J480" i="2"/>
  <c r="J479" i="2"/>
  <c r="J478" i="2"/>
  <c r="J477" i="2"/>
  <c r="J476" i="2"/>
  <c r="E509" i="2"/>
  <c r="E498" i="2"/>
  <c r="E492" i="2"/>
  <c r="E487" i="2"/>
  <c r="E504" i="2"/>
  <c r="E482" i="2"/>
  <c r="E478" i="2"/>
  <c r="S161" i="1"/>
  <c r="L158" i="1"/>
  <c r="L157" i="1"/>
  <c r="L156" i="1"/>
  <c r="L155" i="1"/>
  <c r="L154" i="1"/>
  <c r="L153" i="1"/>
  <c r="E480" i="2"/>
  <c r="G480" i="2" s="1"/>
  <c r="E484" i="2"/>
  <c r="G484" i="2" s="1"/>
  <c r="E489" i="2"/>
  <c r="G489" i="2" s="1"/>
  <c r="E494" i="2"/>
  <c r="G494" i="2" s="1"/>
  <c r="E500" i="2"/>
  <c r="G500" i="2" s="1"/>
  <c r="E506" i="2"/>
  <c r="E476" i="2"/>
  <c r="G476" i="2" s="1"/>
  <c r="E110" i="2"/>
  <c r="A109" i="2"/>
  <c r="E106" i="2"/>
  <c r="A104" i="2"/>
  <c r="A103" i="2"/>
  <c r="E100" i="2"/>
  <c r="E95" i="2"/>
  <c r="A92" i="2"/>
  <c r="E89" i="2"/>
  <c r="A87" i="2"/>
  <c r="J85" i="2"/>
  <c r="J84" i="2"/>
  <c r="E84" i="2"/>
  <c r="J83" i="2"/>
  <c r="J82" i="2"/>
  <c r="J81" i="2"/>
  <c r="A81" i="2"/>
  <c r="A86" i="2" s="1"/>
  <c r="A91" i="2" s="1"/>
  <c r="A97" i="2" s="1"/>
  <c r="A102" i="2" s="1"/>
  <c r="A108" i="2" s="1"/>
  <c r="J80" i="2"/>
  <c r="J79" i="2"/>
  <c r="E79" i="2"/>
  <c r="J78" i="2"/>
  <c r="J77" i="2"/>
  <c r="B79" i="4"/>
  <c r="R27" i="1"/>
  <c r="F2" i="8"/>
  <c r="J7" i="5"/>
  <c r="J6" i="5"/>
  <c r="J8" i="5"/>
  <c r="K6" i="5"/>
  <c r="K5" i="5"/>
  <c r="E19" i="5"/>
  <c r="F20" i="5"/>
  <c r="F19" i="5"/>
  <c r="E21" i="5"/>
  <c r="D74" i="4"/>
  <c r="D75" i="4"/>
  <c r="F75" i="4" s="1"/>
  <c r="D76" i="4"/>
  <c r="F76" i="4" s="1"/>
  <c r="D73" i="4"/>
  <c r="D61" i="4"/>
  <c r="D62" i="4"/>
  <c r="D21" i="4"/>
  <c r="B64" i="4"/>
  <c r="C64" i="4" s="1"/>
  <c r="C67" i="4" s="1"/>
  <c r="B62" i="4"/>
  <c r="B61" i="4"/>
  <c r="B60" i="4"/>
  <c r="A62" i="4"/>
  <c r="A61" i="4"/>
  <c r="A60" i="4"/>
  <c r="A63" i="4"/>
  <c r="F46" i="4"/>
  <c r="G46" i="4" s="1"/>
  <c r="F45" i="4"/>
  <c r="G45" i="4" s="1"/>
  <c r="F44" i="4"/>
  <c r="G44" i="4" s="1"/>
  <c r="F43" i="4"/>
  <c r="G43" i="4" s="1"/>
  <c r="C22" i="1"/>
  <c r="C24" i="1"/>
  <c r="F24" i="1" s="1"/>
  <c r="C23" i="1"/>
  <c r="C20" i="1"/>
  <c r="N56" i="11" l="1"/>
  <c r="M56" i="11"/>
  <c r="L67" i="11"/>
  <c r="N67" i="11" s="1"/>
  <c r="N66" i="11"/>
  <c r="M72" i="11"/>
  <c r="M66" i="11"/>
  <c r="K17" i="11"/>
  <c r="M12" i="11"/>
  <c r="D44" i="3"/>
  <c r="G506" i="2"/>
  <c r="D380" i="2"/>
  <c r="F380" i="2" s="1"/>
  <c r="F476" i="2"/>
  <c r="D381" i="2"/>
  <c r="F381" i="2" s="1"/>
  <c r="E184" i="2"/>
  <c r="G460" i="2"/>
  <c r="G446" i="2"/>
  <c r="G445" i="2"/>
  <c r="K440" i="2" s="1"/>
  <c r="M440" i="2" s="1"/>
  <c r="G471" i="2"/>
  <c r="K443" i="2" s="1"/>
  <c r="M443" i="2" s="1"/>
  <c r="O443" i="2" s="1"/>
  <c r="G456" i="2"/>
  <c r="K445" i="2" s="1"/>
  <c r="M445" i="2" s="1"/>
  <c r="G455" i="2"/>
  <c r="G469" i="2"/>
  <c r="K447" i="2" s="1"/>
  <c r="M447" i="2" s="1"/>
  <c r="G440" i="2"/>
  <c r="G465" i="2"/>
  <c r="K446" i="2" s="1"/>
  <c r="M446" i="2" s="1"/>
  <c r="G451" i="2"/>
  <c r="G447" i="2"/>
  <c r="G441" i="2"/>
  <c r="G461" i="2"/>
  <c r="E574" i="2"/>
  <c r="E575" i="2" s="1"/>
  <c r="E576" i="2" s="1"/>
  <c r="E470" i="2"/>
  <c r="L55" i="11"/>
  <c r="E517" i="2"/>
  <c r="G168" i="1"/>
  <c r="J169" i="1"/>
  <c r="J168" i="1"/>
  <c r="J173" i="1"/>
  <c r="J172" i="1"/>
  <c r="E521" i="2"/>
  <c r="L73" i="11"/>
  <c r="N73" i="11" s="1"/>
  <c r="L50" i="11"/>
  <c r="E172" i="2"/>
  <c r="R47" i="11"/>
  <c r="T47" i="11" s="1"/>
  <c r="V47" i="11" s="1"/>
  <c r="E554" i="2"/>
  <c r="H190" i="1"/>
  <c r="T181" i="1" s="1"/>
  <c r="R42" i="11"/>
  <c r="T42" i="11" s="1"/>
  <c r="V42" i="11" s="1"/>
  <c r="E161" i="2"/>
  <c r="E166" i="2"/>
  <c r="E168" i="2" s="1"/>
  <c r="E531" i="2"/>
  <c r="E532" i="2" s="1"/>
  <c r="K520" i="2" s="1"/>
  <c r="M520" i="2" s="1"/>
  <c r="O520" i="2" s="1"/>
  <c r="J171" i="1"/>
  <c r="K80" i="8"/>
  <c r="J80" i="8"/>
  <c r="F64" i="8"/>
  <c r="K64" i="8" s="1"/>
  <c r="U45" i="11"/>
  <c r="K73" i="11"/>
  <c r="L68" i="11"/>
  <c r="N68" i="11" s="1"/>
  <c r="K65" i="11"/>
  <c r="M65" i="11" s="1"/>
  <c r="F11" i="1"/>
  <c r="F10" i="11" s="1"/>
  <c r="C10" i="11"/>
  <c r="R18" i="10"/>
  <c r="C8" i="11"/>
  <c r="F9" i="1"/>
  <c r="F8" i="11" s="1"/>
  <c r="F30" i="11" s="1"/>
  <c r="L34" i="11" s="1"/>
  <c r="E156" i="2"/>
  <c r="F5" i="1"/>
  <c r="F4" i="11" s="1"/>
  <c r="F26" i="11" s="1"/>
  <c r="L12" i="11" s="1"/>
  <c r="C4" i="11"/>
  <c r="F3" i="1"/>
  <c r="F2" i="11" s="1"/>
  <c r="C2" i="11"/>
  <c r="F6" i="1"/>
  <c r="F5" i="11" s="1"/>
  <c r="F27" i="11" s="1"/>
  <c r="L17" i="11" s="1"/>
  <c r="C5" i="11"/>
  <c r="E152" i="2"/>
  <c r="F25" i="11"/>
  <c r="L7" i="11" s="1"/>
  <c r="C6" i="11"/>
  <c r="F7" i="1"/>
  <c r="F6" i="11" s="1"/>
  <c r="F28" i="11" s="1"/>
  <c r="L23" i="11" s="1"/>
  <c r="F8" i="1"/>
  <c r="F7" i="11" s="1"/>
  <c r="F29" i="11" s="1"/>
  <c r="L28" i="11" s="1"/>
  <c r="C7" i="11"/>
  <c r="D526" i="2"/>
  <c r="F526" i="2" s="1"/>
  <c r="F529" i="2" s="1"/>
  <c r="D531" i="2"/>
  <c r="H33" i="9"/>
  <c r="I33" i="9" s="1"/>
  <c r="H12" i="9"/>
  <c r="I12" i="9" s="1"/>
  <c r="H21" i="9"/>
  <c r="H23" i="9" s="1"/>
  <c r="R17" i="10"/>
  <c r="G47" i="4"/>
  <c r="G50" i="4" s="1"/>
  <c r="J51" i="4" s="1"/>
  <c r="E376" i="2"/>
  <c r="F91" i="4"/>
  <c r="J5" i="10" s="1"/>
  <c r="F5" i="10" s="1"/>
  <c r="F7" i="10" s="1"/>
  <c r="I8" i="10" s="1"/>
  <c r="E382" i="2"/>
  <c r="F74" i="4"/>
  <c r="C79" i="4"/>
  <c r="C82" i="4" s="1"/>
  <c r="G82" i="4" s="1"/>
  <c r="F73" i="4"/>
  <c r="E178" i="2"/>
  <c r="E179" i="2"/>
  <c r="E528" i="2"/>
  <c r="E381" i="2"/>
  <c r="E327" i="2"/>
  <c r="E514" i="2"/>
  <c r="E522" i="2"/>
  <c r="E316" i="2"/>
  <c r="J183" i="1"/>
  <c r="D59" i="3"/>
  <c r="E328" i="2"/>
  <c r="J25" i="10"/>
  <c r="E388" i="2"/>
  <c r="E391" i="2" s="1"/>
  <c r="E394" i="2" s="1"/>
  <c r="O16" i="10"/>
  <c r="Q16" i="10" s="1"/>
  <c r="E387" i="2"/>
  <c r="E390" i="2" s="1"/>
  <c r="R16" i="10"/>
  <c r="J182" i="1"/>
  <c r="E543" i="2"/>
  <c r="E537" i="2"/>
  <c r="D61" i="3"/>
  <c r="E322" i="2"/>
  <c r="K551" i="2"/>
  <c r="M551" i="2" s="1"/>
  <c r="D56" i="3"/>
  <c r="D65" i="3" s="1"/>
  <c r="E369" i="2"/>
  <c r="E370" i="2" s="1"/>
  <c r="E342" i="2"/>
  <c r="E344" i="2" s="1"/>
  <c r="D51" i="3"/>
  <c r="D69" i="3" s="1"/>
  <c r="D48" i="3"/>
  <c r="D66" i="3" s="1"/>
  <c r="E338" i="2"/>
  <c r="E339" i="2" s="1"/>
  <c r="K339" i="2" s="1"/>
  <c r="M339" i="2" s="1"/>
  <c r="D50" i="3"/>
  <c r="E285" i="2"/>
  <c r="E269" i="2"/>
  <c r="K266" i="2" s="1"/>
  <c r="M266" i="2" s="1"/>
  <c r="E352" i="2"/>
  <c r="E354" i="2" s="1"/>
  <c r="K344" i="2" s="1"/>
  <c r="M344" i="2" s="1"/>
  <c r="D52" i="3"/>
  <c r="E274" i="2"/>
  <c r="E363" i="2"/>
  <c r="E265" i="2"/>
  <c r="K265" i="2" s="1"/>
  <c r="M265" i="2" s="1"/>
  <c r="D49" i="3"/>
  <c r="D67" i="3" s="1"/>
  <c r="E347" i="2"/>
  <c r="E349" i="2" s="1"/>
  <c r="D53" i="3"/>
  <c r="D71" i="3" s="1"/>
  <c r="E290" i="2"/>
  <c r="K272" i="2" s="1"/>
  <c r="M272" i="2" s="1"/>
  <c r="E279" i="2"/>
  <c r="E284" i="2"/>
  <c r="K271" i="2" s="1"/>
  <c r="M271" i="2" s="1"/>
  <c r="E292" i="2"/>
  <c r="E357" i="2"/>
  <c r="E360" i="2" s="1"/>
  <c r="E321" i="2"/>
  <c r="K308" i="2" s="1"/>
  <c r="M308" i="2" s="1"/>
  <c r="E323" i="2"/>
  <c r="D564" i="2"/>
  <c r="F564" i="2" s="1"/>
  <c r="D559" i="2"/>
  <c r="F559" i="2" s="1"/>
  <c r="D560" i="2"/>
  <c r="F560" i="2" s="1"/>
  <c r="K556" i="2"/>
  <c r="M556" i="2" s="1"/>
  <c r="D565" i="2"/>
  <c r="E564" i="2"/>
  <c r="K557" i="2"/>
  <c r="M557" i="2" s="1"/>
  <c r="E559" i="2"/>
  <c r="E527" i="2"/>
  <c r="E577" i="2"/>
  <c r="D569" i="2"/>
  <c r="N484" i="2"/>
  <c r="D571" i="2"/>
  <c r="F571" i="2" s="1"/>
  <c r="D484" i="2"/>
  <c r="D550" i="2"/>
  <c r="F550" i="2" s="1"/>
  <c r="D507" i="2"/>
  <c r="D551" i="2"/>
  <c r="F551" i="2" s="1"/>
  <c r="N478" i="2"/>
  <c r="D555" i="2"/>
  <c r="K303" i="2"/>
  <c r="M303" i="2" s="1"/>
  <c r="E343" i="2"/>
  <c r="K304" i="2"/>
  <c r="M304" i="2" s="1"/>
  <c r="K305" i="2"/>
  <c r="M305" i="2" s="1"/>
  <c r="H160" i="1"/>
  <c r="T151" i="1" s="1"/>
  <c r="H11" i="1"/>
  <c r="T2" i="1" s="1"/>
  <c r="R28" i="1"/>
  <c r="T20" i="1"/>
  <c r="T19" i="1"/>
  <c r="F4" i="8"/>
  <c r="G4" i="8" s="1"/>
  <c r="G2" i="8"/>
  <c r="K267" i="2"/>
  <c r="M267" i="2" s="1"/>
  <c r="F61" i="4"/>
  <c r="D38" i="3"/>
  <c r="E491" i="2"/>
  <c r="D41" i="3"/>
  <c r="D39" i="3"/>
  <c r="E495" i="2"/>
  <c r="D42" i="3"/>
  <c r="D43" i="3"/>
  <c r="E501" i="2"/>
  <c r="D40" i="3"/>
  <c r="E485" i="2"/>
  <c r="J152" i="1"/>
  <c r="J158" i="1"/>
  <c r="J157" i="1"/>
  <c r="J156" i="1"/>
  <c r="J155" i="1"/>
  <c r="J154" i="1"/>
  <c r="J153" i="1"/>
  <c r="F60" i="4"/>
  <c r="N482" i="2"/>
  <c r="N480" i="2"/>
  <c r="D501" i="2"/>
  <c r="H7" i="9"/>
  <c r="F16" i="9"/>
  <c r="E13" i="9"/>
  <c r="F15" i="9"/>
  <c r="F14" i="9"/>
  <c r="D496" i="2"/>
  <c r="N481" i="2"/>
  <c r="N477" i="2"/>
  <c r="D508" i="2"/>
  <c r="N479" i="2"/>
  <c r="D480" i="2"/>
  <c r="F480" i="2" s="1"/>
  <c r="N476" i="2"/>
  <c r="D503" i="2"/>
  <c r="E477" i="2"/>
  <c r="E490" i="2"/>
  <c r="E481" i="2"/>
  <c r="E507" i="2"/>
  <c r="F62" i="4"/>
  <c r="G79" i="4"/>
  <c r="H45" i="4"/>
  <c r="H43" i="4"/>
  <c r="H44" i="4"/>
  <c r="H46" i="4"/>
  <c r="F21" i="1"/>
  <c r="C131" i="1"/>
  <c r="C130" i="1"/>
  <c r="C86" i="1"/>
  <c r="C85" i="1"/>
  <c r="C71" i="1"/>
  <c r="C70" i="1"/>
  <c r="C42" i="1"/>
  <c r="C41" i="1"/>
  <c r="C27" i="1"/>
  <c r="F27" i="1" s="1"/>
  <c r="M73" i="11" l="1"/>
  <c r="M68" i="11"/>
  <c r="N55" i="11"/>
  <c r="M55" i="11"/>
  <c r="M67" i="11"/>
  <c r="L51" i="11"/>
  <c r="N50" i="11"/>
  <c r="R44" i="11" s="1"/>
  <c r="T44" i="11" s="1"/>
  <c r="V44" i="11" s="1"/>
  <c r="M50" i="11"/>
  <c r="K441" i="2"/>
  <c r="M441" i="2" s="1"/>
  <c r="M17" i="11"/>
  <c r="K28" i="11"/>
  <c r="K23" i="11"/>
  <c r="M23" i="11" s="1"/>
  <c r="N557" i="2"/>
  <c r="F569" i="2"/>
  <c r="N556" i="2"/>
  <c r="F565" i="2"/>
  <c r="N552" i="2"/>
  <c r="F555" i="2"/>
  <c r="F552" i="2"/>
  <c r="G507" i="2"/>
  <c r="F507" i="2"/>
  <c r="G481" i="2"/>
  <c r="K478" i="2" s="1"/>
  <c r="M478" i="2" s="1"/>
  <c r="O478" i="2" s="1"/>
  <c r="F481" i="2"/>
  <c r="F482" i="2" s="1"/>
  <c r="G491" i="2"/>
  <c r="F491" i="2"/>
  <c r="E496" i="2"/>
  <c r="G495" i="2"/>
  <c r="K483" i="2" s="1"/>
  <c r="M483" i="2" s="1"/>
  <c r="F495" i="2"/>
  <c r="G477" i="2"/>
  <c r="K477" i="2" s="1"/>
  <c r="F477" i="2"/>
  <c r="F478" i="2" s="1"/>
  <c r="E486" i="2"/>
  <c r="G485" i="2"/>
  <c r="F485" i="2"/>
  <c r="G501" i="2"/>
  <c r="F501" i="2"/>
  <c r="G490" i="2"/>
  <c r="F490" i="2"/>
  <c r="G517" i="2"/>
  <c r="F517" i="2"/>
  <c r="D489" i="2"/>
  <c r="F489" i="2" s="1"/>
  <c r="F484" i="2"/>
  <c r="D537" i="2"/>
  <c r="F537" i="2" s="1"/>
  <c r="F541" i="2" s="1"/>
  <c r="F531" i="2"/>
  <c r="F535" i="2" s="1"/>
  <c r="E162" i="2"/>
  <c r="E167" i="2"/>
  <c r="E157" i="2"/>
  <c r="G470" i="2"/>
  <c r="K444" i="2"/>
  <c r="M444" i="2" s="1"/>
  <c r="E3" i="2"/>
  <c r="E518" i="2"/>
  <c r="E173" i="2"/>
  <c r="E174" i="2" s="1"/>
  <c r="K476" i="2"/>
  <c r="D70" i="3"/>
  <c r="E555" i="2"/>
  <c r="K552" i="2" s="1"/>
  <c r="M552" i="2" s="1"/>
  <c r="O552" i="2" s="1"/>
  <c r="J176" i="1"/>
  <c r="G54" i="4"/>
  <c r="G55" i="4" s="1"/>
  <c r="G56" i="4" s="1"/>
  <c r="M57" i="11"/>
  <c r="F8" i="10"/>
  <c r="F10" i="10" s="1"/>
  <c r="F11" i="10" s="1"/>
  <c r="M43" i="11"/>
  <c r="E533" i="2"/>
  <c r="E163" i="2"/>
  <c r="E158" i="2"/>
  <c r="L60" i="11"/>
  <c r="F17" i="8"/>
  <c r="J17" i="8" s="1"/>
  <c r="K71" i="11"/>
  <c r="M71" i="11" s="1"/>
  <c r="E153" i="2"/>
  <c r="L19" i="11"/>
  <c r="L18" i="11"/>
  <c r="F24" i="11"/>
  <c r="L3" i="11" s="1"/>
  <c r="L14" i="11"/>
  <c r="L13" i="11"/>
  <c r="L35" i="11"/>
  <c r="L30" i="11"/>
  <c r="L29" i="11"/>
  <c r="L24" i="11"/>
  <c r="L9" i="11"/>
  <c r="L8" i="11"/>
  <c r="K519" i="2"/>
  <c r="M519" i="2" s="1"/>
  <c r="O519" i="2" s="1"/>
  <c r="J64" i="8"/>
  <c r="H14" i="9"/>
  <c r="F25" i="9"/>
  <c r="H25" i="9" s="1"/>
  <c r="H15" i="9"/>
  <c r="F26" i="9"/>
  <c r="H26" i="9" s="1"/>
  <c r="I13" i="9"/>
  <c r="E24" i="9"/>
  <c r="I24" i="9" s="1"/>
  <c r="K18" i="9" s="1"/>
  <c r="I23" i="9"/>
  <c r="H16" i="9"/>
  <c r="F27" i="9"/>
  <c r="H27" i="9" s="1"/>
  <c r="F77" i="4"/>
  <c r="K48" i="6"/>
  <c r="I9" i="10"/>
  <c r="L48" i="6" s="1"/>
  <c r="J191" i="1"/>
  <c r="E180" i="2"/>
  <c r="E538" i="2"/>
  <c r="E523" i="2"/>
  <c r="D68" i="3"/>
  <c r="E393" i="2"/>
  <c r="E396" i="2" s="1"/>
  <c r="K301" i="2"/>
  <c r="M301" i="2" s="1"/>
  <c r="E544" i="2"/>
  <c r="E397" i="2"/>
  <c r="K268" i="2"/>
  <c r="M268" i="2" s="1"/>
  <c r="E348" i="2"/>
  <c r="K309" i="2"/>
  <c r="M309" i="2" s="1"/>
  <c r="K264" i="2"/>
  <c r="M264" i="2" s="1"/>
  <c r="E364" i="2"/>
  <c r="K346" i="2" s="1"/>
  <c r="M346" i="2" s="1"/>
  <c r="E366" i="2"/>
  <c r="E358" i="2"/>
  <c r="K345" i="2" s="1"/>
  <c r="M345" i="2" s="1"/>
  <c r="E353" i="2"/>
  <c r="E365" i="2"/>
  <c r="E359" i="2"/>
  <c r="D494" i="2"/>
  <c r="O557" i="2"/>
  <c r="D554" i="2"/>
  <c r="F554" i="2" s="1"/>
  <c r="N550" i="2"/>
  <c r="D558" i="2"/>
  <c r="F558" i="2" s="1"/>
  <c r="F561" i="2" s="1"/>
  <c r="O556" i="2"/>
  <c r="D582" i="2"/>
  <c r="F582" i="2" s="1"/>
  <c r="N554" i="2"/>
  <c r="D577" i="2"/>
  <c r="F577" i="2" s="1"/>
  <c r="N558" i="2"/>
  <c r="D581" i="2"/>
  <c r="F581" i="2" s="1"/>
  <c r="N551" i="2"/>
  <c r="O551" i="2" s="1"/>
  <c r="N553" i="2"/>
  <c r="D575" i="2"/>
  <c r="F575" i="2" s="1"/>
  <c r="N555" i="2"/>
  <c r="D570" i="2"/>
  <c r="F570" i="2" s="1"/>
  <c r="K550" i="2"/>
  <c r="M550" i="2" s="1"/>
  <c r="E560" i="2"/>
  <c r="K553" i="2"/>
  <c r="M553" i="2" s="1"/>
  <c r="K558" i="2"/>
  <c r="M558" i="2" s="1"/>
  <c r="K555" i="2"/>
  <c r="M555" i="2" s="1"/>
  <c r="K341" i="2"/>
  <c r="M341" i="2" s="1"/>
  <c r="K340" i="2"/>
  <c r="M340" i="2" s="1"/>
  <c r="K306" i="2"/>
  <c r="M306" i="2" s="1"/>
  <c r="F63" i="4"/>
  <c r="C65" i="4" s="1"/>
  <c r="C66" i="4" s="1"/>
  <c r="C68" i="4" s="1"/>
  <c r="D68" i="4" s="1"/>
  <c r="K482" i="2"/>
  <c r="M482" i="2" s="1"/>
  <c r="K269" i="2"/>
  <c r="M269" i="2" s="1"/>
  <c r="J161" i="1"/>
  <c r="E497" i="2"/>
  <c r="E502" i="2"/>
  <c r="H47" i="4"/>
  <c r="H50" i="4" s="1"/>
  <c r="K50" i="4" s="1"/>
  <c r="I7" i="9"/>
  <c r="D502" i="2"/>
  <c r="E508" i="2"/>
  <c r="D11" i="3"/>
  <c r="N60" i="11" l="1"/>
  <c r="M60" i="11"/>
  <c r="N51" i="11"/>
  <c r="R45" i="11" s="1"/>
  <c r="T45" i="11" s="1"/>
  <c r="V45" i="11" s="1"/>
  <c r="M51" i="11"/>
  <c r="F556" i="2"/>
  <c r="K34" i="11"/>
  <c r="M34" i="11" s="1"/>
  <c r="M28" i="11"/>
  <c r="F492" i="2"/>
  <c r="M155" i="1" s="1"/>
  <c r="G496" i="2"/>
  <c r="F496" i="2"/>
  <c r="G508" i="2"/>
  <c r="F508" i="2"/>
  <c r="G486" i="2"/>
  <c r="K480" i="2" s="1"/>
  <c r="M480" i="2" s="1"/>
  <c r="O480" i="2" s="1"/>
  <c r="F486" i="2"/>
  <c r="F487" i="2" s="1"/>
  <c r="F502" i="2"/>
  <c r="G502" i="2"/>
  <c r="G497" i="2"/>
  <c r="F497" i="2"/>
  <c r="G518" i="2"/>
  <c r="K515" i="2" s="1"/>
  <c r="M515" i="2" s="1"/>
  <c r="O515" i="2" s="1"/>
  <c r="F518" i="2"/>
  <c r="F519" i="2" s="1"/>
  <c r="M168" i="1" s="1"/>
  <c r="O168" i="1" s="1"/>
  <c r="D500" i="2"/>
  <c r="F500" i="2" s="1"/>
  <c r="F494" i="2"/>
  <c r="E169" i="2"/>
  <c r="K154" i="2"/>
  <c r="M154" i="2" s="1"/>
  <c r="K156" i="2"/>
  <c r="M156" i="2" s="1"/>
  <c r="K153" i="2"/>
  <c r="M153" i="2" s="1"/>
  <c r="G3" i="2"/>
  <c r="K152" i="2"/>
  <c r="M152" i="2" s="1"/>
  <c r="K513" i="2"/>
  <c r="M513" i="2" s="1"/>
  <c r="O513" i="2" s="1"/>
  <c r="K439" i="2"/>
  <c r="M439" i="2" s="1"/>
  <c r="K442" i="2"/>
  <c r="M442" i="2" s="1"/>
  <c r="M52" i="11"/>
  <c r="M74" i="11"/>
  <c r="R41" i="11"/>
  <c r="T41" i="11" s="1"/>
  <c r="V41" i="11" s="1"/>
  <c r="E534" i="2"/>
  <c r="J55" i="4"/>
  <c r="K55" i="4" s="1"/>
  <c r="K47" i="6"/>
  <c r="D17" i="8"/>
  <c r="T43" i="11"/>
  <c r="V43" i="11" s="1"/>
  <c r="M47" i="11"/>
  <c r="R48" i="11"/>
  <c r="T48" i="11" s="1"/>
  <c r="V48" i="11" s="1"/>
  <c r="L61" i="11"/>
  <c r="M69" i="11"/>
  <c r="M36" i="11"/>
  <c r="L4" i="11"/>
  <c r="L20" i="11"/>
  <c r="L25" i="11"/>
  <c r="L31" i="11"/>
  <c r="K516" i="2"/>
  <c r="M516" i="2" s="1"/>
  <c r="O516" i="2" s="1"/>
  <c r="D543" i="2"/>
  <c r="F543" i="2" s="1"/>
  <c r="F546" i="2" s="1"/>
  <c r="K2" i="9"/>
  <c r="F36" i="9"/>
  <c r="H28" i="9"/>
  <c r="H17" i="9"/>
  <c r="M183" i="1"/>
  <c r="O183" i="1" s="1"/>
  <c r="R183" i="1" s="1"/>
  <c r="O550" i="2"/>
  <c r="M170" i="1"/>
  <c r="O170" i="1" s="1"/>
  <c r="M182" i="1"/>
  <c r="O182" i="1" s="1"/>
  <c r="C80" i="4"/>
  <c r="D80" i="4" s="1"/>
  <c r="K159" i="2"/>
  <c r="M159" i="2" s="1"/>
  <c r="K160" i="2"/>
  <c r="M160" i="2" s="1"/>
  <c r="K157" i="2"/>
  <c r="M157" i="2" s="1"/>
  <c r="K514" i="2"/>
  <c r="E539" i="2"/>
  <c r="E545" i="2"/>
  <c r="G397" i="2"/>
  <c r="F397" i="2"/>
  <c r="K342" i="2"/>
  <c r="M342" i="2" s="1"/>
  <c r="K338" i="2"/>
  <c r="M338" i="2" s="1"/>
  <c r="K343" i="2"/>
  <c r="M343" i="2" s="1"/>
  <c r="O555" i="2"/>
  <c r="O553" i="2"/>
  <c r="O558" i="2"/>
  <c r="D568" i="2"/>
  <c r="F568" i="2" s="1"/>
  <c r="F572" i="2" s="1"/>
  <c r="D563" i="2"/>
  <c r="F563" i="2" s="1"/>
  <c r="F566" i="2" s="1"/>
  <c r="D576" i="2"/>
  <c r="F576" i="2" s="1"/>
  <c r="M152" i="1"/>
  <c r="K554" i="2"/>
  <c r="M554" i="2" s="1"/>
  <c r="O554" i="2" s="1"/>
  <c r="M477" i="2"/>
  <c r="O477" i="2" s="1"/>
  <c r="K479" i="2"/>
  <c r="E503" i="2"/>
  <c r="K481" i="2"/>
  <c r="M481" i="2" s="1"/>
  <c r="O481" i="2" s="1"/>
  <c r="G80" i="4"/>
  <c r="H80" i="4" s="1"/>
  <c r="R131" i="1"/>
  <c r="S12" i="1"/>
  <c r="S27" i="1"/>
  <c r="S42" i="1"/>
  <c r="S71" i="1"/>
  <c r="S86" i="1"/>
  <c r="S131" i="1"/>
  <c r="R86" i="1"/>
  <c r="R71" i="1"/>
  <c r="R42" i="1"/>
  <c r="R12" i="1"/>
  <c r="N61" i="11" l="1"/>
  <c r="M61" i="11"/>
  <c r="D506" i="2"/>
  <c r="F506" i="2" s="1"/>
  <c r="F498" i="2"/>
  <c r="G503" i="2"/>
  <c r="F503" i="2"/>
  <c r="F504" i="2" s="1"/>
  <c r="F509" i="2"/>
  <c r="K155" i="2"/>
  <c r="M155" i="2" s="1"/>
  <c r="K158" i="2"/>
  <c r="M158" i="2" s="1"/>
  <c r="L47" i="6"/>
  <c r="H54" i="4"/>
  <c r="M15" i="11"/>
  <c r="L62" i="11"/>
  <c r="R46" i="11"/>
  <c r="T46" i="11" s="1"/>
  <c r="V46" i="11" s="1"/>
  <c r="M32" i="11"/>
  <c r="M26" i="11"/>
  <c r="M10" i="11"/>
  <c r="M21" i="11"/>
  <c r="K518" i="2"/>
  <c r="M518" i="2" s="1"/>
  <c r="O518" i="2" s="1"/>
  <c r="I17" i="9"/>
  <c r="F37" i="9"/>
  <c r="G37" i="9" s="1"/>
  <c r="N2" i="9"/>
  <c r="K4" i="9"/>
  <c r="I28" i="9"/>
  <c r="N18" i="9"/>
  <c r="K20" i="9"/>
  <c r="G81" i="4"/>
  <c r="G83" i="4" s="1"/>
  <c r="H83" i="4" s="1"/>
  <c r="C81" i="4"/>
  <c r="C83" i="4" s="1"/>
  <c r="D83" i="4" s="1"/>
  <c r="L46" i="6" s="1"/>
  <c r="M169" i="1"/>
  <c r="O169" i="1" s="1"/>
  <c r="R169" i="1" s="1"/>
  <c r="F398" i="2"/>
  <c r="M21" i="10" s="1"/>
  <c r="K517" i="2"/>
  <c r="M185" i="1"/>
  <c r="O185" i="1" s="1"/>
  <c r="E540" i="2"/>
  <c r="M167" i="1"/>
  <c r="O167" i="1" s="1"/>
  <c r="R167" i="1" s="1"/>
  <c r="M514" i="2"/>
  <c r="O514" i="2" s="1"/>
  <c r="O559" i="2"/>
  <c r="Q183" i="1"/>
  <c r="R182" i="1"/>
  <c r="Q182" i="1"/>
  <c r="D574" i="2"/>
  <c r="F574" i="2" s="1"/>
  <c r="F578" i="2" s="1"/>
  <c r="M154" i="1"/>
  <c r="R170" i="1"/>
  <c r="Q170" i="1"/>
  <c r="M171" i="1"/>
  <c r="O171" i="1" s="1"/>
  <c r="R168" i="1"/>
  <c r="Q168" i="1"/>
  <c r="T64" i="1"/>
  <c r="T63" i="1"/>
  <c r="T79" i="1"/>
  <c r="T78" i="1"/>
  <c r="T124" i="1"/>
  <c r="T123" i="1"/>
  <c r="T35" i="1"/>
  <c r="T34" i="1"/>
  <c r="T4" i="1"/>
  <c r="T5" i="1"/>
  <c r="K484" i="2"/>
  <c r="M484" i="2" s="1"/>
  <c r="O484" i="2" s="1"/>
  <c r="M476" i="2"/>
  <c r="O476" i="2" s="1"/>
  <c r="M479" i="2"/>
  <c r="O483" i="2"/>
  <c r="M156" i="1"/>
  <c r="O156" i="1" s="1"/>
  <c r="R132" i="1"/>
  <c r="N62" i="11" l="1"/>
  <c r="M62" i="11"/>
  <c r="O486" i="2"/>
  <c r="H55" i="4"/>
  <c r="H56" i="4" s="1"/>
  <c r="J54" i="4"/>
  <c r="K54" i="4" s="1"/>
  <c r="R49" i="11"/>
  <c r="T49" i="11" s="1"/>
  <c r="V49" i="11" s="1"/>
  <c r="V50" i="11" s="1"/>
  <c r="M63" i="11"/>
  <c r="R10" i="11"/>
  <c r="T10" i="11" s="1"/>
  <c r="V10" i="11" s="1"/>
  <c r="M5" i="11"/>
  <c r="R2" i="11"/>
  <c r="T2" i="11" s="1"/>
  <c r="V2" i="11" s="1"/>
  <c r="K521" i="2"/>
  <c r="M521" i="2" s="1"/>
  <c r="K46" i="6"/>
  <c r="Q185" i="1"/>
  <c r="R185" i="1"/>
  <c r="O21" i="10"/>
  <c r="Q21" i="10" s="1"/>
  <c r="R21" i="10"/>
  <c r="M184" i="1"/>
  <c r="O184" i="1" s="1"/>
  <c r="R184" i="1" s="1"/>
  <c r="Q169" i="1"/>
  <c r="Q167" i="1"/>
  <c r="M517" i="2"/>
  <c r="O517" i="2" s="1"/>
  <c r="D580" i="2"/>
  <c r="F580" i="2" s="1"/>
  <c r="F583" i="2" s="1"/>
  <c r="M187" i="1"/>
  <c r="O187" i="1" s="1"/>
  <c r="R171" i="1"/>
  <c r="Q171" i="1"/>
  <c r="Q156" i="1"/>
  <c r="R156" i="1"/>
  <c r="F123" i="1"/>
  <c r="F124" i="1"/>
  <c r="E413" i="2" s="1"/>
  <c r="F125" i="1"/>
  <c r="E417" i="2" s="1"/>
  <c r="F126" i="1"/>
  <c r="F127" i="1"/>
  <c r="E427" i="2" s="1"/>
  <c r="F128" i="1"/>
  <c r="E431" i="2" s="1"/>
  <c r="F122" i="1"/>
  <c r="E402" i="2" s="1"/>
  <c r="F34" i="1"/>
  <c r="J5" i="5"/>
  <c r="F19" i="1"/>
  <c r="D12" i="3" s="1"/>
  <c r="F20" i="1"/>
  <c r="D13" i="3" s="1"/>
  <c r="D14" i="3"/>
  <c r="F22" i="1"/>
  <c r="D15" i="3" s="1"/>
  <c r="F23" i="1"/>
  <c r="E65" i="2" s="1"/>
  <c r="D17" i="3"/>
  <c r="D31" i="2"/>
  <c r="G21" i="5"/>
  <c r="E20" i="5"/>
  <c r="G20" i="5" s="1"/>
  <c r="G19" i="5"/>
  <c r="E15" i="5"/>
  <c r="E73" i="2"/>
  <c r="A72" i="2"/>
  <c r="E69" i="2"/>
  <c r="A67" i="2"/>
  <c r="A66" i="2"/>
  <c r="E63" i="2"/>
  <c r="E58" i="2"/>
  <c r="A55" i="2"/>
  <c r="E52" i="2"/>
  <c r="A50" i="2"/>
  <c r="J48" i="2"/>
  <c r="J47" i="2"/>
  <c r="E47" i="2"/>
  <c r="J46" i="2"/>
  <c r="J45" i="2"/>
  <c r="J44" i="2"/>
  <c r="A44" i="2"/>
  <c r="A49" i="2" s="1"/>
  <c r="A54" i="2" s="1"/>
  <c r="A60" i="2" s="1"/>
  <c r="A65" i="2" s="1"/>
  <c r="A71" i="2" s="1"/>
  <c r="J43" i="2"/>
  <c r="J42" i="2"/>
  <c r="E42" i="2"/>
  <c r="J41" i="2"/>
  <c r="J40" i="2"/>
  <c r="E26" i="1"/>
  <c r="H24" i="1"/>
  <c r="L24" i="1" s="1"/>
  <c r="H23" i="1"/>
  <c r="L23" i="1" s="1"/>
  <c r="H22" i="1"/>
  <c r="L22" i="1" s="1"/>
  <c r="H21" i="1"/>
  <c r="L21" i="1" s="1"/>
  <c r="H20" i="1"/>
  <c r="L20" i="1" s="1"/>
  <c r="H19" i="1"/>
  <c r="L19" i="1" s="1"/>
  <c r="H18" i="1"/>
  <c r="L18" i="1" s="1"/>
  <c r="J410" i="2"/>
  <c r="J409" i="2"/>
  <c r="J408" i="2"/>
  <c r="J407" i="2"/>
  <c r="J406" i="2"/>
  <c r="J405" i="2"/>
  <c r="J404" i="2"/>
  <c r="J403" i="2"/>
  <c r="J402" i="2"/>
  <c r="N406" i="2"/>
  <c r="D410" i="2"/>
  <c r="D402" i="2"/>
  <c r="E411" i="2"/>
  <c r="E435" i="2"/>
  <c r="E429" i="2"/>
  <c r="E425" i="2"/>
  <c r="E420" i="2"/>
  <c r="E415" i="2"/>
  <c r="E405" i="2"/>
  <c r="L128" i="1"/>
  <c r="L127" i="1"/>
  <c r="L126" i="1"/>
  <c r="L125" i="1"/>
  <c r="L124" i="1"/>
  <c r="L123" i="1"/>
  <c r="L122" i="1"/>
  <c r="E260" i="2"/>
  <c r="E256" i="2"/>
  <c r="E250" i="2"/>
  <c r="E244" i="2"/>
  <c r="E239" i="2"/>
  <c r="J235" i="2"/>
  <c r="J234" i="2"/>
  <c r="E234" i="2"/>
  <c r="J233" i="2"/>
  <c r="J232" i="2"/>
  <c r="J231" i="2"/>
  <c r="J230" i="2"/>
  <c r="J229" i="2"/>
  <c r="E229" i="2"/>
  <c r="J228" i="2"/>
  <c r="J227" i="2"/>
  <c r="R87" i="1"/>
  <c r="L83" i="1"/>
  <c r="L82" i="1"/>
  <c r="L81" i="1"/>
  <c r="L80" i="1"/>
  <c r="L79" i="1"/>
  <c r="L78" i="1"/>
  <c r="L77" i="1"/>
  <c r="D447" i="2" l="1"/>
  <c r="F447" i="2" s="1"/>
  <c r="F410" i="2"/>
  <c r="D439" i="2"/>
  <c r="F439" i="2" s="1"/>
  <c r="F402" i="2"/>
  <c r="L19" i="2"/>
  <c r="N19" i="2" s="1"/>
  <c r="D143" i="2"/>
  <c r="R6" i="11"/>
  <c r="T6" i="11" s="1"/>
  <c r="V6" i="11" s="1"/>
  <c r="R5" i="11"/>
  <c r="T5" i="11" s="1"/>
  <c r="V5" i="11" s="1"/>
  <c r="R8" i="11"/>
  <c r="T8" i="11" s="1"/>
  <c r="V8" i="11" s="1"/>
  <c r="R7" i="11"/>
  <c r="T7" i="11" s="1"/>
  <c r="V7" i="11" s="1"/>
  <c r="R3" i="11"/>
  <c r="T3" i="11" s="1"/>
  <c r="V3" i="11" s="1"/>
  <c r="R9" i="11"/>
  <c r="T9" i="11" s="1"/>
  <c r="V9" i="11" s="1"/>
  <c r="R4" i="11"/>
  <c r="T4" i="11" s="1"/>
  <c r="V4" i="11" s="1"/>
  <c r="O521" i="2"/>
  <c r="O522" i="2" s="1"/>
  <c r="M186" i="1"/>
  <c r="O186" i="1" s="1"/>
  <c r="Q184" i="1"/>
  <c r="R187" i="1"/>
  <c r="Q187" i="1"/>
  <c r="O560" i="2"/>
  <c r="M173" i="1"/>
  <c r="O173" i="1" s="1"/>
  <c r="Q173" i="1" s="1"/>
  <c r="F26" i="1"/>
  <c r="H26" i="1" s="1"/>
  <c r="T17" i="1" s="1"/>
  <c r="D471" i="2"/>
  <c r="F471" i="2" s="1"/>
  <c r="D468" i="2"/>
  <c r="F468" i="2" s="1"/>
  <c r="N439" i="2"/>
  <c r="O439" i="2" s="1"/>
  <c r="D444" i="2"/>
  <c r="F444" i="2" s="1"/>
  <c r="D450" i="2"/>
  <c r="F450" i="2" s="1"/>
  <c r="E54" i="2"/>
  <c r="E44" i="2"/>
  <c r="E49" i="2"/>
  <c r="E51" i="2" s="1"/>
  <c r="E233" i="2"/>
  <c r="E419" i="2"/>
  <c r="E238" i="2"/>
  <c r="E66" i="2"/>
  <c r="E60" i="2"/>
  <c r="D434" i="2"/>
  <c r="F434" i="2" s="1"/>
  <c r="D431" i="2"/>
  <c r="F431" i="2" s="1"/>
  <c r="D68" i="2"/>
  <c r="F68" i="2" s="1"/>
  <c r="D16" i="3"/>
  <c r="E422" i="2"/>
  <c r="E407" i="2"/>
  <c r="E40" i="2"/>
  <c r="E77" i="2" s="1"/>
  <c r="G22" i="5"/>
  <c r="K7" i="5" s="1"/>
  <c r="K8" i="5" s="1"/>
  <c r="E71" i="2"/>
  <c r="E67" i="2"/>
  <c r="N402" i="2"/>
  <c r="E432" i="2"/>
  <c r="E434" i="2"/>
  <c r="E403" i="2"/>
  <c r="E418" i="2"/>
  <c r="E428" i="2"/>
  <c r="E414" i="2"/>
  <c r="E249" i="2"/>
  <c r="E247" i="2"/>
  <c r="E248" i="2"/>
  <c r="E237" i="2"/>
  <c r="E232" i="2"/>
  <c r="E228" i="2"/>
  <c r="D29" i="3"/>
  <c r="E41" i="1"/>
  <c r="E42" i="1"/>
  <c r="E71" i="1" s="1"/>
  <c r="E1" i="3"/>
  <c r="E19" i="3"/>
  <c r="E28" i="3"/>
  <c r="A30" i="3"/>
  <c r="A31" i="3"/>
  <c r="A32" i="3"/>
  <c r="A33" i="3"/>
  <c r="A34" i="3"/>
  <c r="A35" i="3"/>
  <c r="A29" i="3"/>
  <c r="D180" i="2" l="1"/>
  <c r="F180" i="2" s="1"/>
  <c r="F143" i="2"/>
  <c r="N160" i="2"/>
  <c r="O160" i="2" s="1"/>
  <c r="V11" i="11"/>
  <c r="M188" i="1"/>
  <c r="Q186" i="1"/>
  <c r="R186" i="1"/>
  <c r="M172" i="1"/>
  <c r="R173" i="1"/>
  <c r="E86" i="1"/>
  <c r="F86" i="1" s="1"/>
  <c r="F71" i="1"/>
  <c r="F41" i="1"/>
  <c r="H41" i="1" s="1"/>
  <c r="T32" i="1" s="1"/>
  <c r="D454" i="2"/>
  <c r="F454" i="2" s="1"/>
  <c r="N441" i="2"/>
  <c r="O441" i="2" s="1"/>
  <c r="D105" i="2"/>
  <c r="F105" i="2" s="1"/>
  <c r="E408" i="2"/>
  <c r="E433" i="2"/>
  <c r="K402" i="2" s="1"/>
  <c r="M402" i="2" s="1"/>
  <c r="O402" i="2" s="1"/>
  <c r="K410" i="2"/>
  <c r="M410" i="2" s="1"/>
  <c r="E50" i="2"/>
  <c r="E61" i="2"/>
  <c r="E68" i="2"/>
  <c r="E45" i="2"/>
  <c r="E55" i="2"/>
  <c r="E56" i="2"/>
  <c r="E46" i="2"/>
  <c r="E409" i="2"/>
  <c r="E255" i="2"/>
  <c r="K408" i="2"/>
  <c r="M408" i="2" s="1"/>
  <c r="K234" i="2"/>
  <c r="M234" i="2" s="1"/>
  <c r="K228" i="2"/>
  <c r="M228" i="2" s="1"/>
  <c r="E424" i="2"/>
  <c r="E259" i="2"/>
  <c r="E404" i="2"/>
  <c r="N48" i="2"/>
  <c r="E41" i="2"/>
  <c r="E72" i="2"/>
  <c r="E423" i="2"/>
  <c r="E254" i="2"/>
  <c r="E253" i="2"/>
  <c r="E70" i="1"/>
  <c r="K409" i="2"/>
  <c r="M409" i="2" s="1"/>
  <c r="E243" i="2"/>
  <c r="E242" i="2"/>
  <c r="R43" i="1"/>
  <c r="R13" i="1"/>
  <c r="E190" i="2"/>
  <c r="R72" i="1"/>
  <c r="D212" i="2"/>
  <c r="F212" i="2" s="1"/>
  <c r="D210" i="2"/>
  <c r="F210" i="2" s="1"/>
  <c r="D206" i="2"/>
  <c r="F206" i="2" s="1"/>
  <c r="D205" i="2"/>
  <c r="F205" i="2" s="1"/>
  <c r="D196" i="2"/>
  <c r="F196" i="2" s="1"/>
  <c r="D195" i="2"/>
  <c r="F195" i="2" s="1"/>
  <c r="D190" i="2"/>
  <c r="F190" i="2" s="1"/>
  <c r="J198" i="2"/>
  <c r="J197" i="2"/>
  <c r="J196" i="2"/>
  <c r="J195" i="2"/>
  <c r="J194" i="2"/>
  <c r="J191" i="2"/>
  <c r="J190" i="2"/>
  <c r="J193" i="2"/>
  <c r="J192" i="2"/>
  <c r="E223" i="2"/>
  <c r="E219" i="2"/>
  <c r="E213" i="2"/>
  <c r="E207" i="2"/>
  <c r="E202" i="2"/>
  <c r="E197" i="2"/>
  <c r="E192" i="2"/>
  <c r="L68" i="1"/>
  <c r="L67" i="1"/>
  <c r="L66" i="1"/>
  <c r="L65" i="1"/>
  <c r="L64" i="1"/>
  <c r="L63" i="1"/>
  <c r="L62" i="1"/>
  <c r="I68" i="1"/>
  <c r="I83" i="1" s="1"/>
  <c r="I98" i="1" s="1"/>
  <c r="I67" i="1"/>
  <c r="I82" i="1" s="1"/>
  <c r="I97" i="1" s="1"/>
  <c r="I65" i="1"/>
  <c r="I80" i="1" s="1"/>
  <c r="I95" i="1" s="1"/>
  <c r="I66" i="1"/>
  <c r="I81" i="1" s="1"/>
  <c r="I96" i="1" s="1"/>
  <c r="I64" i="1"/>
  <c r="I79" i="1" s="1"/>
  <c r="I94" i="1" s="1"/>
  <c r="I63" i="1"/>
  <c r="I78" i="1" s="1"/>
  <c r="I93" i="1" s="1"/>
  <c r="I62" i="1"/>
  <c r="I77" i="1" s="1"/>
  <c r="I92" i="1" s="1"/>
  <c r="D30" i="3"/>
  <c r="D31" i="3"/>
  <c r="D32" i="3"/>
  <c r="D33" i="3"/>
  <c r="D35" i="3"/>
  <c r="E131" i="1" l="1"/>
  <c r="F131" i="1" s="1"/>
  <c r="O172" i="1"/>
  <c r="L176" i="1"/>
  <c r="E101" i="1"/>
  <c r="O188" i="1"/>
  <c r="L191" i="1"/>
  <c r="F70" i="1"/>
  <c r="H70" i="1" s="1"/>
  <c r="T61" i="1" s="1"/>
  <c r="D459" i="2"/>
  <c r="F459" i="2" s="1"/>
  <c r="N444" i="2"/>
  <c r="O444" i="2" s="1"/>
  <c r="E410" i="2"/>
  <c r="K406" i="2" s="1"/>
  <c r="M406" i="2" s="1"/>
  <c r="O406" i="2" s="1"/>
  <c r="J96" i="1"/>
  <c r="I111" i="1"/>
  <c r="J95" i="1"/>
  <c r="I110" i="1"/>
  <c r="J98" i="1"/>
  <c r="I113" i="1"/>
  <c r="J97" i="1"/>
  <c r="I112" i="1"/>
  <c r="J92" i="1"/>
  <c r="I107" i="1"/>
  <c r="J107" i="1" s="1"/>
  <c r="J93" i="1"/>
  <c r="I108" i="1"/>
  <c r="J94" i="1"/>
  <c r="I109" i="1"/>
  <c r="K43" i="2"/>
  <c r="M43" i="2" s="1"/>
  <c r="K42" i="2"/>
  <c r="M42" i="2" s="1"/>
  <c r="K41" i="2"/>
  <c r="M41" i="2" s="1"/>
  <c r="N85" i="2"/>
  <c r="E78" i="2"/>
  <c r="E62" i="2"/>
  <c r="K47" i="2" s="1"/>
  <c r="M47" i="2" s="1"/>
  <c r="E57" i="2"/>
  <c r="K230" i="2"/>
  <c r="M230" i="2" s="1"/>
  <c r="K45" i="2"/>
  <c r="M45" i="2" s="1"/>
  <c r="K40" i="2"/>
  <c r="M40" i="2" s="1"/>
  <c r="K231" i="2"/>
  <c r="M231" i="2" s="1"/>
  <c r="K229" i="2"/>
  <c r="M229" i="2" s="1"/>
  <c r="K233" i="2"/>
  <c r="M233" i="2" s="1"/>
  <c r="K235" i="2"/>
  <c r="M235" i="2" s="1"/>
  <c r="E191" i="2"/>
  <c r="K44" i="2"/>
  <c r="M44" i="2" s="1"/>
  <c r="D247" i="2"/>
  <c r="F247" i="2" s="1"/>
  <c r="N195" i="2"/>
  <c r="D222" i="2"/>
  <c r="F222" i="2" s="1"/>
  <c r="K407" i="2"/>
  <c r="M407" i="2" s="1"/>
  <c r="K48" i="2"/>
  <c r="M48" i="2" s="1"/>
  <c r="O48" i="2" s="1"/>
  <c r="K405" i="2"/>
  <c r="M405" i="2" s="1"/>
  <c r="E85" i="1"/>
  <c r="K403" i="2"/>
  <c r="M403" i="2" s="1"/>
  <c r="K227" i="2"/>
  <c r="M227" i="2" s="1"/>
  <c r="J122" i="1"/>
  <c r="J77" i="1"/>
  <c r="N192" i="2"/>
  <c r="D232" i="2"/>
  <c r="F232" i="2" s="1"/>
  <c r="N196" i="2"/>
  <c r="D243" i="2"/>
  <c r="F243" i="2" s="1"/>
  <c r="J123" i="1"/>
  <c r="J78" i="1"/>
  <c r="D194" i="2"/>
  <c r="F194" i="2" s="1"/>
  <c r="F197" i="2" s="1"/>
  <c r="D227" i="2"/>
  <c r="D201" i="2"/>
  <c r="F201" i="2" s="1"/>
  <c r="D233" i="2"/>
  <c r="F233" i="2" s="1"/>
  <c r="J124" i="1"/>
  <c r="J79" i="1"/>
  <c r="J126" i="1"/>
  <c r="J81" i="1"/>
  <c r="J125" i="1"/>
  <c r="J80" i="1"/>
  <c r="J127" i="1"/>
  <c r="J82" i="1"/>
  <c r="D211" i="2"/>
  <c r="F211" i="2" s="1"/>
  <c r="J128" i="1"/>
  <c r="J83" i="1"/>
  <c r="N198" i="2"/>
  <c r="D249" i="2"/>
  <c r="F249" i="2" s="1"/>
  <c r="D216" i="2"/>
  <c r="F216" i="2" s="1"/>
  <c r="K232" i="2"/>
  <c r="M232" i="2" s="1"/>
  <c r="J63" i="1"/>
  <c r="E194" i="2"/>
  <c r="E209" i="2"/>
  <c r="E221" i="2"/>
  <c r="J68" i="1"/>
  <c r="E215" i="2"/>
  <c r="D34" i="3"/>
  <c r="J66" i="1"/>
  <c r="J65" i="1"/>
  <c r="E204" i="2"/>
  <c r="E199" i="2"/>
  <c r="J64" i="1"/>
  <c r="N190" i="2"/>
  <c r="D199" i="2"/>
  <c r="F199" i="2" s="1"/>
  <c r="N193" i="2"/>
  <c r="J62" i="1"/>
  <c r="J67" i="1"/>
  <c r="D264" i="2" l="1"/>
  <c r="F227" i="2"/>
  <c r="R188" i="1"/>
  <c r="M191" i="1" s="1"/>
  <c r="L192" i="1" s="1"/>
  <c r="Q188" i="1"/>
  <c r="T185" i="1" s="1"/>
  <c r="T186" i="1" s="1"/>
  <c r="R172" i="1"/>
  <c r="M176" i="1" s="1"/>
  <c r="L177" i="1" s="1"/>
  <c r="Q172" i="1"/>
  <c r="T170" i="1" s="1"/>
  <c r="T171" i="1" s="1"/>
  <c r="E116" i="1"/>
  <c r="F116" i="1" s="1"/>
  <c r="F101" i="1"/>
  <c r="F85" i="1"/>
  <c r="H85" i="1" s="1"/>
  <c r="T76" i="1" s="1"/>
  <c r="D464" i="2"/>
  <c r="F464" i="2" s="1"/>
  <c r="N446" i="2"/>
  <c r="O446" i="2" s="1"/>
  <c r="J112" i="1"/>
  <c r="J108" i="1"/>
  <c r="J113" i="1"/>
  <c r="J110" i="1"/>
  <c r="J111" i="1"/>
  <c r="J109" i="1"/>
  <c r="J101" i="1"/>
  <c r="D280" i="2"/>
  <c r="D269" i="2"/>
  <c r="F269" i="2" s="1"/>
  <c r="D286" i="2"/>
  <c r="D284" i="2"/>
  <c r="F284" i="2" s="1"/>
  <c r="D270" i="2"/>
  <c r="E100" i="1"/>
  <c r="K78" i="2"/>
  <c r="M78" i="2" s="1"/>
  <c r="N234" i="2"/>
  <c r="O234" i="2" s="1"/>
  <c r="K191" i="2"/>
  <c r="M191" i="2" s="1"/>
  <c r="E200" i="2"/>
  <c r="E196" i="2"/>
  <c r="K404" i="2"/>
  <c r="M404" i="2" s="1"/>
  <c r="D204" i="2"/>
  <c r="F204" i="2" s="1"/>
  <c r="F207" i="2" s="1"/>
  <c r="D432" i="2"/>
  <c r="F432" i="2" s="1"/>
  <c r="D419" i="2"/>
  <c r="F419" i="2" s="1"/>
  <c r="D217" i="2"/>
  <c r="F217" i="2" s="1"/>
  <c r="D408" i="2"/>
  <c r="F408" i="2" s="1"/>
  <c r="D238" i="2"/>
  <c r="F238" i="2" s="1"/>
  <c r="D404" i="2"/>
  <c r="F404" i="2" s="1"/>
  <c r="K46" i="2"/>
  <c r="M46" i="2" s="1"/>
  <c r="E130" i="1"/>
  <c r="D407" i="2"/>
  <c r="F407" i="2" s="1"/>
  <c r="D413" i="2"/>
  <c r="F413" i="2" s="1"/>
  <c r="N233" i="2"/>
  <c r="O233" i="2" s="1"/>
  <c r="N235" i="2"/>
  <c r="O235" i="2" s="1"/>
  <c r="D253" i="2"/>
  <c r="F253" i="2" s="1"/>
  <c r="D231" i="2"/>
  <c r="F231" i="2" s="1"/>
  <c r="F234" i="2" s="1"/>
  <c r="N227" i="2"/>
  <c r="O227" i="2" s="1"/>
  <c r="D236" i="2"/>
  <c r="F236" i="2" s="1"/>
  <c r="N229" i="2"/>
  <c r="O229" i="2" s="1"/>
  <c r="D259" i="2"/>
  <c r="F259" i="2" s="1"/>
  <c r="N230" i="2"/>
  <c r="O230" i="2" s="1"/>
  <c r="J131" i="1"/>
  <c r="J86" i="1"/>
  <c r="E195" i="2"/>
  <c r="E201" i="2"/>
  <c r="J71" i="1"/>
  <c r="E205" i="2"/>
  <c r="E206" i="2"/>
  <c r="N197" i="2"/>
  <c r="D317" i="2" l="1"/>
  <c r="F280" i="2"/>
  <c r="D307" i="2"/>
  <c r="F270" i="2"/>
  <c r="D323" i="2"/>
  <c r="F323" i="2" s="1"/>
  <c r="F286" i="2"/>
  <c r="D301" i="2"/>
  <c r="F264" i="2"/>
  <c r="R190" i="1"/>
  <c r="S193" i="1" s="1"/>
  <c r="L43" i="6" s="1"/>
  <c r="R175" i="1"/>
  <c r="S178" i="1" s="1"/>
  <c r="L42" i="6" s="1"/>
  <c r="F130" i="1"/>
  <c r="H130" i="1" s="1"/>
  <c r="T121" i="1" s="1"/>
  <c r="F100" i="1"/>
  <c r="H100" i="1" s="1"/>
  <c r="T91" i="1" s="1"/>
  <c r="D360" i="2"/>
  <c r="D327" i="2"/>
  <c r="F327" i="2" s="1"/>
  <c r="D321" i="2"/>
  <c r="D469" i="2"/>
  <c r="F469" i="2" s="1"/>
  <c r="D456" i="2"/>
  <c r="F456" i="2" s="1"/>
  <c r="D306" i="2"/>
  <c r="D445" i="2"/>
  <c r="F445" i="2" s="1"/>
  <c r="D441" i="2"/>
  <c r="F441" i="2" s="1"/>
  <c r="J116" i="1"/>
  <c r="E115" i="1"/>
  <c r="F115" i="1" s="1"/>
  <c r="N309" i="2"/>
  <c r="O309" i="2" s="1"/>
  <c r="N304" i="2"/>
  <c r="O304" i="2" s="1"/>
  <c r="N307" i="2"/>
  <c r="O307" i="2" s="1"/>
  <c r="D275" i="2"/>
  <c r="F275" i="2" s="1"/>
  <c r="N267" i="2"/>
  <c r="O267" i="2" s="1"/>
  <c r="N271" i="2"/>
  <c r="O271" i="2" s="1"/>
  <c r="D290" i="2"/>
  <c r="F290" i="2" s="1"/>
  <c r="N272" i="2"/>
  <c r="O272" i="2" s="1"/>
  <c r="M78" i="1"/>
  <c r="D296" i="2"/>
  <c r="F296" i="2" s="1"/>
  <c r="N266" i="2"/>
  <c r="O266" i="2" s="1"/>
  <c r="N270" i="2"/>
  <c r="O270" i="2" s="1"/>
  <c r="D268" i="2"/>
  <c r="F268" i="2" s="1"/>
  <c r="N264" i="2"/>
  <c r="O264" i="2" s="1"/>
  <c r="D273" i="2"/>
  <c r="F273" i="2" s="1"/>
  <c r="K193" i="2"/>
  <c r="M193" i="2" s="1"/>
  <c r="O193" i="2" s="1"/>
  <c r="K196" i="2"/>
  <c r="M196" i="2" s="1"/>
  <c r="O196" i="2" s="1"/>
  <c r="D424" i="2"/>
  <c r="F424" i="2" s="1"/>
  <c r="D209" i="2"/>
  <c r="F209" i="2" s="1"/>
  <c r="F213" i="2" s="1"/>
  <c r="D242" i="2"/>
  <c r="F242" i="2" s="1"/>
  <c r="N405" i="2"/>
  <c r="O405" i="2" s="1"/>
  <c r="N404" i="2"/>
  <c r="O404" i="2" s="1"/>
  <c r="D417" i="2"/>
  <c r="F417" i="2" s="1"/>
  <c r="D241" i="2"/>
  <c r="F241" i="2" s="1"/>
  <c r="E210" i="2"/>
  <c r="E211" i="2"/>
  <c r="E212" i="2"/>
  <c r="E12" i="7"/>
  <c r="E10" i="7"/>
  <c r="E26" i="7"/>
  <c r="E24" i="7"/>
  <c r="E23" i="7"/>
  <c r="E22" i="7"/>
  <c r="E20" i="7"/>
  <c r="E19" i="7"/>
  <c r="E18" i="7"/>
  <c r="E16" i="7"/>
  <c r="E15" i="7"/>
  <c r="E14" i="7"/>
  <c r="E8" i="7"/>
  <c r="E7" i="7"/>
  <c r="E6" i="7"/>
  <c r="E4" i="7"/>
  <c r="E3" i="7"/>
  <c r="E2" i="7"/>
  <c r="E11" i="7"/>
  <c r="B30" i="7"/>
  <c r="B31" i="7"/>
  <c r="B32" i="7"/>
  <c r="B33" i="7"/>
  <c r="B34" i="7"/>
  <c r="B35" i="7"/>
  <c r="B36" i="7"/>
  <c r="B37" i="7"/>
  <c r="B38" i="7"/>
  <c r="B39" i="7"/>
  <c r="B40" i="7"/>
  <c r="B29" i="7"/>
  <c r="F26" i="7"/>
  <c r="C26" i="7"/>
  <c r="H26" i="7" s="1"/>
  <c r="B26" i="7"/>
  <c r="G26" i="7" s="1"/>
  <c r="B23" i="7"/>
  <c r="C23" i="7"/>
  <c r="B24" i="7"/>
  <c r="C24" i="7"/>
  <c r="C22" i="7"/>
  <c r="B22" i="7"/>
  <c r="B19" i="7"/>
  <c r="C19" i="7"/>
  <c r="B20" i="7"/>
  <c r="C20" i="7"/>
  <c r="C18" i="7"/>
  <c r="B18" i="7"/>
  <c r="B15" i="7"/>
  <c r="C15" i="7"/>
  <c r="B16" i="7"/>
  <c r="C16" i="7"/>
  <c r="C14" i="7"/>
  <c r="B14" i="7"/>
  <c r="B11" i="7"/>
  <c r="C11" i="7"/>
  <c r="B12" i="7"/>
  <c r="C12" i="7"/>
  <c r="C10" i="7"/>
  <c r="B10" i="7"/>
  <c r="C7" i="7"/>
  <c r="C8" i="7"/>
  <c r="C6" i="7"/>
  <c r="B7" i="7"/>
  <c r="B8" i="7"/>
  <c r="B6" i="7"/>
  <c r="C4" i="7"/>
  <c r="B4" i="7"/>
  <c r="C3" i="7"/>
  <c r="B3" i="7"/>
  <c r="C2" i="7"/>
  <c r="B2" i="7"/>
  <c r="F271" i="2" l="1"/>
  <c r="D358" i="2"/>
  <c r="F321" i="2"/>
  <c r="D354" i="2"/>
  <c r="F317" i="2"/>
  <c r="F244" i="2"/>
  <c r="D344" i="2"/>
  <c r="F307" i="2"/>
  <c r="D343" i="2"/>
  <c r="F343" i="2" s="1"/>
  <c r="F306" i="2"/>
  <c r="N346" i="2"/>
  <c r="O346" i="2" s="1"/>
  <c r="F360" i="2"/>
  <c r="D338" i="2"/>
  <c r="F301" i="2"/>
  <c r="D305" i="2"/>
  <c r="F305" i="2" s="1"/>
  <c r="F308" i="2" s="1"/>
  <c r="D310" i="2"/>
  <c r="N301" i="2"/>
  <c r="O301" i="2" s="1"/>
  <c r="S194" i="1"/>
  <c r="S192" i="1"/>
  <c r="K43" i="6" s="1"/>
  <c r="S177" i="1"/>
  <c r="K42" i="6" s="1"/>
  <c r="S179" i="1"/>
  <c r="M63" i="1"/>
  <c r="O63" i="1" s="1"/>
  <c r="Q63" i="1" s="1"/>
  <c r="M93" i="1"/>
  <c r="D333" i="2"/>
  <c r="F333" i="2" s="1"/>
  <c r="D364" i="2"/>
  <c r="F364" i="2" s="1"/>
  <c r="N340" i="2"/>
  <c r="O340" i="2" s="1"/>
  <c r="N303" i="2"/>
  <c r="O303" i="2" s="1"/>
  <c r="D370" i="2"/>
  <c r="F370" i="2" s="1"/>
  <c r="N308" i="2"/>
  <c r="O308" i="2" s="1"/>
  <c r="N442" i="2"/>
  <c r="O442" i="2" s="1"/>
  <c r="D461" i="2"/>
  <c r="F461" i="2" s="1"/>
  <c r="H115" i="1"/>
  <c r="T106" i="1" s="1"/>
  <c r="D312" i="2"/>
  <c r="F312" i="2" s="1"/>
  <c r="D278" i="2"/>
  <c r="F278" i="2" s="1"/>
  <c r="N410" i="2"/>
  <c r="O410" i="2" s="1"/>
  <c r="K197" i="2"/>
  <c r="M197" i="2" s="1"/>
  <c r="O197" i="2" s="1"/>
  <c r="O479" i="2"/>
  <c r="M153" i="1"/>
  <c r="I23" i="7"/>
  <c r="N407" i="2"/>
  <c r="O407" i="2" s="1"/>
  <c r="D215" i="2"/>
  <c r="F215" i="2" s="1"/>
  <c r="D248" i="2"/>
  <c r="F248" i="2" s="1"/>
  <c r="N232" i="2"/>
  <c r="O232" i="2" s="1"/>
  <c r="I3" i="7"/>
  <c r="I10" i="7"/>
  <c r="I20" i="7"/>
  <c r="I14" i="7"/>
  <c r="D422" i="2"/>
  <c r="F422" i="2" s="1"/>
  <c r="I8" i="7"/>
  <c r="D246" i="2"/>
  <c r="F246" i="2" s="1"/>
  <c r="I22" i="7"/>
  <c r="I24" i="7"/>
  <c r="I26" i="7"/>
  <c r="J26" i="7" s="1"/>
  <c r="I16" i="7"/>
  <c r="I7" i="7"/>
  <c r="I11" i="7"/>
  <c r="I2" i="7"/>
  <c r="I6" i="7"/>
  <c r="I4" i="7"/>
  <c r="I18" i="7"/>
  <c r="I12" i="7"/>
  <c r="I19" i="7"/>
  <c r="AC20" i="7"/>
  <c r="AC19" i="7"/>
  <c r="AC18" i="7"/>
  <c r="AC17" i="7"/>
  <c r="AC16" i="7"/>
  <c r="AC15" i="7"/>
  <c r="AD11" i="7"/>
  <c r="AD10" i="7"/>
  <c r="AD9" i="7"/>
  <c r="Z6" i="7"/>
  <c r="AA17" i="7"/>
  <c r="Z4" i="7"/>
  <c r="AA4" i="7" s="1"/>
  <c r="Z5" i="7"/>
  <c r="AA5" i="7" s="1"/>
  <c r="Z7" i="7"/>
  <c r="AA7" i="7" s="1"/>
  <c r="AB7" i="7" s="1"/>
  <c r="Z8" i="7"/>
  <c r="AA8" i="7" s="1"/>
  <c r="AB8" i="7" s="1"/>
  <c r="Z9" i="7"/>
  <c r="AA9" i="7" s="1"/>
  <c r="Z10" i="7"/>
  <c r="AA10" i="7" s="1"/>
  <c r="Z11" i="7"/>
  <c r="AA11" i="7" s="1"/>
  <c r="Z12" i="7"/>
  <c r="AA12" i="7" s="1"/>
  <c r="Z13" i="7"/>
  <c r="AA13" i="7" s="1"/>
  <c r="Z14" i="7"/>
  <c r="Z15" i="7"/>
  <c r="AA15" i="7" s="1"/>
  <c r="Z16" i="7"/>
  <c r="AA16" i="7" s="1"/>
  <c r="Z17" i="7"/>
  <c r="Z18" i="7"/>
  <c r="AB18" i="7" s="1"/>
  <c r="Z19" i="7"/>
  <c r="AB19" i="7" s="1"/>
  <c r="Z20" i="7"/>
  <c r="AB20" i="7" s="1"/>
  <c r="Z3" i="7"/>
  <c r="AA3" i="7" s="1"/>
  <c r="I15" i="7"/>
  <c r="AB13" i="7" l="1"/>
  <c r="AB12" i="7"/>
  <c r="AB11" i="7"/>
  <c r="AB10" i="7"/>
  <c r="AB9" i="7"/>
  <c r="AA14" i="7"/>
  <c r="AB14" i="7" s="1"/>
  <c r="F250" i="2"/>
  <c r="N345" i="2"/>
  <c r="O345" i="2" s="1"/>
  <c r="F358" i="2"/>
  <c r="F354" i="2"/>
  <c r="N344" i="2"/>
  <c r="O344" i="2" s="1"/>
  <c r="F344" i="2"/>
  <c r="N341" i="2"/>
  <c r="O341" i="2" s="1"/>
  <c r="F310" i="2"/>
  <c r="D315" i="2"/>
  <c r="F338" i="2"/>
  <c r="D342" i="2"/>
  <c r="F342" i="2" s="1"/>
  <c r="F345" i="2" s="1"/>
  <c r="N338" i="2"/>
  <c r="O338" i="2" s="1"/>
  <c r="D347" i="2"/>
  <c r="M66" i="1"/>
  <c r="M108" i="1"/>
  <c r="M81" i="1"/>
  <c r="N447" i="2"/>
  <c r="O447" i="2" s="1"/>
  <c r="D349" i="2"/>
  <c r="F349" i="2" s="1"/>
  <c r="O93" i="1"/>
  <c r="Q93" i="1" s="1"/>
  <c r="R93" i="1"/>
  <c r="D283" i="2"/>
  <c r="F283" i="2" s="1"/>
  <c r="O153" i="1"/>
  <c r="R63" i="1"/>
  <c r="D221" i="2"/>
  <c r="F221" i="2" s="1"/>
  <c r="F223" i="2" s="1"/>
  <c r="D409" i="2"/>
  <c r="F409" i="2" s="1"/>
  <c r="D254" i="2"/>
  <c r="F254" i="2" s="1"/>
  <c r="D427" i="2"/>
  <c r="F427" i="2" s="1"/>
  <c r="N409" i="2"/>
  <c r="O409" i="2" s="1"/>
  <c r="M80" i="1"/>
  <c r="D252" i="2"/>
  <c r="F252" i="2" s="1"/>
  <c r="M65" i="1"/>
  <c r="R65" i="1" s="1"/>
  <c r="R78" i="1"/>
  <c r="O78" i="1"/>
  <c r="Q78" i="1" s="1"/>
  <c r="E217" i="2"/>
  <c r="E218" i="2"/>
  <c r="E216" i="2"/>
  <c r="AA6" i="7"/>
  <c r="AB6" i="7" s="1"/>
  <c r="G22" i="7"/>
  <c r="H24" i="7"/>
  <c r="G24" i="7"/>
  <c r="G23" i="7"/>
  <c r="H20" i="7"/>
  <c r="G20" i="7"/>
  <c r="G19" i="7"/>
  <c r="H18" i="7"/>
  <c r="G18" i="7"/>
  <c r="G16" i="7"/>
  <c r="G15" i="7"/>
  <c r="H14" i="7"/>
  <c r="G14" i="7"/>
  <c r="H12" i="7"/>
  <c r="H11" i="7"/>
  <c r="H10" i="7"/>
  <c r="G12" i="7"/>
  <c r="G11" i="7"/>
  <c r="G10" i="7"/>
  <c r="H7" i="7"/>
  <c r="H8" i="7"/>
  <c r="G7" i="7"/>
  <c r="G8" i="7"/>
  <c r="H6" i="7"/>
  <c r="G6" i="7"/>
  <c r="J6" i="7" s="1"/>
  <c r="H3" i="7"/>
  <c r="H4" i="7"/>
  <c r="G3" i="7"/>
  <c r="G4" i="7"/>
  <c r="H2" i="7"/>
  <c r="H23" i="7"/>
  <c r="H22" i="7"/>
  <c r="H19" i="7"/>
  <c r="H16" i="7"/>
  <c r="H15" i="7"/>
  <c r="G2" i="7"/>
  <c r="J18" i="7" l="1"/>
  <c r="F347" i="2"/>
  <c r="D352" i="2"/>
  <c r="F315" i="2"/>
  <c r="D320" i="2"/>
  <c r="O108" i="1"/>
  <c r="Q108" i="1" s="1"/>
  <c r="R108" i="1"/>
  <c r="F411" i="2"/>
  <c r="M123" i="1" s="1"/>
  <c r="O123" i="1" s="1"/>
  <c r="Q123" i="1" s="1"/>
  <c r="D446" i="2"/>
  <c r="F446" i="2" s="1"/>
  <c r="F448" i="2" s="1"/>
  <c r="J16" i="7"/>
  <c r="J3" i="7"/>
  <c r="J15" i="7"/>
  <c r="D279" i="2"/>
  <c r="F279" i="2" s="1"/>
  <c r="F281" i="2" s="1"/>
  <c r="D289" i="2"/>
  <c r="F289" i="2" s="1"/>
  <c r="J4" i="7"/>
  <c r="J14" i="7"/>
  <c r="K195" i="2"/>
  <c r="M195" i="2" s="1"/>
  <c r="O195" i="2" s="1"/>
  <c r="R153" i="1"/>
  <c r="Q153" i="1"/>
  <c r="J24" i="7"/>
  <c r="J7" i="7"/>
  <c r="J10" i="7"/>
  <c r="J20" i="7"/>
  <c r="J23" i="7"/>
  <c r="J2" i="7"/>
  <c r="J19" i="7"/>
  <c r="J22" i="7"/>
  <c r="J8" i="7"/>
  <c r="J12" i="7"/>
  <c r="J11" i="7"/>
  <c r="D418" i="2"/>
  <c r="O65" i="1"/>
  <c r="Q65" i="1" s="1"/>
  <c r="D258" i="2"/>
  <c r="F258" i="2" s="1"/>
  <c r="F260" i="2" s="1"/>
  <c r="R66" i="1"/>
  <c r="O66" i="1"/>
  <c r="Q66" i="1" s="1"/>
  <c r="K194" i="2"/>
  <c r="M194" i="2" s="1"/>
  <c r="B8" i="4"/>
  <c r="F418" i="2" l="1"/>
  <c r="F420" i="2" s="1"/>
  <c r="M125" i="1" s="1"/>
  <c r="O125" i="1" s="1"/>
  <c r="Q125" i="1" s="1"/>
  <c r="F320" i="2"/>
  <c r="D326" i="2"/>
  <c r="F352" i="2"/>
  <c r="D357" i="2"/>
  <c r="D455" i="2"/>
  <c r="M138" i="1"/>
  <c r="D295" i="2"/>
  <c r="F295" i="2" s="1"/>
  <c r="F297" i="2" s="1"/>
  <c r="D285" i="2"/>
  <c r="F285" i="2" s="1"/>
  <c r="F287" i="2" s="1"/>
  <c r="N269" i="2"/>
  <c r="O269" i="2" s="1"/>
  <c r="O152" i="1"/>
  <c r="M83" i="1"/>
  <c r="N408" i="2"/>
  <c r="O408" i="2" s="1"/>
  <c r="D433" i="2"/>
  <c r="R123" i="1"/>
  <c r="K198" i="2"/>
  <c r="M198" i="2" s="1"/>
  <c r="O198" i="2" s="1"/>
  <c r="E222" i="2"/>
  <c r="F455" i="2" l="1"/>
  <c r="F457" i="2" s="1"/>
  <c r="M140" i="1" s="1"/>
  <c r="F433" i="2"/>
  <c r="F435" i="2" s="1"/>
  <c r="D375" i="2"/>
  <c r="F375" i="2" s="1"/>
  <c r="F357" i="2"/>
  <c r="D363" i="2"/>
  <c r="F326" i="2"/>
  <c r="D332" i="2"/>
  <c r="F332" i="2" s="1"/>
  <c r="F334" i="2" s="1"/>
  <c r="M113" i="1" s="1"/>
  <c r="O113" i="1" s="1"/>
  <c r="Q113" i="1" s="1"/>
  <c r="R138" i="1"/>
  <c r="O138" i="1"/>
  <c r="Q138" i="1" s="1"/>
  <c r="M98" i="1"/>
  <c r="D470" i="2"/>
  <c r="F470" i="2" s="1"/>
  <c r="F472" i="2" s="1"/>
  <c r="N445" i="2"/>
  <c r="O445" i="2" s="1"/>
  <c r="M95" i="1"/>
  <c r="R95" i="1" s="1"/>
  <c r="D291" i="2"/>
  <c r="F291" i="2" s="1"/>
  <c r="R152" i="1"/>
  <c r="Q152" i="1"/>
  <c r="R83" i="1"/>
  <c r="O83" i="1"/>
  <c r="Q83" i="1" s="1"/>
  <c r="R125" i="1"/>
  <c r="K190" i="2"/>
  <c r="M190" i="2" s="1"/>
  <c r="O190" i="2" s="1"/>
  <c r="E36" i="2"/>
  <c r="E32" i="2"/>
  <c r="E26" i="2"/>
  <c r="E21" i="2"/>
  <c r="E15" i="2"/>
  <c r="E10" i="2"/>
  <c r="E5" i="2"/>
  <c r="E148" i="2"/>
  <c r="E144" i="2"/>
  <c r="E138" i="2"/>
  <c r="E133" i="2"/>
  <c r="E127" i="2"/>
  <c r="O140" i="1" l="1"/>
  <c r="Q140" i="1" s="1"/>
  <c r="R140" i="1"/>
  <c r="R113" i="1"/>
  <c r="F363" i="2"/>
  <c r="D369" i="2"/>
  <c r="F369" i="2" s="1"/>
  <c r="F371" i="2" s="1"/>
  <c r="R98" i="1"/>
  <c r="O98" i="1"/>
  <c r="Q98" i="1" s="1"/>
  <c r="M143" i="1"/>
  <c r="M96" i="1"/>
  <c r="O95" i="1"/>
  <c r="Q95" i="1" s="1"/>
  <c r="D316" i="2"/>
  <c r="F316" i="2" s="1"/>
  <c r="F318" i="2" s="1"/>
  <c r="M128" i="1"/>
  <c r="O128" i="1" s="1"/>
  <c r="R128" i="1" s="1"/>
  <c r="O155" i="1"/>
  <c r="M68" i="1"/>
  <c r="O68" i="1" s="1"/>
  <c r="Q68" i="1" s="1"/>
  <c r="K192" i="2"/>
  <c r="M192" i="2" s="1"/>
  <c r="O192" i="2" s="1"/>
  <c r="I4" i="1"/>
  <c r="J4" i="1" s="1"/>
  <c r="I5" i="1"/>
  <c r="J5" i="1" s="1"/>
  <c r="I6" i="1"/>
  <c r="I7" i="1"/>
  <c r="I8" i="1"/>
  <c r="I9" i="1"/>
  <c r="I3" i="1"/>
  <c r="D3" i="2"/>
  <c r="F3" i="2" s="1"/>
  <c r="D4" i="2"/>
  <c r="D116" i="2" s="1"/>
  <c r="F116" i="2" s="1"/>
  <c r="D8" i="2"/>
  <c r="D120" i="2" s="1"/>
  <c r="D9" i="2"/>
  <c r="D121" i="2" s="1"/>
  <c r="D14" i="2"/>
  <c r="D126" i="2" s="1"/>
  <c r="F126" i="2" s="1"/>
  <c r="D19" i="2"/>
  <c r="D131" i="2" s="1"/>
  <c r="F131" i="2" s="1"/>
  <c r="D158" i="2" l="1"/>
  <c r="F158" i="2" s="1"/>
  <c r="F121" i="2"/>
  <c r="D157" i="2"/>
  <c r="F157" i="2" s="1"/>
  <c r="F120" i="2"/>
  <c r="D153" i="2"/>
  <c r="F153" i="2" s="1"/>
  <c r="D168" i="2"/>
  <c r="F168" i="2" s="1"/>
  <c r="R143" i="1"/>
  <c r="O143" i="1"/>
  <c r="Q143" i="1" s="1"/>
  <c r="D179" i="2"/>
  <c r="F179" i="2" s="1"/>
  <c r="N157" i="2"/>
  <c r="O157" i="2" s="1"/>
  <c r="L17" i="2"/>
  <c r="N17" i="2" s="1"/>
  <c r="D115" i="2"/>
  <c r="F115" i="2" s="1"/>
  <c r="F117" i="2" s="1"/>
  <c r="D162" i="2"/>
  <c r="F162" i="2" s="1"/>
  <c r="N155" i="2"/>
  <c r="O155" i="2" s="1"/>
  <c r="N154" i="2"/>
  <c r="O154" i="2" s="1"/>
  <c r="D167" i="2"/>
  <c r="F167" i="2" s="1"/>
  <c r="N306" i="2"/>
  <c r="O306" i="2" s="1"/>
  <c r="D322" i="2"/>
  <c r="Q128" i="1"/>
  <c r="R155" i="1"/>
  <c r="Q155" i="1"/>
  <c r="D51" i="2"/>
  <c r="F51" i="2" s="1"/>
  <c r="D46" i="2"/>
  <c r="F46" i="2" s="1"/>
  <c r="D40" i="2"/>
  <c r="F40" i="2" s="1"/>
  <c r="D56" i="2"/>
  <c r="F56" i="2" s="1"/>
  <c r="D200" i="2"/>
  <c r="F200" i="2" s="1"/>
  <c r="F202" i="2" s="1"/>
  <c r="D45" i="2"/>
  <c r="F45" i="2" s="1"/>
  <c r="D191" i="2"/>
  <c r="F191" i="2" s="1"/>
  <c r="F192" i="2" s="1"/>
  <c r="D41" i="2"/>
  <c r="F41" i="2" s="1"/>
  <c r="R68" i="1"/>
  <c r="R80" i="1"/>
  <c r="O80" i="1"/>
  <c r="Q80" i="1" s="1"/>
  <c r="I34" i="1"/>
  <c r="I35" i="1"/>
  <c r="I36" i="1"/>
  <c r="I37" i="1"/>
  <c r="I38" i="1"/>
  <c r="I39" i="1"/>
  <c r="I33" i="1"/>
  <c r="D25" i="2"/>
  <c r="D20" i="2"/>
  <c r="D132" i="2" s="1"/>
  <c r="F42" i="2" l="1"/>
  <c r="N153" i="2"/>
  <c r="O153" i="2" s="1"/>
  <c r="D169" i="2"/>
  <c r="F169" i="2" s="1"/>
  <c r="F132" i="2"/>
  <c r="D328" i="2"/>
  <c r="F328" i="2" s="1"/>
  <c r="F322" i="2"/>
  <c r="F324" i="2" s="1"/>
  <c r="D152" i="2"/>
  <c r="F152" i="2" s="1"/>
  <c r="F154" i="2" s="1"/>
  <c r="M47" i="1" s="1"/>
  <c r="D156" i="2"/>
  <c r="F156" i="2" s="1"/>
  <c r="F159" i="2" s="1"/>
  <c r="N152" i="2"/>
  <c r="O152" i="2" s="1"/>
  <c r="D161" i="2"/>
  <c r="F161" i="2" s="1"/>
  <c r="L18" i="2"/>
  <c r="N18" i="2" s="1"/>
  <c r="N20" i="2" s="1"/>
  <c r="M33" i="10" s="1"/>
  <c r="J37" i="10" s="1"/>
  <c r="D137" i="2"/>
  <c r="N158" i="2"/>
  <c r="O158" i="2" s="1"/>
  <c r="D173" i="2"/>
  <c r="F173" i="2" s="1"/>
  <c r="M18" i="1"/>
  <c r="I23" i="1"/>
  <c r="J23" i="1" s="1"/>
  <c r="I52" i="1"/>
  <c r="J52" i="1" s="1"/>
  <c r="I22" i="1"/>
  <c r="J22" i="1" s="1"/>
  <c r="I51" i="1"/>
  <c r="J51" i="1" s="1"/>
  <c r="I20" i="1"/>
  <c r="J20" i="1" s="1"/>
  <c r="I49" i="1"/>
  <c r="J49" i="1" s="1"/>
  <c r="I19" i="1"/>
  <c r="J19" i="1" s="1"/>
  <c r="I48" i="1"/>
  <c r="J48" i="1" s="1"/>
  <c r="I21" i="1"/>
  <c r="J21" i="1" s="1"/>
  <c r="I50" i="1"/>
  <c r="J50" i="1" s="1"/>
  <c r="I24" i="1"/>
  <c r="J24" i="1" s="1"/>
  <c r="I53" i="1"/>
  <c r="J53" i="1" s="1"/>
  <c r="M110" i="1"/>
  <c r="N43" i="2"/>
  <c r="O43" i="2" s="1"/>
  <c r="D93" i="2"/>
  <c r="F93" i="2" s="1"/>
  <c r="D82" i="2"/>
  <c r="F82" i="2" s="1"/>
  <c r="D77" i="2"/>
  <c r="F77" i="2" s="1"/>
  <c r="D83" i="2"/>
  <c r="F83" i="2" s="1"/>
  <c r="D88" i="2"/>
  <c r="F88" i="2" s="1"/>
  <c r="D78" i="2"/>
  <c r="F78" i="2" s="1"/>
  <c r="D218" i="2"/>
  <c r="F218" i="2" s="1"/>
  <c r="F219" i="2" s="1"/>
  <c r="D44" i="2"/>
  <c r="F44" i="2" s="1"/>
  <c r="F47" i="2" s="1"/>
  <c r="D72" i="2"/>
  <c r="F72" i="2" s="1"/>
  <c r="N44" i="2"/>
  <c r="O44" i="2" s="1"/>
  <c r="N194" i="2"/>
  <c r="O194" i="2" s="1"/>
  <c r="D67" i="2"/>
  <c r="F67" i="2" s="1"/>
  <c r="N45" i="2"/>
  <c r="O45" i="2" s="1"/>
  <c r="D62" i="2"/>
  <c r="F62" i="2" s="1"/>
  <c r="D57" i="2"/>
  <c r="F57" i="2" s="1"/>
  <c r="D50" i="2"/>
  <c r="F50" i="2" s="1"/>
  <c r="F52" i="2" s="1"/>
  <c r="D237" i="2"/>
  <c r="F237" i="2" s="1"/>
  <c r="F239" i="2" s="1"/>
  <c r="D228" i="2"/>
  <c r="F228" i="2" s="1"/>
  <c r="F229" i="2" s="1"/>
  <c r="M62" i="1"/>
  <c r="D49" i="2"/>
  <c r="F49" i="2" s="1"/>
  <c r="N40" i="2"/>
  <c r="O40" i="2" s="1"/>
  <c r="N191" i="2"/>
  <c r="O191" i="2" s="1"/>
  <c r="N42" i="2"/>
  <c r="O42" i="2" s="1"/>
  <c r="D55" i="2"/>
  <c r="F55" i="2" s="1"/>
  <c r="N41" i="2"/>
  <c r="O41" i="2" s="1"/>
  <c r="M64" i="1"/>
  <c r="O64" i="1" s="1"/>
  <c r="Q64" i="1" s="1"/>
  <c r="I18" i="1"/>
  <c r="C12" i="4"/>
  <c r="F79" i="2" l="1"/>
  <c r="D174" i="2"/>
  <c r="F174" i="2" s="1"/>
  <c r="F137" i="2"/>
  <c r="M48" i="1"/>
  <c r="D166" i="2"/>
  <c r="F166" i="2" s="1"/>
  <c r="F170" i="2" s="1"/>
  <c r="N159" i="2"/>
  <c r="O159" i="2" s="1"/>
  <c r="D178" i="2"/>
  <c r="F178" i="2" s="1"/>
  <c r="L40" i="10"/>
  <c r="L41" i="10" s="1"/>
  <c r="J39" i="10" s="1"/>
  <c r="P34" i="10"/>
  <c r="O33" i="10"/>
  <c r="J18" i="1"/>
  <c r="J27" i="1" s="1"/>
  <c r="I47" i="1"/>
  <c r="J47" i="1" s="1"/>
  <c r="J56" i="1" s="1"/>
  <c r="M20" i="1"/>
  <c r="O110" i="1"/>
  <c r="Q110" i="1" s="1"/>
  <c r="R110" i="1"/>
  <c r="M111" i="1"/>
  <c r="D353" i="2"/>
  <c r="F353" i="2" s="1"/>
  <c r="F355" i="2" s="1"/>
  <c r="D265" i="2"/>
  <c r="D274" i="2"/>
  <c r="M19" i="1"/>
  <c r="R19" i="1" s="1"/>
  <c r="D54" i="2"/>
  <c r="F54" i="2" s="1"/>
  <c r="F58" i="2" s="1"/>
  <c r="N81" i="2"/>
  <c r="D109" i="2"/>
  <c r="F109" i="2" s="1"/>
  <c r="D87" i="2"/>
  <c r="F87" i="2" s="1"/>
  <c r="N80" i="2"/>
  <c r="D86" i="2"/>
  <c r="F86" i="2" s="1"/>
  <c r="D81" i="2"/>
  <c r="F81" i="2" s="1"/>
  <c r="F84" i="2" s="1"/>
  <c r="N77" i="2"/>
  <c r="D94" i="2"/>
  <c r="F94" i="2" s="1"/>
  <c r="D99" i="2"/>
  <c r="F99" i="2" s="1"/>
  <c r="N79" i="2"/>
  <c r="D92" i="2"/>
  <c r="F92" i="2" s="1"/>
  <c r="N78" i="2"/>
  <c r="O78" i="2" s="1"/>
  <c r="D104" i="2"/>
  <c r="F104" i="2" s="1"/>
  <c r="N82" i="2"/>
  <c r="D16" i="4"/>
  <c r="D15" i="4"/>
  <c r="O199" i="2"/>
  <c r="N47" i="2"/>
  <c r="O47" i="2" s="1"/>
  <c r="N46" i="2"/>
  <c r="O46" i="2" s="1"/>
  <c r="D61" i="2"/>
  <c r="F61" i="2" s="1"/>
  <c r="N228" i="2"/>
  <c r="O228" i="2" s="1"/>
  <c r="D403" i="2"/>
  <c r="F403" i="2" s="1"/>
  <c r="D414" i="2"/>
  <c r="F414" i="2" s="1"/>
  <c r="N231" i="2"/>
  <c r="O231" i="2" s="1"/>
  <c r="D255" i="2"/>
  <c r="F255" i="2" s="1"/>
  <c r="F256" i="2" s="1"/>
  <c r="O62" i="1"/>
  <c r="Q62" i="1" s="1"/>
  <c r="R62" i="1"/>
  <c r="D428" i="2"/>
  <c r="F428" i="2" s="1"/>
  <c r="R64" i="1"/>
  <c r="R81" i="1"/>
  <c r="O81" i="1"/>
  <c r="Q81" i="1" s="1"/>
  <c r="J34" i="1"/>
  <c r="F35" i="1"/>
  <c r="F36" i="1"/>
  <c r="F37" i="1"/>
  <c r="J37" i="1" s="1"/>
  <c r="F38" i="1"/>
  <c r="F39" i="1"/>
  <c r="E146" i="2" s="1"/>
  <c r="J33" i="1"/>
  <c r="F42" i="1"/>
  <c r="H39" i="1"/>
  <c r="L39" i="1" s="1"/>
  <c r="H38" i="1"/>
  <c r="L38" i="1" s="1"/>
  <c r="H37" i="1"/>
  <c r="L37" i="1" s="1"/>
  <c r="H36" i="1"/>
  <c r="L36" i="1" s="1"/>
  <c r="H35" i="1"/>
  <c r="L35" i="1" s="1"/>
  <c r="H34" i="1"/>
  <c r="L34" i="1" s="1"/>
  <c r="H33" i="1"/>
  <c r="L33" i="1" s="1"/>
  <c r="F89" i="2" l="1"/>
  <c r="D311" i="2"/>
  <c r="F311" i="2" s="1"/>
  <c r="F313" i="2" s="1"/>
  <c r="F274" i="2"/>
  <c r="F276" i="2" s="1"/>
  <c r="D302" i="2"/>
  <c r="F265" i="2"/>
  <c r="F266" i="2" s="1"/>
  <c r="R48" i="1"/>
  <c r="O48" i="1"/>
  <c r="Q48" i="1" s="1"/>
  <c r="D172" i="2"/>
  <c r="F172" i="2" s="1"/>
  <c r="F175" i="2" s="1"/>
  <c r="M50" i="1"/>
  <c r="D60" i="2"/>
  <c r="F60" i="2" s="1"/>
  <c r="F63" i="2" s="1"/>
  <c r="J40" i="10"/>
  <c r="M77" i="1"/>
  <c r="M79" i="1"/>
  <c r="D348" i="2"/>
  <c r="F348" i="2" s="1"/>
  <c r="F350" i="2" s="1"/>
  <c r="D329" i="2"/>
  <c r="F329" i="2" s="1"/>
  <c r="F330" i="2" s="1"/>
  <c r="F415" i="2"/>
  <c r="M124" i="1" s="1"/>
  <c r="O124" i="1" s="1"/>
  <c r="D451" i="2"/>
  <c r="F405" i="2"/>
  <c r="M122" i="1" s="1"/>
  <c r="O122" i="1" s="1"/>
  <c r="D440" i="2"/>
  <c r="F429" i="2"/>
  <c r="D465" i="2"/>
  <c r="F465" i="2" s="1"/>
  <c r="F466" i="2" s="1"/>
  <c r="N343" i="2"/>
  <c r="O343" i="2" s="1"/>
  <c r="D359" i="2"/>
  <c r="N302" i="2"/>
  <c r="O302" i="2" s="1"/>
  <c r="N305" i="2"/>
  <c r="O305" i="2" s="1"/>
  <c r="R111" i="1"/>
  <c r="O111" i="1"/>
  <c r="Q111" i="1" s="1"/>
  <c r="D292" i="2"/>
  <c r="F292" i="2" s="1"/>
  <c r="F293" i="2" s="1"/>
  <c r="N268" i="2"/>
  <c r="O268" i="2" s="1"/>
  <c r="N265" i="2"/>
  <c r="O265" i="2" s="1"/>
  <c r="O236" i="2"/>
  <c r="M67" i="1"/>
  <c r="N84" i="2"/>
  <c r="D91" i="2"/>
  <c r="F91" i="2" s="1"/>
  <c r="F95" i="2" s="1"/>
  <c r="M157" i="1"/>
  <c r="D66" i="2"/>
  <c r="F66" i="2" s="1"/>
  <c r="N83" i="2"/>
  <c r="D98" i="2"/>
  <c r="F98" i="2" s="1"/>
  <c r="O49" i="2"/>
  <c r="D423" i="2"/>
  <c r="M82" i="1"/>
  <c r="N403" i="2"/>
  <c r="O403" i="2" s="1"/>
  <c r="O411" i="2" s="1"/>
  <c r="J39" i="1"/>
  <c r="J35" i="1"/>
  <c r="J38" i="1"/>
  <c r="J36" i="1"/>
  <c r="J5" i="4"/>
  <c r="J9" i="4" s="1"/>
  <c r="D376" i="2" l="1"/>
  <c r="F376" i="2" s="1"/>
  <c r="F359" i="2"/>
  <c r="F361" i="2" s="1"/>
  <c r="F451" i="2"/>
  <c r="F452" i="2" s="1"/>
  <c r="M139" i="1" s="1"/>
  <c r="F423" i="2"/>
  <c r="F425" i="2" s="1"/>
  <c r="M126" i="1" s="1"/>
  <c r="F440" i="2"/>
  <c r="F442" i="2" s="1"/>
  <c r="M137" i="1" s="1"/>
  <c r="D339" i="2"/>
  <c r="F302" i="2"/>
  <c r="F303" i="2" s="1"/>
  <c r="M107" i="1" s="1"/>
  <c r="M22" i="1"/>
  <c r="D366" i="2"/>
  <c r="F366" i="2" s="1"/>
  <c r="N342" i="2"/>
  <c r="O342" i="2" s="1"/>
  <c r="D65" i="2"/>
  <c r="D177" i="2"/>
  <c r="F177" i="2" s="1"/>
  <c r="F181" i="2" s="1"/>
  <c r="M51" i="1"/>
  <c r="R79" i="1"/>
  <c r="O79" i="1"/>
  <c r="Q79" i="1" s="1"/>
  <c r="O77" i="1"/>
  <c r="Q77" i="1" s="1"/>
  <c r="R77" i="1"/>
  <c r="M142" i="1"/>
  <c r="M109" i="1"/>
  <c r="M112" i="1"/>
  <c r="M94" i="1"/>
  <c r="R94" i="1" s="1"/>
  <c r="M92" i="1"/>
  <c r="M97" i="1"/>
  <c r="M21" i="1"/>
  <c r="D383" i="2"/>
  <c r="F383" i="2" s="1"/>
  <c r="N440" i="2"/>
  <c r="O440" i="2" s="1"/>
  <c r="O448" i="2" s="1"/>
  <c r="D460" i="2"/>
  <c r="F460" i="2" s="1"/>
  <c r="F462" i="2" s="1"/>
  <c r="O273" i="2"/>
  <c r="D365" i="2"/>
  <c r="F365" i="2" s="1"/>
  <c r="O310" i="2"/>
  <c r="R96" i="1"/>
  <c r="O96" i="1"/>
  <c r="Q96" i="1" s="1"/>
  <c r="O67" i="1"/>
  <c r="Q67" i="1" s="1"/>
  <c r="T65" i="1" s="1"/>
  <c r="T66" i="1" s="1"/>
  <c r="R67" i="1"/>
  <c r="M71" i="1" s="1"/>
  <c r="D103" i="2"/>
  <c r="F103" i="2" s="1"/>
  <c r="D97" i="2"/>
  <c r="F97" i="2" s="1"/>
  <c r="F100" i="2" s="1"/>
  <c r="M127" i="1"/>
  <c r="O127" i="1" s="1"/>
  <c r="Q127" i="1" s="1"/>
  <c r="R82" i="1"/>
  <c r="O82" i="1"/>
  <c r="Q82" i="1" s="1"/>
  <c r="L86" i="1"/>
  <c r="R122" i="1"/>
  <c r="Q122" i="1"/>
  <c r="Q124" i="1"/>
  <c r="R124" i="1"/>
  <c r="J6" i="1"/>
  <c r="J7" i="1"/>
  <c r="J8" i="1"/>
  <c r="J9" i="1"/>
  <c r="J3" i="1"/>
  <c r="D377" i="2" l="1"/>
  <c r="F377" i="2" s="1"/>
  <c r="F65" i="2"/>
  <c r="F69" i="2" s="1"/>
  <c r="M23" i="1" s="1"/>
  <c r="D71" i="2"/>
  <c r="F71" i="2" s="1"/>
  <c r="F73" i="2" s="1"/>
  <c r="M24" i="1" s="1"/>
  <c r="F367" i="2"/>
  <c r="O137" i="1"/>
  <c r="Q137" i="1" s="1"/>
  <c r="R137" i="1"/>
  <c r="R139" i="1"/>
  <c r="O139" i="1"/>
  <c r="Q139" i="1" s="1"/>
  <c r="F339" i="2"/>
  <c r="F340" i="2" s="1"/>
  <c r="N339" i="2"/>
  <c r="O339" i="2" s="1"/>
  <c r="O347" i="2" s="1"/>
  <c r="O22" i="1"/>
  <c r="Q22" i="1" s="1"/>
  <c r="R22" i="1"/>
  <c r="R142" i="1"/>
  <c r="O142" i="1"/>
  <c r="Q142" i="1" s="1"/>
  <c r="D183" i="2"/>
  <c r="F183" i="2" s="1"/>
  <c r="M52" i="1"/>
  <c r="M86" i="1"/>
  <c r="L89" i="1" s="1"/>
  <c r="T80" i="1"/>
  <c r="T81" i="1" s="1"/>
  <c r="O92" i="1"/>
  <c r="Q92" i="1" s="1"/>
  <c r="R92" i="1"/>
  <c r="L101" i="1"/>
  <c r="O112" i="1"/>
  <c r="Q112" i="1" s="1"/>
  <c r="R112" i="1"/>
  <c r="O107" i="1"/>
  <c r="Q107" i="1" s="1"/>
  <c r="R107" i="1"/>
  <c r="L116" i="1"/>
  <c r="R97" i="1"/>
  <c r="O97" i="1"/>
  <c r="Q97" i="1" s="1"/>
  <c r="O109" i="1"/>
  <c r="Q109" i="1" s="1"/>
  <c r="R109" i="1"/>
  <c r="O94" i="1"/>
  <c r="Q94" i="1" s="1"/>
  <c r="M141" i="1"/>
  <c r="D382" i="2"/>
  <c r="F382" i="2" s="1"/>
  <c r="L74" i="1"/>
  <c r="L73" i="1"/>
  <c r="D102" i="2"/>
  <c r="F102" i="2" s="1"/>
  <c r="F106" i="2" s="1"/>
  <c r="R127" i="1"/>
  <c r="O154" i="1"/>
  <c r="O126" i="1"/>
  <c r="L131" i="1"/>
  <c r="E7" i="2"/>
  <c r="D29" i="4"/>
  <c r="D31" i="4" s="1"/>
  <c r="D22" i="4"/>
  <c r="I22" i="4" s="1"/>
  <c r="D23" i="4"/>
  <c r="I23" i="4" s="1"/>
  <c r="D24" i="4"/>
  <c r="E24" i="4" s="1"/>
  <c r="D25" i="4"/>
  <c r="E25" i="4" s="1"/>
  <c r="D26" i="4"/>
  <c r="I26" i="4" s="1"/>
  <c r="D27" i="4"/>
  <c r="E27" i="4" s="1"/>
  <c r="I21" i="4"/>
  <c r="R23" i="1" l="1"/>
  <c r="O23" i="1"/>
  <c r="Q23" i="1" s="1"/>
  <c r="G7" i="2"/>
  <c r="R141" i="1"/>
  <c r="M146" i="1" s="1"/>
  <c r="O141" i="1"/>
  <c r="Q141" i="1" s="1"/>
  <c r="T140" i="1" s="1"/>
  <c r="T141" i="1" s="1"/>
  <c r="L146" i="1"/>
  <c r="R85" i="1"/>
  <c r="S87" i="1" s="1"/>
  <c r="K37" i="6" s="1"/>
  <c r="M101" i="1"/>
  <c r="L104" i="1" s="1"/>
  <c r="L88" i="1"/>
  <c r="M116" i="1"/>
  <c r="L118" i="1" s="1"/>
  <c r="T95" i="1"/>
  <c r="T96" i="1" s="1"/>
  <c r="R100" i="1" s="1"/>
  <c r="R47" i="1"/>
  <c r="O47" i="1"/>
  <c r="Q47" i="1" s="1"/>
  <c r="T110" i="1"/>
  <c r="T111" i="1" s="1"/>
  <c r="F384" i="2"/>
  <c r="M20" i="10" s="1"/>
  <c r="F378" i="2"/>
  <c r="M19" i="10" s="1"/>
  <c r="D108" i="2"/>
  <c r="F108" i="2" s="1"/>
  <c r="F110" i="2" s="1"/>
  <c r="M158" i="1"/>
  <c r="O482" i="2"/>
  <c r="O485" i="2" s="1"/>
  <c r="R154" i="1"/>
  <c r="Q154" i="1"/>
  <c r="E81" i="2"/>
  <c r="E22" i="4"/>
  <c r="E23" i="4"/>
  <c r="R126" i="1"/>
  <c r="M131" i="1" s="1"/>
  <c r="Q126" i="1"/>
  <c r="T125" i="1" s="1"/>
  <c r="T126" i="1" s="1"/>
  <c r="O24" i="1"/>
  <c r="Q24" i="1" s="1"/>
  <c r="R24" i="1"/>
  <c r="E8" i="2"/>
  <c r="E9" i="2"/>
  <c r="F9" i="2" s="1"/>
  <c r="I24" i="4"/>
  <c r="E26" i="4"/>
  <c r="I27" i="4"/>
  <c r="E21" i="4"/>
  <c r="I25" i="4"/>
  <c r="F12" i="1"/>
  <c r="F11" i="11" s="1"/>
  <c r="R115" i="1" l="1"/>
  <c r="S117" i="1" s="1"/>
  <c r="K38" i="6" s="1"/>
  <c r="G8" i="2"/>
  <c r="F8" i="2"/>
  <c r="L119" i="1"/>
  <c r="R145" i="1"/>
  <c r="L148" i="1"/>
  <c r="L149" i="1"/>
  <c r="L103" i="1"/>
  <c r="S89" i="1"/>
  <c r="R88" i="1"/>
  <c r="L37" i="6" s="1"/>
  <c r="S88" i="1"/>
  <c r="O20" i="10"/>
  <c r="Q20" i="10" s="1"/>
  <c r="R20" i="10"/>
  <c r="R19" i="10"/>
  <c r="L25" i="10"/>
  <c r="O19" i="10"/>
  <c r="Q19" i="10" s="1"/>
  <c r="R103" i="1"/>
  <c r="L35" i="6" s="1"/>
  <c r="S104" i="1"/>
  <c r="S102" i="1"/>
  <c r="K35" i="6" s="1"/>
  <c r="S103" i="1"/>
  <c r="R130" i="1"/>
  <c r="G9" i="2"/>
  <c r="L161" i="1"/>
  <c r="O158" i="1"/>
  <c r="E82" i="2"/>
  <c r="E83" i="2"/>
  <c r="L132" i="1"/>
  <c r="L150" i="1"/>
  <c r="I28" i="4"/>
  <c r="D32" i="4" s="1"/>
  <c r="F32" i="4" s="1"/>
  <c r="J26" i="4"/>
  <c r="G15" i="5"/>
  <c r="E16" i="5"/>
  <c r="G16" i="5" s="1"/>
  <c r="E14" i="5"/>
  <c r="G14" i="5" s="1"/>
  <c r="R118" i="1" l="1"/>
  <c r="L38" i="6" s="1"/>
  <c r="S118" i="1"/>
  <c r="S119" i="1"/>
  <c r="S149" i="1"/>
  <c r="K40" i="6" s="1"/>
  <c r="S148" i="1"/>
  <c r="S147" i="1"/>
  <c r="T19" i="10"/>
  <c r="T20" i="10" s="1"/>
  <c r="M25" i="10"/>
  <c r="L28" i="10" s="1"/>
  <c r="S134" i="1"/>
  <c r="S133" i="1"/>
  <c r="S132" i="1"/>
  <c r="R150" i="1"/>
  <c r="L39" i="6" s="1"/>
  <c r="R158" i="1"/>
  <c r="Q158" i="1"/>
  <c r="G17" i="5"/>
  <c r="E119" i="2"/>
  <c r="L27" i="10" l="1"/>
  <c r="R24" i="10"/>
  <c r="S27" i="10" s="1"/>
  <c r="L44" i="6" s="1"/>
  <c r="L40" i="6"/>
  <c r="K39" i="6"/>
  <c r="O17" i="4"/>
  <c r="D4" i="4"/>
  <c r="F4" i="4" s="1"/>
  <c r="D3" i="4"/>
  <c r="F3" i="4" s="1"/>
  <c r="D7" i="4"/>
  <c r="D5" i="4"/>
  <c r="F5" i="4" s="1"/>
  <c r="D6" i="4"/>
  <c r="F6" i="4" s="1"/>
  <c r="D8" i="4"/>
  <c r="F8" i="4" s="1"/>
  <c r="S26" i="10" l="1"/>
  <c r="K44" i="6" s="1"/>
  <c r="S28" i="10"/>
  <c r="G7" i="4"/>
  <c r="F7" i="4"/>
  <c r="F9" i="4" s="1"/>
  <c r="D12" i="4" s="1"/>
  <c r="D17" i="4" s="1"/>
  <c r="D9" i="4"/>
  <c r="H5" i="4"/>
  <c r="N6" i="2" l="1"/>
  <c r="G13" i="4" l="1"/>
  <c r="F14" i="4"/>
  <c r="H9" i="1"/>
  <c r="H8" i="1"/>
  <c r="H7" i="1"/>
  <c r="H6" i="1"/>
  <c r="H5" i="1"/>
  <c r="H4" i="1"/>
  <c r="H3" i="1"/>
  <c r="A26" i="3"/>
  <c r="A25" i="3"/>
  <c r="A24" i="3"/>
  <c r="A23" i="3"/>
  <c r="A22" i="3"/>
  <c r="A21" i="3"/>
  <c r="A20" i="3"/>
  <c r="N123" i="2"/>
  <c r="J123" i="2"/>
  <c r="N122" i="2"/>
  <c r="J122" i="2"/>
  <c r="N121" i="2"/>
  <c r="J121" i="2"/>
  <c r="N120" i="2"/>
  <c r="J120" i="2"/>
  <c r="N119" i="2"/>
  <c r="J119" i="2"/>
  <c r="N118" i="2"/>
  <c r="J118" i="2"/>
  <c r="N117" i="2"/>
  <c r="J117" i="2"/>
  <c r="N116" i="2"/>
  <c r="J116" i="2"/>
  <c r="N115" i="2"/>
  <c r="J115" i="2"/>
  <c r="E124" i="2"/>
  <c r="E129" i="2"/>
  <c r="E135" i="2"/>
  <c r="E140" i="2"/>
  <c r="D147" i="2"/>
  <c r="F147" i="2" s="1"/>
  <c r="A147" i="2"/>
  <c r="D142" i="2"/>
  <c r="F142" i="2" s="1"/>
  <c r="A142" i="2"/>
  <c r="A141" i="2"/>
  <c r="D136" i="2"/>
  <c r="D130" i="2"/>
  <c r="F130" i="2" s="1"/>
  <c r="A130" i="2"/>
  <c r="D125" i="2"/>
  <c r="F125" i="2" s="1"/>
  <c r="A125" i="2"/>
  <c r="D124" i="2"/>
  <c r="F124" i="2" s="1"/>
  <c r="E122" i="2"/>
  <c r="D119" i="2"/>
  <c r="F119" i="2" s="1"/>
  <c r="F122" i="2" s="1"/>
  <c r="A119" i="2"/>
  <c r="A124" i="2" s="1"/>
  <c r="A129" i="2" s="1"/>
  <c r="A135" i="2" s="1"/>
  <c r="A140" i="2" s="1"/>
  <c r="A146" i="2" s="1"/>
  <c r="E117" i="2"/>
  <c r="F127" i="2" l="1"/>
  <c r="D141" i="2"/>
  <c r="F141" i="2" s="1"/>
  <c r="F136" i="2"/>
  <c r="D163" i="2"/>
  <c r="N156" i="2" s="1"/>
  <c r="O156" i="2" s="1"/>
  <c r="O161" i="2" s="1"/>
  <c r="D129" i="2"/>
  <c r="F129" i="2" s="1"/>
  <c r="F133" i="2" s="1"/>
  <c r="D184" i="2"/>
  <c r="F184" i="2" s="1"/>
  <c r="F185" i="2" s="1"/>
  <c r="J42" i="1"/>
  <c r="E132" i="2"/>
  <c r="E131" i="2"/>
  <c r="E141" i="2"/>
  <c r="E142" i="2"/>
  <c r="E143" i="2"/>
  <c r="E136" i="2"/>
  <c r="E125" i="2"/>
  <c r="E137" i="2"/>
  <c r="E120" i="2"/>
  <c r="E126" i="2"/>
  <c r="E121" i="2"/>
  <c r="E147" i="2"/>
  <c r="F163" i="2" l="1"/>
  <c r="F164" i="2" s="1"/>
  <c r="M49" i="1" s="1"/>
  <c r="M53" i="1"/>
  <c r="D135" i="2"/>
  <c r="F135" i="2" s="1"/>
  <c r="F138" i="2" s="1"/>
  <c r="O19" i="1"/>
  <c r="Q19" i="1" s="1"/>
  <c r="L27" i="1"/>
  <c r="O18" i="1"/>
  <c r="Q18" i="1" s="1"/>
  <c r="R18" i="1"/>
  <c r="R20" i="1"/>
  <c r="O20" i="1"/>
  <c r="Q20" i="1" s="1"/>
  <c r="O21" i="1"/>
  <c r="Q21" i="1" s="1"/>
  <c r="R21" i="1"/>
  <c r="E116" i="2"/>
  <c r="E130" i="2"/>
  <c r="R49" i="1" l="1"/>
  <c r="O49" i="1"/>
  <c r="Q49" i="1" s="1"/>
  <c r="D140" i="2"/>
  <c r="F140" i="2" s="1"/>
  <c r="F144" i="2" s="1"/>
  <c r="T21" i="1"/>
  <c r="T22" i="1" s="1"/>
  <c r="M36" i="1"/>
  <c r="M27" i="1"/>
  <c r="L71" i="1"/>
  <c r="R70" i="1" s="1"/>
  <c r="K119" i="2"/>
  <c r="M119" i="2" s="1"/>
  <c r="O119" i="2" s="1"/>
  <c r="K115" i="2"/>
  <c r="M115" i="2" s="1"/>
  <c r="O115" i="2" s="1"/>
  <c r="K117" i="2"/>
  <c r="M117" i="2" s="1"/>
  <c r="O117" i="2" s="1"/>
  <c r="K122" i="2"/>
  <c r="M122" i="2" s="1"/>
  <c r="O122" i="2" s="1"/>
  <c r="K121" i="2"/>
  <c r="M121" i="2" s="1"/>
  <c r="O121" i="2" s="1"/>
  <c r="K120" i="2"/>
  <c r="M120" i="2" s="1"/>
  <c r="O120" i="2" s="1"/>
  <c r="K123" i="2"/>
  <c r="M123" i="2" s="1"/>
  <c r="O123" i="2" s="1"/>
  <c r="K118" i="2"/>
  <c r="M118" i="2" s="1"/>
  <c r="O118" i="2" s="1"/>
  <c r="M35" i="1"/>
  <c r="M37" i="1"/>
  <c r="O37" i="1" s="1"/>
  <c r="Q37" i="1" s="1"/>
  <c r="M34" i="1"/>
  <c r="N3" i="2"/>
  <c r="A8" i="3"/>
  <c r="A7" i="3"/>
  <c r="A6" i="3"/>
  <c r="A5" i="3"/>
  <c r="A4" i="3"/>
  <c r="A3" i="3"/>
  <c r="A2" i="3"/>
  <c r="N11" i="2"/>
  <c r="N10" i="2"/>
  <c r="N9" i="2"/>
  <c r="N8" i="2"/>
  <c r="N7" i="2"/>
  <c r="N5" i="2"/>
  <c r="N4" i="2"/>
  <c r="J11" i="2"/>
  <c r="J10" i="2"/>
  <c r="J9" i="2"/>
  <c r="J8" i="2"/>
  <c r="J7" i="2"/>
  <c r="J6" i="2"/>
  <c r="J5" i="2"/>
  <c r="J4" i="2"/>
  <c r="J3" i="2"/>
  <c r="D35" i="2"/>
  <c r="D30" i="2"/>
  <c r="D24" i="2"/>
  <c r="D18" i="2"/>
  <c r="D13" i="2"/>
  <c r="D12" i="2"/>
  <c r="D7" i="2"/>
  <c r="F7" i="2" s="1"/>
  <c r="A35" i="2"/>
  <c r="A13" i="2"/>
  <c r="A18" i="2"/>
  <c r="A7" i="2"/>
  <c r="A12" i="2" s="1"/>
  <c r="A17" i="2" s="1"/>
  <c r="A23" i="2" s="1"/>
  <c r="L7" i="1"/>
  <c r="L6" i="1"/>
  <c r="L9" i="1"/>
  <c r="L3" i="1"/>
  <c r="L5" i="1"/>
  <c r="L8" i="1"/>
  <c r="L4" i="1"/>
  <c r="A30" i="2"/>
  <c r="A29" i="2"/>
  <c r="D146" i="2" l="1"/>
  <c r="M38" i="1"/>
  <c r="R38" i="1" s="1"/>
  <c r="M33" i="1"/>
  <c r="S74" i="1"/>
  <c r="S72" i="1"/>
  <c r="S73" i="1"/>
  <c r="R26" i="1"/>
  <c r="F10" i="2"/>
  <c r="L29" i="1"/>
  <c r="R37" i="1"/>
  <c r="O35" i="1"/>
  <c r="Q35" i="1" s="1"/>
  <c r="R35" i="1"/>
  <c r="R34" i="1"/>
  <c r="O34" i="1"/>
  <c r="Q34" i="1" s="1"/>
  <c r="R36" i="1"/>
  <c r="O36" i="1"/>
  <c r="Q36" i="1" s="1"/>
  <c r="D29" i="2"/>
  <c r="D17" i="2"/>
  <c r="K116" i="2"/>
  <c r="M116" i="2" s="1"/>
  <c r="O116" i="2" s="1"/>
  <c r="O124" i="2" s="1"/>
  <c r="E12" i="2"/>
  <c r="A28" i="2"/>
  <c r="A34" i="2" s="1"/>
  <c r="F146" i="2" l="1"/>
  <c r="F148" i="2" s="1"/>
  <c r="M39" i="1" s="1"/>
  <c r="O38" i="1"/>
  <c r="Q38" i="1" s="1"/>
  <c r="G12" i="2"/>
  <c r="F12" i="2"/>
  <c r="O33" i="1"/>
  <c r="Q33" i="1" s="1"/>
  <c r="S30" i="1"/>
  <c r="S29" i="1"/>
  <c r="L32" i="6" s="1"/>
  <c r="S28" i="1"/>
  <c r="K32" i="6" s="1"/>
  <c r="E86" i="2"/>
  <c r="L36" i="6"/>
  <c r="K36" i="6"/>
  <c r="R33" i="1"/>
  <c r="D23" i="2"/>
  <c r="E4" i="2"/>
  <c r="D4" i="3"/>
  <c r="D22" i="3" s="1"/>
  <c r="F22" i="3" s="1"/>
  <c r="E14" i="2"/>
  <c r="F14" i="2" s="1"/>
  <c r="E13" i="2"/>
  <c r="D2" i="3"/>
  <c r="D20" i="3" s="1"/>
  <c r="R39" i="1" l="1"/>
  <c r="M42" i="1" s="1"/>
  <c r="O39" i="1"/>
  <c r="Q39" i="1" s="1"/>
  <c r="T36" i="1" s="1"/>
  <c r="T37" i="1" s="1"/>
  <c r="L42" i="1"/>
  <c r="G4" i="2"/>
  <c r="F4" i="2"/>
  <c r="F5" i="2" s="1"/>
  <c r="F13" i="2"/>
  <c r="G13" i="2"/>
  <c r="G14" i="2"/>
  <c r="K4" i="2"/>
  <c r="E87" i="2"/>
  <c r="E88" i="2"/>
  <c r="D28" i="2"/>
  <c r="E17" i="2"/>
  <c r="D3" i="3"/>
  <c r="D21" i="3" s="1"/>
  <c r="G17" i="2" l="1"/>
  <c r="F17" i="2"/>
  <c r="F15" i="2"/>
  <c r="M5" i="1" s="1"/>
  <c r="R50" i="1"/>
  <c r="O50" i="1"/>
  <c r="Q50" i="1" s="1"/>
  <c r="E91" i="2"/>
  <c r="K80" i="2"/>
  <c r="M80" i="2" s="1"/>
  <c r="O80" i="2" s="1"/>
  <c r="R41" i="1"/>
  <c r="L44" i="1"/>
  <c r="K6" i="2"/>
  <c r="M6" i="2" s="1"/>
  <c r="O6" i="2" s="1"/>
  <c r="D34" i="2"/>
  <c r="M4" i="2"/>
  <c r="O4" i="2" s="1"/>
  <c r="E23" i="2"/>
  <c r="D5" i="3"/>
  <c r="D23" i="3" s="1"/>
  <c r="E19" i="2"/>
  <c r="E18" i="2"/>
  <c r="M3" i="1"/>
  <c r="R3" i="1" s="1"/>
  <c r="G19" i="2" l="1"/>
  <c r="F19" i="2"/>
  <c r="G23" i="2"/>
  <c r="F23" i="2"/>
  <c r="G18" i="2"/>
  <c r="K5" i="2" s="1"/>
  <c r="M5" i="2" s="1"/>
  <c r="O5" i="2" s="1"/>
  <c r="F18" i="2"/>
  <c r="S45" i="1"/>
  <c r="S44" i="1"/>
  <c r="L31" i="6" s="1"/>
  <c r="S43" i="1"/>
  <c r="K31" i="6" s="1"/>
  <c r="E97" i="2"/>
  <c r="E92" i="2"/>
  <c r="E93" i="2"/>
  <c r="M4" i="1"/>
  <c r="E34" i="2"/>
  <c r="E28" i="2"/>
  <c r="E20" i="2"/>
  <c r="F20" i="2" s="1"/>
  <c r="E24" i="2"/>
  <c r="D6" i="3"/>
  <c r="D24" i="3" s="1"/>
  <c r="O5" i="1"/>
  <c r="Q5" i="1" s="1"/>
  <c r="R5" i="1"/>
  <c r="O3" i="1"/>
  <c r="Q3" i="1" s="1"/>
  <c r="K79" i="2" l="1"/>
  <c r="M79" i="2" s="1"/>
  <c r="O79" i="2" s="1"/>
  <c r="G24" i="2"/>
  <c r="F24" i="2"/>
  <c r="G34" i="2"/>
  <c r="F34" i="2"/>
  <c r="G28" i="2"/>
  <c r="F28" i="2"/>
  <c r="R51" i="1"/>
  <c r="O51" i="1"/>
  <c r="Q51" i="1" s="1"/>
  <c r="G20" i="2"/>
  <c r="E108" i="2"/>
  <c r="E94" i="2"/>
  <c r="E98" i="2"/>
  <c r="E102" i="2"/>
  <c r="J12" i="1"/>
  <c r="E29" i="2"/>
  <c r="E30" i="2"/>
  <c r="D8" i="3"/>
  <c r="D26" i="3" s="1"/>
  <c r="E35" i="2"/>
  <c r="F35" i="2" s="1"/>
  <c r="E25" i="2"/>
  <c r="F25" i="2" s="1"/>
  <c r="O4" i="1"/>
  <c r="Q4" i="1" s="1"/>
  <c r="R4" i="1"/>
  <c r="G29" i="2" l="1"/>
  <c r="F29" i="2"/>
  <c r="F30" i="2"/>
  <c r="G30" i="2"/>
  <c r="K8" i="2" s="1"/>
  <c r="R52" i="1"/>
  <c r="O52" i="1"/>
  <c r="Q52" i="1" s="1"/>
  <c r="L56" i="1"/>
  <c r="R53" i="1"/>
  <c r="O53" i="1"/>
  <c r="Q53" i="1" s="1"/>
  <c r="F21" i="2"/>
  <c r="M6" i="1" s="1"/>
  <c r="G35" i="2"/>
  <c r="K7" i="2" s="1"/>
  <c r="G25" i="2"/>
  <c r="K10" i="2" s="1"/>
  <c r="F26" i="2"/>
  <c r="K9" i="2"/>
  <c r="E104" i="2"/>
  <c r="E103" i="2"/>
  <c r="E99" i="2"/>
  <c r="E109" i="2"/>
  <c r="E31" i="2"/>
  <c r="F31" i="2" s="1"/>
  <c r="K3" i="2"/>
  <c r="D7" i="3"/>
  <c r="D25" i="3" s="1"/>
  <c r="K84" i="2" l="1"/>
  <c r="M84" i="2" s="1"/>
  <c r="O84" i="2" s="1"/>
  <c r="K83" i="2"/>
  <c r="M83" i="2" s="1"/>
  <c r="O83" i="2" s="1"/>
  <c r="K82" i="2"/>
  <c r="M82" i="2" s="1"/>
  <c r="O82" i="2" s="1"/>
  <c r="M56" i="1"/>
  <c r="L58" i="1" s="1"/>
  <c r="T50" i="1"/>
  <c r="T51" i="1" s="1"/>
  <c r="R6" i="1"/>
  <c r="O6" i="1"/>
  <c r="Q6" i="1" s="1"/>
  <c r="F36" i="2"/>
  <c r="M9" i="1" s="1"/>
  <c r="M7" i="1"/>
  <c r="R7" i="1" s="1"/>
  <c r="G31" i="2"/>
  <c r="K11" i="2" s="1"/>
  <c r="M11" i="2" s="1"/>
  <c r="O11" i="2" s="1"/>
  <c r="K77" i="2"/>
  <c r="M77" i="2" s="1"/>
  <c r="O77" i="2" s="1"/>
  <c r="K81" i="2"/>
  <c r="M81" i="2" s="1"/>
  <c r="O81" i="2" s="1"/>
  <c r="E105" i="2"/>
  <c r="M9" i="2"/>
  <c r="O9" i="2" s="1"/>
  <c r="M7" i="2"/>
  <c r="O7" i="2" s="1"/>
  <c r="M8" i="2"/>
  <c r="O8" i="2" s="1"/>
  <c r="M10" i="2"/>
  <c r="O10" i="2" s="1"/>
  <c r="M3" i="2"/>
  <c r="O3" i="2" s="1"/>
  <c r="R55" i="1" l="1"/>
  <c r="S59" i="1" s="1"/>
  <c r="O7" i="1"/>
  <c r="Q7" i="1" s="1"/>
  <c r="R9" i="1"/>
  <c r="O9" i="1"/>
  <c r="Q9" i="1" s="1"/>
  <c r="F32" i="2"/>
  <c r="M8" i="1" s="1"/>
  <c r="K85" i="2"/>
  <c r="M85" i="2" s="1"/>
  <c r="O85" i="2" s="1"/>
  <c r="O86" i="2" s="1"/>
  <c r="O12" i="2"/>
  <c r="S57" i="1" l="1"/>
  <c r="K33" i="6" s="1"/>
  <c r="S58" i="1"/>
  <c r="L33" i="6" s="1"/>
  <c r="R8" i="1"/>
  <c r="M12" i="1" s="1"/>
  <c r="L15" i="1" s="1"/>
  <c r="L12" i="1"/>
  <c r="O8" i="1"/>
  <c r="Q8" i="1" s="1"/>
  <c r="T6" i="1" s="1"/>
  <c r="L14" i="1" l="1"/>
  <c r="T7" i="1"/>
  <c r="R11" i="1" s="1"/>
  <c r="S14" i="1" l="1"/>
  <c r="L30" i="6" s="1"/>
  <c r="S15" i="1"/>
  <c r="S13" i="1"/>
  <c r="K30" i="6" s="1"/>
  <c r="O157" i="1"/>
  <c r="R157" i="1" l="1"/>
  <c r="M161" i="1" s="1"/>
  <c r="Q157" i="1"/>
  <c r="T155" i="1" s="1"/>
  <c r="T156" i="1" s="1"/>
  <c r="R160" i="1" l="1"/>
  <c r="S164" i="1" s="1"/>
  <c r="L162" i="1"/>
  <c r="S162" i="1" l="1"/>
  <c r="S163" i="1"/>
  <c r="L41" i="6" s="1"/>
  <c r="K41" i="6" l="1"/>
  <c r="K49" i="6"/>
  <c r="L4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<sst xmlns="http://schemas.openxmlformats.org/spreadsheetml/2006/main" count="2350" uniqueCount="406">
  <si>
    <t>Anathema Requirements</t>
  </si>
  <si>
    <t>Fusion Thruster</t>
  </si>
  <si>
    <t>Tesseract Capacitor Unit</t>
  </si>
  <si>
    <t>Radar Sensor Cluster</t>
  </si>
  <si>
    <t>Nanoelectrical Microprocessor</t>
  </si>
  <si>
    <t>Tungsten Carbide Armor Plate</t>
  </si>
  <si>
    <t>Antimatter Reactor Unit</t>
  </si>
  <si>
    <t>Linear Shield Emitter</t>
  </si>
  <si>
    <t>Tungsten Carbide</t>
  </si>
  <si>
    <t>Fermionic Condensates</t>
  </si>
  <si>
    <t>Phenolic Composites</t>
  </si>
  <si>
    <t>Ferrogel</t>
  </si>
  <si>
    <t>Sylramic Fibers</t>
  </si>
  <si>
    <t>Terahertz Meta Materials</t>
  </si>
  <si>
    <t>Nano Transistors</t>
  </si>
  <si>
    <t>Hypersynaptic Fibers</t>
  </si>
  <si>
    <t>Fullerides</t>
  </si>
  <si>
    <t>Have</t>
  </si>
  <si>
    <t>Need</t>
  </si>
  <si>
    <t>Runs</t>
  </si>
  <si>
    <t>Jita Buy Price</t>
  </si>
  <si>
    <t>Prices</t>
  </si>
  <si>
    <t>Total</t>
  </si>
  <si>
    <t>VS</t>
  </si>
  <si>
    <t>Total Needed to buy</t>
  </si>
  <si>
    <t>Item</t>
  </si>
  <si>
    <t>Price</t>
  </si>
  <si>
    <t>Qty Have</t>
  </si>
  <si>
    <t>Blueprint Job runs</t>
  </si>
  <si>
    <t>Anathema Runs</t>
  </si>
  <si>
    <t>Qty Needed</t>
  </si>
  <si>
    <t>Buy or Manufacture</t>
  </si>
  <si>
    <t>Manfacture</t>
  </si>
  <si>
    <t>Cost to Produce</t>
  </si>
  <si>
    <t>Total Purchase Price</t>
  </si>
  <si>
    <t>Qty Buy runs</t>
  </si>
  <si>
    <t>Comparitive Build Cost</t>
  </si>
  <si>
    <t xml:space="preserve"> Savings $</t>
  </si>
  <si>
    <t xml:space="preserve"> Savings %</t>
  </si>
  <si>
    <t>Anathema Info</t>
  </si>
  <si>
    <t>Heretic Info</t>
  </si>
  <si>
    <t>Heretic Requirements</t>
  </si>
  <si>
    <t>Heretic Runs</t>
  </si>
  <si>
    <t>Morphite</t>
  </si>
  <si>
    <t>Construction Blocks</t>
  </si>
  <si>
    <t>Margin</t>
  </si>
  <si>
    <t>required = max(runs, ceil(round(runs ∗ baseQuantity ∗ materialModifier, 2)))</t>
  </si>
  <si>
    <t>Actual Cost</t>
  </si>
  <si>
    <t>Sell Price</t>
  </si>
  <si>
    <t>Type</t>
  </si>
  <si>
    <t>Buy</t>
  </si>
  <si>
    <t>2019.04.27 18:21:40</t>
  </si>
  <si>
    <t>Planetary Import Tax</t>
  </si>
  <si>
    <t>[r] Planetary Import Tax: Certh Finley imported to Wuos VI</t>
  </si>
  <si>
    <t>Strontium</t>
  </si>
  <si>
    <t>Heavy Water</t>
  </si>
  <si>
    <t>2019.04.27 18:16:25</t>
  </si>
  <si>
    <t>Planetary Export Tax</t>
  </si>
  <si>
    <t>[r] Planetary Export Tax: Certh Finley exported from Wuos IX</t>
  </si>
  <si>
    <t>Liquid Ozone</t>
  </si>
  <si>
    <t>Nitrogen Isotopes</t>
  </si>
  <si>
    <t>2019.04.27 18:16:19</t>
  </si>
  <si>
    <t>[r] Planetary Export Tax: Certh Finley exported from Wuos VIII</t>
  </si>
  <si>
    <t>Mech Parts</t>
  </si>
  <si>
    <t>Coolant</t>
  </si>
  <si>
    <t>2019.04.27 18:16:10</t>
  </si>
  <si>
    <t>[r] Planetary Export Tax: Certh Finley exported from Wuos VII</t>
  </si>
  <si>
    <t>2019.04.27 18:16:03</t>
  </si>
  <si>
    <t>[r] Planetary Export Tax: Certh Finley exported from Wuos VI</t>
  </si>
  <si>
    <t>2019.04.27 18:15:56</t>
  </si>
  <si>
    <t>[r] Planetary Export Tax: Certh Finley exported from Wuos IV</t>
  </si>
  <si>
    <t>Manufacturing cost</t>
  </si>
  <si>
    <t>tax manu</t>
  </si>
  <si>
    <t>subtotal man</t>
  </si>
  <si>
    <t>2019.04.27 18:15:50</t>
  </si>
  <si>
    <t>[r] Planetary Export Tax: Certh Finley exported from Wuos III</t>
  </si>
  <si>
    <t>Less Brokerage Fee</t>
  </si>
  <si>
    <t>Sales Tax</t>
  </si>
  <si>
    <t>2019.04.26 02:27:05</t>
  </si>
  <si>
    <t>Transaction Tax</t>
  </si>
  <si>
    <t>Sales tax paid to the SCC</t>
  </si>
  <si>
    <t>Rough total profit less all costs</t>
  </si>
  <si>
    <t>Example Planetary</t>
  </si>
  <si>
    <t>Extended</t>
  </si>
  <si>
    <t>Decryptor</t>
  </si>
  <si>
    <t>Probability Multiplier (% from 100%)</t>
  </si>
  <si>
    <t>Material Efficiency Modifier</t>
  </si>
  <si>
    <t>Time Efficiency Modifier</t>
  </si>
  <si>
    <t>Accelerant</t>
  </si>
  <si>
    <t>Attainment</t>
  </si>
  <si>
    <t>Augmentation</t>
  </si>
  <si>
    <t>Optimized Attainment</t>
  </si>
  <si>
    <t>Optimized Augmentation</t>
  </si>
  <si>
    <t>Parity</t>
  </si>
  <si>
    <t>Process</t>
  </si>
  <si>
    <t>Symmetry</t>
  </si>
  <si>
    <t>xx</t>
  </si>
  <si>
    <t>Copies</t>
  </si>
  <si>
    <t>Required Components</t>
  </si>
  <si>
    <t>Optional</t>
  </si>
  <si>
    <t>Datacore - Ammarian</t>
  </si>
  <si>
    <t>Accelerant Decryptor</t>
  </si>
  <si>
    <t>Qty Req</t>
  </si>
  <si>
    <t>Base</t>
  </si>
  <si>
    <t>BP ME</t>
  </si>
  <si>
    <t>Interdiction Sphere Launcher</t>
  </si>
  <si>
    <t>runs</t>
  </si>
  <si>
    <t>Tritanium</t>
  </si>
  <si>
    <t>Mins</t>
  </si>
  <si>
    <t>Pyerite</t>
  </si>
  <si>
    <t>Mexallon</t>
  </si>
  <si>
    <t>Isogen</t>
  </si>
  <si>
    <t>Nocxium</t>
  </si>
  <si>
    <t>Zydrine</t>
  </si>
  <si>
    <t>Megacyte</t>
  </si>
  <si>
    <t>Manufacture vs Sell Mins</t>
  </si>
  <si>
    <t>Man</t>
  </si>
  <si>
    <t>Amarr</t>
  </si>
  <si>
    <t>Ore:</t>
  </si>
  <si>
    <t>Veldspar</t>
  </si>
  <si>
    <t>Concentrated Veldspar</t>
  </si>
  <si>
    <t>Dense Veldspar</t>
  </si>
  <si>
    <t>Scordite</t>
  </si>
  <si>
    <t>Condensed Scordite</t>
  </si>
  <si>
    <t>Massive Scordite</t>
  </si>
  <si>
    <t>Pyroxeres</t>
  </si>
  <si>
    <t>Solid Pyroxeres</t>
  </si>
  <si>
    <t>Viscous Pyroxeres</t>
  </si>
  <si>
    <t>Plagioclase</t>
  </si>
  <si>
    <t>Rich Plagioclase</t>
  </si>
  <si>
    <t>Azure Plagioclase</t>
  </si>
  <si>
    <t>Kernite</t>
  </si>
  <si>
    <t>Luminous Kernite</t>
  </si>
  <si>
    <t>Fiery Kernite</t>
  </si>
  <si>
    <t>Omber</t>
  </si>
  <si>
    <t>Silvery Omber</t>
  </si>
  <si>
    <t>Golden Omber</t>
  </si>
  <si>
    <t>Compressed Prices</t>
  </si>
  <si>
    <t>Qty</t>
  </si>
  <si>
    <t>Price Compressed</t>
  </si>
  <si>
    <t>Price as is</t>
  </si>
  <si>
    <t>Mineral Prices</t>
  </si>
  <si>
    <t>Conversion</t>
  </si>
  <si>
    <t>Best Reprocess</t>
  </si>
  <si>
    <t xml:space="preserve"> Qty Compressed</t>
  </si>
  <si>
    <t>Reprocess to Minerals</t>
  </si>
  <si>
    <t>Tax Rate</t>
  </si>
  <si>
    <t>BEST POSSIBLE</t>
  </si>
  <si>
    <t>White Glaze</t>
  </si>
  <si>
    <t>Ore Price</t>
  </si>
  <si>
    <t>Compressed Price</t>
  </si>
  <si>
    <t>Stronium Clathrates</t>
  </si>
  <si>
    <t>Stork Requirements</t>
  </si>
  <si>
    <t>Graviton Reactor Unit</t>
  </si>
  <si>
    <t>Sustained Shield Emitter</t>
  </si>
  <si>
    <t>Magpulse Thruster</t>
  </si>
  <si>
    <t>Gravimetric Sensor Cluster</t>
  </si>
  <si>
    <t>Scalar Capacitor Unit</t>
  </si>
  <si>
    <t>Quantum Microprocessor</t>
  </si>
  <si>
    <t>Titanium Diborite Armor Plate</t>
  </si>
  <si>
    <t>Caldari</t>
  </si>
  <si>
    <t>Stork</t>
  </si>
  <si>
    <t>Fermonic Condensates</t>
  </si>
  <si>
    <t>Titanium Carbide</t>
  </si>
  <si>
    <t>Nanotransistors</t>
  </si>
  <si>
    <t>Nonlinear MetaMaterials</t>
  </si>
  <si>
    <t>Nonlinear Metamaterials</t>
  </si>
  <si>
    <t>k</t>
  </si>
  <si>
    <t>l</t>
  </si>
  <si>
    <t>Manticore Requirements</t>
  </si>
  <si>
    <t>Manticore</t>
  </si>
  <si>
    <t>Data Core Cost</t>
  </si>
  <si>
    <t>Broker</t>
  </si>
  <si>
    <t>Misc Industry Tax</t>
  </si>
  <si>
    <t>Sabre Requirements</t>
  </si>
  <si>
    <t>Plasma Thruster</t>
  </si>
  <si>
    <t>Nanomechanical Microprocessor</t>
  </si>
  <si>
    <t>Fernite Carbide Composite AP</t>
  </si>
  <si>
    <t>Ladar Sensor Cluster</t>
  </si>
  <si>
    <t>Deflection Shield Emitter</t>
  </si>
  <si>
    <t>Nuclear Reactor Unit</t>
  </si>
  <si>
    <t>Electrolytic Capacitor Unit</t>
  </si>
  <si>
    <t>Minmatar</t>
  </si>
  <si>
    <t>Fernite Carbide</t>
  </si>
  <si>
    <t>Plasmonic MetaMaterials</t>
  </si>
  <si>
    <t>Sabre</t>
  </si>
  <si>
    <t>Purifier Requirements</t>
  </si>
  <si>
    <t>Purifier  Info</t>
  </si>
  <si>
    <t>Datacore - Nanite</t>
  </si>
  <si>
    <t>Purifier Runs</t>
  </si>
  <si>
    <t>Ships</t>
  </si>
  <si>
    <t>Anathema</t>
  </si>
  <si>
    <t>Heretic</t>
  </si>
  <si>
    <t>Purifier</t>
  </si>
  <si>
    <t>Gallente</t>
  </si>
  <si>
    <t>Manufacture</t>
  </si>
  <si>
    <t>Dashboard</t>
  </si>
  <si>
    <t>% Gain/Loss</t>
  </si>
  <si>
    <t>Isk Gain/Loss</t>
  </si>
  <si>
    <t>=MAX(E7,CEILING.MATH(ROUNDUP(E7*C7*((1-10%)*(1-1%)*(1-2%)),20)))</t>
  </si>
  <si>
    <t>Helium Isotopes</t>
  </si>
  <si>
    <t>Robotics</t>
  </si>
  <si>
    <t>Enriched Uranium</t>
  </si>
  <si>
    <t>Oxygen</t>
  </si>
  <si>
    <t>Helium Fuel Block</t>
  </si>
  <si>
    <t>Clear Icicle</t>
  </si>
  <si>
    <t>Compressed Clear</t>
  </si>
  <si>
    <t>Auto-Integrity Preservation Seal</t>
  </si>
  <si>
    <t>Bacteria</t>
  </si>
  <si>
    <t>Proteins</t>
  </si>
  <si>
    <t>Reinforced Carbon Fiber</t>
  </si>
  <si>
    <t>ME</t>
  </si>
  <si>
    <t>Less Costs</t>
  </si>
  <si>
    <t>Less Industry and Sales</t>
  </si>
  <si>
    <t>Total Margin</t>
  </si>
  <si>
    <t>Sense-Heuristic Neurolink Enhancer (Reaction)</t>
  </si>
  <si>
    <t>Azure Mykoserocin</t>
  </si>
  <si>
    <t>Vermillion Mykoserocin</t>
  </si>
  <si>
    <t>AV-Composite Molecular Condenser</t>
  </si>
  <si>
    <t>Hydrogen Fuel Block</t>
  </si>
  <si>
    <t xml:space="preserve">Sense-Heuristic Neurolink Enhancer </t>
  </si>
  <si>
    <t>Sense-Heuristic</t>
  </si>
  <si>
    <t>Input</t>
  </si>
  <si>
    <t>Price (1)</t>
  </si>
  <si>
    <t>Need (2 x Runs)</t>
  </si>
  <si>
    <t>Have (Given)</t>
  </si>
  <si>
    <t>Base (2) (Given)</t>
  </si>
  <si>
    <t>Cost to Acquire</t>
  </si>
  <si>
    <t>(Have - Need) * Price</t>
  </si>
  <si>
    <t>Selling Price</t>
  </si>
  <si>
    <t>Completed?</t>
  </si>
  <si>
    <t>Sense-Heuristic Neurolink Enhancer</t>
  </si>
  <si>
    <t>Quantity</t>
  </si>
  <si>
    <t>Profit ($)</t>
  </si>
  <si>
    <t>Date</t>
  </si>
  <si>
    <t>Costs (Built in)</t>
  </si>
  <si>
    <t>Purifer + Anathema</t>
  </si>
  <si>
    <t>Purifier + Anathema Runs</t>
  </si>
  <si>
    <t>Prospect</t>
  </si>
  <si>
    <t>Prospect Requirements</t>
  </si>
  <si>
    <t>Ion Thruster</t>
  </si>
  <si>
    <t>Crystalline Carbonide</t>
  </si>
  <si>
    <t>Fusion Reactor Unit</t>
  </si>
  <si>
    <t>Oscillator Capacitor</t>
  </si>
  <si>
    <t>Photon Microprocessor</t>
  </si>
  <si>
    <t>Pulse Shield Emitter</t>
  </si>
  <si>
    <t>Magnetometric Sensor Cluster</t>
  </si>
  <si>
    <t>Crystalline Carbonide Armor Plate</t>
  </si>
  <si>
    <t>Caldari Specific</t>
  </si>
  <si>
    <t>Minmatar Specfic</t>
  </si>
  <si>
    <t>Gallente Specific</t>
  </si>
  <si>
    <t>Photonic Metamaterials</t>
  </si>
  <si>
    <t>Amarr Specific</t>
  </si>
  <si>
    <t>Base - used in all 4</t>
  </si>
  <si>
    <t>Prospect Runs</t>
  </si>
  <si>
    <t>Y</t>
  </si>
  <si>
    <t>Tech 2</t>
  </si>
  <si>
    <t>Tech 1 and others</t>
  </si>
  <si>
    <t>Pressurized Oxidizers</t>
  </si>
  <si>
    <t>Carbon Polymer</t>
  </si>
  <si>
    <t>Sulfuric Acid</t>
  </si>
  <si>
    <t>Oxy-Organic Solvents</t>
  </si>
  <si>
    <t>Hydrocarbons</t>
  </si>
  <si>
    <t>Silicates</t>
  </si>
  <si>
    <t>Atmospheric Gases</t>
  </si>
  <si>
    <t>Evaporite Deposits</t>
  </si>
  <si>
    <t>Nitrogen Fuel Block</t>
  </si>
  <si>
    <t>Oxygen Fuel Block</t>
  </si>
  <si>
    <t>Cost</t>
  </si>
  <si>
    <t>Comparison</t>
  </si>
  <si>
    <t>Buy and make Savings:</t>
  </si>
  <si>
    <t>Make &amp; Make Savings:</t>
  </si>
  <si>
    <t>Make &amp; Make Costs</t>
  </si>
  <si>
    <t>Reinforced Carbon Fiber Reaction</t>
  </si>
  <si>
    <t>Carbon Fiber</t>
  </si>
  <si>
    <t>Thermosetting Polymer</t>
  </si>
  <si>
    <t>Overall Buy</t>
  </si>
  <si>
    <t>Overall Buy &amp; Make</t>
  </si>
  <si>
    <t>Overall Make &amp; Make</t>
  </si>
  <si>
    <t>Profit Margin (%)</t>
  </si>
  <si>
    <t>Flycatcher</t>
  </si>
  <si>
    <t>Curator II</t>
  </si>
  <si>
    <t>Guidance Systems</t>
  </si>
  <si>
    <t>Laser Focusing Crystals</t>
  </si>
  <si>
    <t>Curator I</t>
  </si>
  <si>
    <t>Curator</t>
  </si>
  <si>
    <t>Flycatcher Requirements</t>
  </si>
  <si>
    <t>OCTOBER TOTALS</t>
  </si>
  <si>
    <t>y</t>
  </si>
  <si>
    <t>Morphite Cost</t>
  </si>
  <si>
    <t>Raptor Requirements</t>
  </si>
  <si>
    <t>Raptor</t>
  </si>
  <si>
    <t>Raptor + Flycatcher</t>
  </si>
  <si>
    <t>Flycatcher Runs</t>
  </si>
  <si>
    <t>Raptor Runs</t>
  </si>
  <si>
    <t>Flycatcher+Raptor Runs</t>
  </si>
  <si>
    <t>Broker Fees</t>
  </si>
  <si>
    <t>FOR MARKET ORDERS</t>
  </si>
  <si>
    <t>Helios Requirements</t>
  </si>
  <si>
    <t>Helios</t>
  </si>
  <si>
    <t>Nemesis Requirements</t>
  </si>
  <si>
    <t>Nemesis</t>
  </si>
  <si>
    <t>Hound</t>
  </si>
  <si>
    <t>a</t>
  </si>
  <si>
    <t>BP Ready</t>
  </si>
  <si>
    <t>NOVEMBER TOTALS</t>
  </si>
  <si>
    <t>Covert Ops Cloaking Device II</t>
  </si>
  <si>
    <t>Amarr Curator Sentry Drone</t>
  </si>
  <si>
    <t>Transmitter</t>
  </si>
  <si>
    <t>Graviton Pulse Generator</t>
  </si>
  <si>
    <t>ProtoType cloaking Device I</t>
  </si>
  <si>
    <t>Miniature Electronics</t>
  </si>
  <si>
    <t>Supercomputers</t>
  </si>
  <si>
    <t>Hermetic Membranes</t>
  </si>
  <si>
    <t>RAM Electronics</t>
  </si>
  <si>
    <t>Ubiquitous Moon Mining Crystal Type A</t>
  </si>
  <si>
    <t>Ubiquitous Moon Mining Crystal Type A Tech 2</t>
  </si>
  <si>
    <t>Total Across</t>
  </si>
  <si>
    <t>(Plug)</t>
  </si>
  <si>
    <t>Purchase</t>
  </si>
  <si>
    <t>vs</t>
  </si>
  <si>
    <t>Make</t>
  </si>
  <si>
    <t>[depends]</t>
  </si>
  <si>
    <t>Total Cost</t>
  </si>
  <si>
    <t>Manufacturing tax</t>
  </si>
  <si>
    <t>Approximate Total Cost</t>
  </si>
  <si>
    <t>Datacore Cost</t>
  </si>
  <si>
    <t>Datacores:</t>
  </si>
  <si>
    <t>High Energy Physics</t>
  </si>
  <si>
    <t>Laser Physics</t>
  </si>
  <si>
    <t>Probability</t>
  </si>
  <si>
    <t>Parity Decrypter</t>
  </si>
  <si>
    <t>TC per run</t>
  </si>
  <si>
    <t>x</t>
  </si>
  <si>
    <t>Retribution</t>
  </si>
  <si>
    <t>Retribution Requirements</t>
  </si>
  <si>
    <t>Rens</t>
  </si>
  <si>
    <t>Jita</t>
  </si>
  <si>
    <t>Qty per Run</t>
  </si>
  <si>
    <t># of Runs</t>
  </si>
  <si>
    <t>Manufacturing Tax</t>
  </si>
  <si>
    <t>Total Costs</t>
  </si>
  <si>
    <t>Sales Revenue</t>
  </si>
  <si>
    <t>Input Material</t>
  </si>
  <si>
    <t>Net Profit</t>
  </si>
  <si>
    <t>For Market Orders</t>
  </si>
  <si>
    <t>Qty produced</t>
  </si>
  <si>
    <t>Dodixie</t>
  </si>
  <si>
    <t>jita</t>
  </si>
  <si>
    <t>DECEMBER TOTALS</t>
  </si>
  <si>
    <t>JANUARY TOTAL TOTALS</t>
  </si>
  <si>
    <t>FEBRUARY TOTAL TOTALS</t>
  </si>
  <si>
    <t>MARCH TOTAL TOTALS</t>
  </si>
  <si>
    <t>Retribution + Anathema</t>
  </si>
  <si>
    <t>Amarr^</t>
  </si>
  <si>
    <t>Gallente V</t>
  </si>
  <si>
    <t>Own Expenses</t>
  </si>
  <si>
    <t>Appraisal</t>
  </si>
  <si>
    <t>Total cost &amp; profit</t>
  </si>
  <si>
    <t>Price / Fuel Block</t>
  </si>
  <si>
    <t>Pricing</t>
  </si>
  <si>
    <t>If sold directly</t>
  </si>
  <si>
    <t>Cost Total</t>
  </si>
  <si>
    <t>Made</t>
  </si>
  <si>
    <t>Break-even</t>
  </si>
  <si>
    <t>remaining</t>
  </si>
  <si>
    <t>Hound  Requirements</t>
  </si>
  <si>
    <t>Glistening Coesite</t>
  </si>
  <si>
    <t>Glistening Sylvite</t>
  </si>
  <si>
    <t>PI Now 8/23/22</t>
  </si>
  <si>
    <t>Gamis</t>
  </si>
  <si>
    <t>Plasma</t>
  </si>
  <si>
    <t>Heavy Metals</t>
  </si>
  <si>
    <t>Noble Metals</t>
  </si>
  <si>
    <t>Nieril</t>
  </si>
  <si>
    <t>Lava</t>
  </si>
  <si>
    <t>Non-CS Crystals</t>
  </si>
  <si>
    <t>Felsic Magma</t>
  </si>
  <si>
    <t>Barren</t>
  </si>
  <si>
    <t>Base Metals</t>
  </si>
  <si>
    <t>Bekirdod</t>
  </si>
  <si>
    <t>Storm</t>
  </si>
  <si>
    <t>Noble Gas</t>
  </si>
  <si>
    <t>Ionic Solutions</t>
  </si>
  <si>
    <t>Aqueous Liquid</t>
  </si>
  <si>
    <t>Proposed</t>
  </si>
  <si>
    <t>System/Planet</t>
  </si>
  <si>
    <t>Planet Type</t>
  </si>
  <si>
    <t>Resoucres</t>
  </si>
  <si>
    <t>%</t>
  </si>
  <si>
    <t>Carbon Compounds</t>
  </si>
  <si>
    <t>Suspended Plasma</t>
  </si>
  <si>
    <t>Aqueous Liquids</t>
  </si>
  <si>
    <t>Gas</t>
  </si>
  <si>
    <t>Reactive Gas</t>
  </si>
  <si>
    <t>Ice</t>
  </si>
  <si>
    <t>Plamltoc Colonies</t>
  </si>
  <si>
    <t>Temperate</t>
  </si>
  <si>
    <t>Autotrophs</t>
  </si>
  <si>
    <t>Advanced Facilities</t>
  </si>
  <si>
    <t>Sifilar 3</t>
  </si>
  <si>
    <t>Oyeman 6</t>
  </si>
  <si>
    <t>Oyeman 4</t>
  </si>
  <si>
    <t>Oyeman 8</t>
  </si>
  <si>
    <t>Oyeman 12</t>
  </si>
  <si>
    <t>Oyeman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</si>
</sst>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right"/>
    </xf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  <xf numFmtId="0" fontId="0" fillId="2" borderId="0" xfId="0" applyFill="1"/>
    <xf numFmtId="0" fontId="0" fillId="0" borderId="0" xfId="0" applyFill="1"/>
    <xf numFmtId="164" fontId="2" fillId="0" borderId="0" xfId="1" applyNumberFormat="1" applyFont="1"/>
    <xf numFmtId="0" fontId="0" fillId="0" borderId="0" xfId="1" applyNumberFormat="1" applyFont="1"/>
    <xf numFmtId="10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quotePrefix="1"/>
    <xf numFmtId="43" fontId="3" fillId="0" borderId="0" xfId="1" applyFont="1"/>
    <xf numFmtId="44" fontId="0" fillId="0" borderId="0" xfId="0" applyNumberFormat="1"/>
    <xf numFmtId="44" fontId="0" fillId="0" borderId="0" xfId="1" applyNumberFormat="1" applyFont="1"/>
    <xf numFmtId="9" fontId="0" fillId="0" borderId="0" xfId="2" applyFont="1"/>
    <xf numFmtId="2" fontId="0" fillId="0" borderId="0" xfId="0" applyNumberFormat="1" applyFill="1"/>
    <xf numFmtId="164" fontId="0" fillId="0" borderId="0" xfId="0" applyNumberFormat="1"/>
    <xf numFmtId="0" fontId="0" fillId="3" borderId="0" xfId="0" applyFill="1"/>
    <xf numFmtId="164" fontId="0" fillId="3" borderId="0" xfId="1" applyNumberFormat="1" applyFont="1" applyFill="1"/>
    <xf numFmtId="10" fontId="0" fillId="3" borderId="0" xfId="2" applyNumberFormat="1" applyFont="1" applyFill="1"/>
    <xf numFmtId="164" fontId="0" fillId="2" borderId="0" xfId="1" applyNumberFormat="1" applyFont="1" applyFill="1"/>
    <xf numFmtId="0" fontId="0" fillId="0" borderId="0" xfId="0" applyAlignment="1">
      <alignment horizontal="center"/>
    </xf>
    <xf numFmtId="43" fontId="0" fillId="2" borderId="0" xfId="1" applyFont="1" applyFill="1"/>
    <xf numFmtId="0" fontId="0" fillId="4" borderId="0" xfId="0" applyFill="1"/>
    <xf numFmtId="3" fontId="0" fillId="0" borderId="0" xfId="0" applyNumberFormat="1"/>
    <xf numFmtId="10" fontId="0" fillId="0" borderId="0" xfId="0" applyNumberFormat="1"/>
    <xf numFmtId="43" fontId="0" fillId="0" borderId="1" xfId="0" applyNumberFormat="1" applyBorder="1"/>
    <xf numFmtId="0" fontId="2" fillId="0" borderId="0" xfId="0" applyFont="1"/>
    <xf numFmtId="43" fontId="0" fillId="0" borderId="1" xfId="1" applyFont="1" applyBorder="1"/>
    <xf numFmtId="9" fontId="0" fillId="0" borderId="0" xfId="0" applyNumberFormat="1"/>
    <xf numFmtId="43" fontId="0" fillId="3" borderId="0" xfId="1" applyFont="1" applyFill="1"/>
    <xf numFmtId="9" fontId="0" fillId="2" borderId="0" xfId="0" applyNumberFormat="1" applyFill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5" fillId="0" borderId="0" xfId="0" applyFont="1" applyFill="1"/>
    <xf numFmtId="43" fontId="0" fillId="0" borderId="0" xfId="1" applyFont="1" applyFill="1"/>
    <xf numFmtId="44" fontId="3" fillId="0" borderId="0" xfId="0" applyNumberFormat="1" applyFont="1"/>
    <xf numFmtId="3" fontId="0" fillId="2" borderId="0" xfId="0" applyNumberFormat="1" applyFill="1"/>
    <xf numFmtId="43" fontId="0" fillId="2" borderId="0" xfId="0" applyNumberFormat="1" applyFill="1"/>
    <xf numFmtId="0" fontId="0" fillId="0" borderId="0" xfId="0" applyBorder="1"/>
    <xf numFmtId="43" fontId="0" fillId="0" borderId="0" xfId="0" applyNumberFormat="1" applyBorder="1"/>
    <xf numFmtId="43" fontId="0" fillId="0" borderId="0" xfId="1" applyFont="1" applyBorder="1"/>
    <xf numFmtId="43" fontId="0" fillId="2" borderId="0" xfId="1" applyNumberFormat="1" applyFont="1" applyFill="1"/>
    <xf numFmtId="0" fontId="2" fillId="0" borderId="0" xfId="0" applyFont="1" applyFill="1"/>
    <xf numFmtId="43" fontId="0" fillId="0" borderId="0" xfId="0" applyNumberFormat="1" applyFill="1"/>
    <xf numFmtId="164" fontId="0" fillId="0" borderId="0" xfId="1" applyNumberFormat="1" applyFont="1" applyFill="1"/>
    <xf numFmtId="164" fontId="0" fillId="0" borderId="1" xfId="1" applyNumberFormat="1" applyFont="1" applyFill="1" applyBorder="1"/>
    <xf numFmtId="164" fontId="0" fillId="0" borderId="1" xfId="0" applyNumberFormat="1" applyFill="1" applyBorder="1"/>
    <xf numFmtId="0" fontId="0" fillId="0" borderId="0" xfId="0" applyFill="1" applyBorder="1"/>
    <xf numFmtId="43" fontId="0" fillId="0" borderId="1" xfId="0" applyNumberFormat="1" applyFill="1" applyBorder="1"/>
    <xf numFmtId="10" fontId="0" fillId="0" borderId="0" xfId="2" applyNumberFormat="1" applyFont="1" applyFill="1"/>
    <xf numFmtId="164" fontId="0" fillId="0" borderId="1" xfId="0" applyNumberFormat="1" applyBorder="1"/>
    <xf numFmtId="43" fontId="0" fillId="0" borderId="0" xfId="1" applyNumberFormat="1" applyFont="1" applyFill="1"/>
    <xf numFmtId="164" fontId="0" fillId="0" borderId="0" xfId="1" applyNumberFormat="1" applyFont="1" applyAlignment="1">
      <alignment horizontal="center"/>
    </xf>
    <xf numFmtId="14" fontId="0" fillId="0" borderId="0" xfId="0" applyNumberFormat="1"/>
    <xf numFmtId="0" fontId="6" fillId="3" borderId="0" xfId="0" applyFont="1" applyFill="1"/>
    <xf numFmtId="43" fontId="0" fillId="0" borderId="0" xfId="1" applyFont="1" applyFill="1" applyBorder="1"/>
    <xf numFmtId="165" fontId="0" fillId="0" borderId="0" xfId="0" applyNumberFormat="1"/>
    <xf numFmtId="164" fontId="0" fillId="0" borderId="1" xfId="1" applyNumberFormat="1" applyFont="1" applyBorder="1"/>
    <xf numFmtId="43" fontId="0" fillId="0" borderId="0" xfId="2" applyNumberFormat="1" applyFont="1"/>
    <xf numFmtId="0" fontId="0" fillId="3" borderId="0" xfId="0" quotePrefix="1" applyFill="1"/>
    <xf numFmtId="43" fontId="0" fillId="3" borderId="0" xfId="0" applyNumberFormat="1" applyFill="1"/>
    <xf numFmtId="0" fontId="0" fillId="3" borderId="0" xfId="0" applyFill="1" applyAlignment="1">
      <alignment horizontal="right"/>
    </xf>
    <xf numFmtId="9" fontId="0" fillId="0" borderId="0" xfId="0" applyNumberFormat="1" applyFill="1"/>
    <xf numFmtId="9" fontId="0" fillId="3" borderId="0" xfId="0" applyNumberFormat="1" applyFill="1"/>
    <xf numFmtId="0" fontId="7" fillId="0" borderId="0" xfId="0" applyFont="1" applyFill="1" applyBorder="1"/>
    <xf numFmtId="0" fontId="7" fillId="0" borderId="0" xfId="0" applyFont="1"/>
    <xf numFmtId="44" fontId="0" fillId="0" borderId="0" xfId="0" applyNumberFormat="1" applyFont="1"/>
    <xf numFmtId="44" fontId="0" fillId="0" borderId="1" xfId="0" applyNumberFormat="1" applyFont="1" applyBorder="1"/>
    <xf numFmtId="43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0" xfId="0" applyFont="1" applyFill="1" applyBorder="1"/>
    <xf numFmtId="43" fontId="0" fillId="0" borderId="0" xfId="0" applyNumberFormat="1" applyFont="1" applyFill="1" applyBorder="1"/>
    <xf numFmtId="3" fontId="0" fillId="0" borderId="0" xfId="0" applyNumberFormat="1" applyFont="1" applyFill="1" applyBorder="1"/>
    <xf numFmtId="0" fontId="2" fillId="0" borderId="0" xfId="0" applyFont="1" applyFill="1" applyBorder="1"/>
    <xf numFmtId="10" fontId="0" fillId="0" borderId="0" xfId="2" applyNumberFormat="1" applyFont="1" applyFill="1" applyBorder="1"/>
    <xf numFmtId="10" fontId="0" fillId="0" borderId="0" xfId="0" applyNumberFormat="1" applyFont="1" applyFill="1" applyBorder="1"/>
    <xf numFmtId="164" fontId="0" fillId="0" borderId="0" xfId="1" applyNumberFormat="1" applyFont="1" applyFill="1" applyBorder="1"/>
    <xf numFmtId="164" fontId="0" fillId="0" borderId="0" xfId="0" applyNumberFormat="1" applyFont="1" applyFill="1" applyBorder="1"/>
    <xf numFmtId="9" fontId="0" fillId="0" borderId="0" xfId="0" applyNumberFormat="1" applyFont="1" applyFill="1" applyBorder="1"/>
    <xf numFmtId="43" fontId="0" fillId="0" borderId="0" xfId="1" applyNumberFormat="1" applyFont="1" applyFill="1" applyBorder="1"/>
    <xf numFmtId="2" fontId="0" fillId="0" borderId="0" xfId="0" applyNumberFormat="1"/>
    <xf numFmtId="0" fontId="0" fillId="5" borderId="0" xfId="0" applyFill="1"/>
    <xf numFmtId="0" fontId="0" fillId="3" borderId="0" xfId="0" applyFont="1" applyFill="1" applyBorder="1"/>
    <xf numFmtId="43" fontId="0" fillId="3" borderId="0" xfId="1" applyFont="1" applyFill="1" applyBorder="1"/>
    <xf numFmtId="43" fontId="0" fillId="3" borderId="0" xfId="0" applyNumberFormat="1" applyFont="1" applyFill="1" applyBorder="1"/>
    <xf numFmtId="43" fontId="8" fillId="0" borderId="0" xfId="0" applyNumberFormat="1" applyFont="1"/>
    <xf numFmtId="0" fontId="8" fillId="0" borderId="0" xfId="0" applyFont="1"/>
    <xf numFmtId="164" fontId="0" fillId="2" borderId="0" xfId="0" applyNumberFormat="1" applyFill="1"/>
    <xf numFmtId="164" fontId="1" fillId="0" borderId="0" xfId="1" applyNumberFormat="1" applyFont="1"/>
    <xf numFmtId="0" fontId="8" fillId="0" borderId="0" xfId="0" applyFont="1" applyFill="1"/>
    <xf numFmtId="0" fontId="0" fillId="2" borderId="0" xfId="0" applyFont="1" applyFill="1"/>
    <xf numFmtId="0" fontId="0" fillId="0" borderId="1" xfId="0" applyBorder="1" applyAlignment="1">
      <alignment horizontal="center"/>
    </xf>
    <xf numFmtId="166" fontId="0" fillId="0" borderId="0" xfId="2" applyNumberFormat="1" applyFont="1"/>
    <xf numFmtId="0" fontId="9" fillId="0" borderId="0" xfId="0" applyFont="1"/>
    <xf numFmtId="9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414D-6797-42FB-95DE-3C130D8373AD}">
  <sheetPr>
    <tabColor rgb="FF00B050"/>
  </sheetPr>
  <dimension ref="A1:N251"/>
  <sheetViews>
    <sheetView zoomScaleNormal="100" workbookViewId="0">
      <pane ySplit="1" topLeftCell="A233" activePane="bottomLeft" state="frozen"/>
      <selection pane="bottomLeft" activeCell="I243" sqref="I243"/>
    </sheetView>
  </sheetViews>
  <sheetFormatPr defaultRowHeight="14.5" x14ac:dyDescent="0.35"/>
  <cols>
    <col min="1" max="1" width="10.7265625" bestFit="1" customWidth="1"/>
    <col min="2" max="2" width="33.453125" bestFit="1" customWidth="1"/>
    <col min="3" max="3" width="15.1796875" style="3" bestFit="1" customWidth="1"/>
    <col min="4" max="4" width="12.54296875" style="3" bestFit="1" customWidth="1"/>
    <col min="5" max="5" width="16.26953125" style="3" bestFit="1" customWidth="1"/>
    <col min="6" max="6" width="14.26953125" style="3" bestFit="1" customWidth="1"/>
    <col min="7" max="7" width="16.1796875" bestFit="1" customWidth="1"/>
    <col min="8" max="8" width="11.81640625" bestFit="1" customWidth="1"/>
    <col min="9" max="9" width="10" bestFit="1" customWidth="1"/>
    <col min="10" max="10" width="12" bestFit="1" customWidth="1"/>
    <col min="11" max="11" width="18" customWidth="1"/>
    <col min="12" max="12" width="10" customWidth="1"/>
    <col min="13" max="13" width="15.7265625" customWidth="1"/>
    <col min="14" max="14" width="14.26953125" bestFit="1" customWidth="1"/>
  </cols>
  <sheetData>
    <row r="1" spans="1:11" x14ac:dyDescent="0.35">
      <c r="A1" t="s">
        <v>234</v>
      </c>
      <c r="B1" s="22" t="s">
        <v>25</v>
      </c>
      <c r="C1" s="56" t="s">
        <v>229</v>
      </c>
      <c r="D1" s="56" t="s">
        <v>232</v>
      </c>
      <c r="E1" s="56" t="s">
        <v>235</v>
      </c>
      <c r="F1" s="56" t="s">
        <v>233</v>
      </c>
      <c r="G1" s="22" t="s">
        <v>279</v>
      </c>
      <c r="H1" s="22" t="s">
        <v>230</v>
      </c>
      <c r="J1" t="s">
        <v>77</v>
      </c>
      <c r="K1" s="26">
        <v>3.5999999999999997E-2</v>
      </c>
    </row>
    <row r="2" spans="1:11" x14ac:dyDescent="0.35">
      <c r="A2" s="57">
        <v>44478</v>
      </c>
      <c r="B2" t="s">
        <v>231</v>
      </c>
      <c r="C2" s="3">
        <v>128900</v>
      </c>
      <c r="D2" s="3">
        <v>1000</v>
      </c>
      <c r="E2" s="3">
        <f>139602500-3000000</f>
        <v>136602500</v>
      </c>
      <c r="F2" s="3">
        <f>(C2*D2)-E2</f>
        <v>-7702500</v>
      </c>
      <c r="G2" s="9">
        <f>F2/E2</f>
        <v>-5.6386230120239383E-2</v>
      </c>
      <c r="H2" t="s">
        <v>255</v>
      </c>
      <c r="J2" t="s">
        <v>296</v>
      </c>
      <c r="K2" s="26">
        <v>1.44E-2</v>
      </c>
    </row>
    <row r="3" spans="1:11" x14ac:dyDescent="0.35">
      <c r="A3" s="57">
        <v>44478</v>
      </c>
      <c r="B3" t="s">
        <v>193</v>
      </c>
      <c r="C3" s="3">
        <v>24250000</v>
      </c>
      <c r="D3" s="3">
        <v>2</v>
      </c>
      <c r="E3" s="3">
        <v>39429986.946000002</v>
      </c>
      <c r="F3" s="3">
        <f>(C3*D3)-E3</f>
        <v>9070013.0539999977</v>
      </c>
      <c r="G3" s="9">
        <f>F3/(E3+F3)</f>
        <v>0.18701057843298965</v>
      </c>
      <c r="H3" t="s">
        <v>255</v>
      </c>
    </row>
    <row r="4" spans="1:11" x14ac:dyDescent="0.35">
      <c r="A4" s="57">
        <v>44481</v>
      </c>
      <c r="B4" t="s">
        <v>193</v>
      </c>
      <c r="C4" s="3">
        <v>23910000</v>
      </c>
      <c r="D4" s="3">
        <v>1</v>
      </c>
      <c r="E4" s="3">
        <f>ROUND(39690848.868,0)/2</f>
        <v>19845424.5</v>
      </c>
      <c r="F4" s="3">
        <f>(C4*D4)-E4</f>
        <v>4064575.5</v>
      </c>
      <c r="G4" s="9">
        <f t="shared" ref="G4:G16" si="0">F4/(E4+F4)</f>
        <v>0.16999479297365119</v>
      </c>
      <c r="H4" t="s">
        <v>255</v>
      </c>
    </row>
    <row r="5" spans="1:11" x14ac:dyDescent="0.35">
      <c r="A5" s="57">
        <v>44481</v>
      </c>
      <c r="B5" t="s">
        <v>193</v>
      </c>
      <c r="C5" s="3">
        <v>24230000</v>
      </c>
      <c r="D5" s="3">
        <v>1</v>
      </c>
      <c r="E5" s="3">
        <f>ROUND(39690848.868,0)/2</f>
        <v>19845424.5</v>
      </c>
      <c r="F5" s="3">
        <f>(C5*D5)-E5</f>
        <v>4384575.5</v>
      </c>
      <c r="G5" s="9">
        <f t="shared" si="0"/>
        <v>0.18095647957078004</v>
      </c>
      <c r="H5" t="s">
        <v>255</v>
      </c>
    </row>
    <row r="6" spans="1:11" x14ac:dyDescent="0.35">
      <c r="A6" s="57">
        <v>44485</v>
      </c>
      <c r="B6" t="s">
        <v>231</v>
      </c>
      <c r="C6" s="3">
        <v>128900</v>
      </c>
      <c r="D6" s="3">
        <v>1000</v>
      </c>
      <c r="E6" s="3">
        <v>115385000</v>
      </c>
      <c r="F6" s="3">
        <f>(C6*D6)-E6</f>
        <v>13515000</v>
      </c>
      <c r="G6" s="9">
        <f t="shared" si="0"/>
        <v>0.10484871993793639</v>
      </c>
      <c r="H6" t="s">
        <v>255</v>
      </c>
    </row>
    <row r="7" spans="1:11" x14ac:dyDescent="0.35">
      <c r="A7" s="57">
        <v>44489</v>
      </c>
      <c r="B7" t="s">
        <v>193</v>
      </c>
      <c r="C7" s="3">
        <f>23320000</f>
        <v>23320000</v>
      </c>
      <c r="D7" s="3">
        <v>2</v>
      </c>
      <c r="E7" s="3">
        <v>34206173.239</v>
      </c>
      <c r="F7" s="3">
        <f t="shared" ref="F7:F10" si="1">(C7*D7)-E7</f>
        <v>12433826.761</v>
      </c>
      <c r="G7" s="9">
        <f t="shared" si="0"/>
        <v>0.26659148286878215</v>
      </c>
      <c r="H7" t="s">
        <v>255</v>
      </c>
    </row>
    <row r="8" spans="1:11" x14ac:dyDescent="0.35">
      <c r="A8" s="57">
        <v>44490</v>
      </c>
      <c r="B8" t="s">
        <v>191</v>
      </c>
      <c r="C8" s="3">
        <v>25000000</v>
      </c>
      <c r="D8" s="3">
        <v>1</v>
      </c>
      <c r="E8" s="3">
        <f>32507852.104/2</f>
        <v>16253926.051999999</v>
      </c>
      <c r="F8" s="3">
        <f t="shared" si="1"/>
        <v>8746073.9480000008</v>
      </c>
      <c r="G8" s="9">
        <f t="shared" si="0"/>
        <v>0.34984295792000003</v>
      </c>
      <c r="H8" t="s">
        <v>255</v>
      </c>
    </row>
    <row r="9" spans="1:11" x14ac:dyDescent="0.35">
      <c r="A9" s="57">
        <v>44490</v>
      </c>
      <c r="B9" t="s">
        <v>191</v>
      </c>
      <c r="C9" s="3">
        <v>22310000</v>
      </c>
      <c r="D9" s="3">
        <v>1</v>
      </c>
      <c r="E9" s="3">
        <f>32507852.104/2</f>
        <v>16253926.051999999</v>
      </c>
      <c r="F9" s="3">
        <f t="shared" ref="F9" si="2">(C9*D9)-E9</f>
        <v>6056073.9480000008</v>
      </c>
      <c r="G9" s="9">
        <f t="shared" si="0"/>
        <v>0.27145109583146576</v>
      </c>
      <c r="H9" t="s">
        <v>255</v>
      </c>
    </row>
    <row r="10" spans="1:11" x14ac:dyDescent="0.35">
      <c r="A10" s="57">
        <v>44491</v>
      </c>
      <c r="B10" t="s">
        <v>204</v>
      </c>
      <c r="C10" s="3">
        <v>20000</v>
      </c>
      <c r="D10" s="3">
        <v>4000</v>
      </c>
      <c r="E10" s="3">
        <v>71608508.319999993</v>
      </c>
      <c r="F10" s="3">
        <f t="shared" si="1"/>
        <v>8391491.6800000072</v>
      </c>
      <c r="G10" s="9">
        <f t="shared" si="0"/>
        <v>0.10489364600000009</v>
      </c>
      <c r="H10" t="s">
        <v>255</v>
      </c>
    </row>
    <row r="11" spans="1:11" x14ac:dyDescent="0.35">
      <c r="A11" s="57">
        <v>44493</v>
      </c>
      <c r="B11" t="s">
        <v>193</v>
      </c>
      <c r="C11" s="3">
        <v>23770000</v>
      </c>
      <c r="D11" s="3">
        <v>2</v>
      </c>
      <c r="E11" s="3">
        <f>107903489.24126*(2/6)</f>
        <v>35967829.747086667</v>
      </c>
      <c r="F11" s="3">
        <f t="shared" ref="F11:F16" si="3">(C11*D11)-E11</f>
        <v>11572170.252913333</v>
      </c>
      <c r="G11" s="9">
        <f t="shared" si="0"/>
        <v>0.24341965193338944</v>
      </c>
      <c r="H11" t="s">
        <v>255</v>
      </c>
    </row>
    <row r="12" spans="1:11" x14ac:dyDescent="0.35">
      <c r="A12" s="57">
        <v>44494</v>
      </c>
      <c r="B12" t="s">
        <v>204</v>
      </c>
      <c r="C12" s="3">
        <v>20000</v>
      </c>
      <c r="D12" s="3">
        <v>3000</v>
      </c>
      <c r="E12" s="3">
        <f>70072261.64*(3/4)</f>
        <v>52554196.230000004</v>
      </c>
      <c r="F12" s="3">
        <f t="shared" si="3"/>
        <v>7445803.7699999958</v>
      </c>
      <c r="G12" s="9">
        <f t="shared" si="0"/>
        <v>0.12409672949999993</v>
      </c>
      <c r="H12" t="s">
        <v>255</v>
      </c>
    </row>
    <row r="13" spans="1:11" x14ac:dyDescent="0.35">
      <c r="A13" s="57">
        <v>44494</v>
      </c>
      <c r="B13" t="s">
        <v>193</v>
      </c>
      <c r="C13" s="3">
        <v>23330000</v>
      </c>
      <c r="D13" s="3">
        <v>2</v>
      </c>
      <c r="E13" s="3">
        <f>107903489.24126*(2/6)</f>
        <v>35967829.747086667</v>
      </c>
      <c r="F13" s="3">
        <f t="shared" si="3"/>
        <v>10692170.252913333</v>
      </c>
      <c r="G13" s="9">
        <f t="shared" si="0"/>
        <v>0.22915066980097157</v>
      </c>
      <c r="H13" t="s">
        <v>255</v>
      </c>
    </row>
    <row r="14" spans="1:11" x14ac:dyDescent="0.35">
      <c r="A14" s="57">
        <v>44494</v>
      </c>
      <c r="B14" t="s">
        <v>193</v>
      </c>
      <c r="C14" s="3">
        <v>23320000</v>
      </c>
      <c r="D14" s="3">
        <v>1</v>
      </c>
      <c r="E14" s="3">
        <f>107903489.24126*(1/6)</f>
        <v>17983914.873543333</v>
      </c>
      <c r="F14" s="3">
        <f t="shared" si="3"/>
        <v>5336085.1264566667</v>
      </c>
      <c r="G14" s="9">
        <f t="shared" si="0"/>
        <v>0.22882011691495141</v>
      </c>
      <c r="H14" t="s">
        <v>255</v>
      </c>
    </row>
    <row r="15" spans="1:11" x14ac:dyDescent="0.35">
      <c r="A15" s="57">
        <v>44494</v>
      </c>
      <c r="B15" t="s">
        <v>193</v>
      </c>
      <c r="C15" s="3">
        <v>23260000</v>
      </c>
      <c r="D15" s="3">
        <v>1</v>
      </c>
      <c r="E15" s="3">
        <f>107903489.24126*(1/6)</f>
        <v>17983914.873543333</v>
      </c>
      <c r="F15" s="3">
        <f t="shared" si="3"/>
        <v>5276085.1264566667</v>
      </c>
      <c r="G15" s="9">
        <f t="shared" si="0"/>
        <v>0.22683083088807682</v>
      </c>
      <c r="H15" t="s">
        <v>255</v>
      </c>
    </row>
    <row r="16" spans="1:11" x14ac:dyDescent="0.35">
      <c r="A16" s="57">
        <v>44496</v>
      </c>
      <c r="B16" t="s">
        <v>204</v>
      </c>
      <c r="C16" s="3">
        <v>18200</v>
      </c>
      <c r="D16" s="3">
        <v>4000</v>
      </c>
      <c r="E16" s="3">
        <f>70072261.64*(4/4)</f>
        <v>70072261.640000001</v>
      </c>
      <c r="F16" s="3">
        <f t="shared" si="3"/>
        <v>2727738.3599999994</v>
      </c>
      <c r="G16" s="9">
        <f t="shared" si="0"/>
        <v>3.7468933516483512E-2</v>
      </c>
      <c r="H16" t="s">
        <v>255</v>
      </c>
    </row>
    <row r="17" spans="1:10" x14ac:dyDescent="0.35">
      <c r="A17" t="s">
        <v>287</v>
      </c>
      <c r="D17" s="3">
        <f>E17-F17</f>
        <v>597951633.44052005</v>
      </c>
      <c r="E17" s="3" cm="1">
        <f t="array" ref="E17">SUM(ABS(E2:E16))</f>
        <v>699960816.72026002</v>
      </c>
      <c r="F17" s="3">
        <f>SUM(F2:F16)</f>
        <v>102009183.27973999</v>
      </c>
      <c r="G17" s="9"/>
      <c r="J17" s="9">
        <f>F17/(F17+E17)</f>
        <v>0.12719825340067584</v>
      </c>
    </row>
    <row r="18" spans="1:10" x14ac:dyDescent="0.35">
      <c r="A18" s="57">
        <v>44502</v>
      </c>
      <c r="B18" t="s">
        <v>193</v>
      </c>
      <c r="C18" s="3">
        <v>25060000</v>
      </c>
      <c r="D18" s="3">
        <v>1</v>
      </c>
      <c r="E18" s="3">
        <f>103691377.57/(2*3)</f>
        <v>17281896.261666667</v>
      </c>
      <c r="F18" s="3">
        <f>(C18*D18)-E18</f>
        <v>7778103.7383333333</v>
      </c>
      <c r="G18" s="9">
        <f>F18/(E18+F18)</f>
        <v>0.31037923935887202</v>
      </c>
      <c r="H18" t="s">
        <v>288</v>
      </c>
    </row>
    <row r="19" spans="1:10" x14ac:dyDescent="0.35">
      <c r="A19" s="57">
        <v>44503</v>
      </c>
      <c r="B19" t="s">
        <v>193</v>
      </c>
      <c r="C19" s="3">
        <v>23300000</v>
      </c>
      <c r="D19" s="3">
        <v>2</v>
      </c>
      <c r="E19" s="3">
        <f>103691377.57*(2/(2*3))</f>
        <v>34563792.523333326</v>
      </c>
      <c r="F19" s="3">
        <f>(C19*D19)-E19</f>
        <v>12036207.476666674</v>
      </c>
      <c r="G19" s="9">
        <f t="shared" ref="G19:G29" si="4">F19/(E19+F19)</f>
        <v>0.25828771409155954</v>
      </c>
      <c r="H19" t="s">
        <v>288</v>
      </c>
    </row>
    <row r="20" spans="1:10" x14ac:dyDescent="0.35">
      <c r="A20" s="57">
        <v>44504</v>
      </c>
      <c r="B20" t="s">
        <v>193</v>
      </c>
      <c r="C20" s="3">
        <v>23290000</v>
      </c>
      <c r="D20" s="3">
        <v>1</v>
      </c>
      <c r="E20" s="3">
        <f>103691377.57/(2*3)</f>
        <v>17281896.261666667</v>
      </c>
      <c r="F20" s="3">
        <f>(C20*D20)-E20</f>
        <v>6008103.7383333333</v>
      </c>
      <c r="G20" s="9">
        <f t="shared" si="4"/>
        <v>0.25796924595677689</v>
      </c>
      <c r="H20" t="s">
        <v>288</v>
      </c>
    </row>
    <row r="21" spans="1:10" x14ac:dyDescent="0.35">
      <c r="A21" s="57">
        <v>44505</v>
      </c>
      <c r="B21" t="s">
        <v>191</v>
      </c>
      <c r="C21" s="3">
        <v>24080000</v>
      </c>
      <c r="D21" s="3">
        <v>1</v>
      </c>
      <c r="E21" s="3">
        <f>66823980.23/4</f>
        <v>16705995.057499999</v>
      </c>
      <c r="F21" s="3">
        <f>(C21*D21)-E21</f>
        <v>7374004.9425000008</v>
      </c>
      <c r="G21" s="9">
        <f t="shared" si="4"/>
        <v>0.30622944113372097</v>
      </c>
      <c r="H21" t="s">
        <v>288</v>
      </c>
    </row>
    <row r="22" spans="1:10" x14ac:dyDescent="0.35">
      <c r="A22" s="57">
        <v>44505</v>
      </c>
      <c r="B22" t="s">
        <v>191</v>
      </c>
      <c r="C22" s="3">
        <v>24070000</v>
      </c>
      <c r="D22" s="3">
        <v>1</v>
      </c>
      <c r="E22" s="3">
        <f>66823980.23/4</f>
        <v>16705995.057499999</v>
      </c>
      <c r="F22" s="3">
        <f>(C22*D22)-E22</f>
        <v>7364004.9425000008</v>
      </c>
      <c r="G22" s="9">
        <f t="shared" si="4"/>
        <v>0.30594121073950981</v>
      </c>
      <c r="H22" t="s">
        <v>288</v>
      </c>
    </row>
    <row r="23" spans="1:10" x14ac:dyDescent="0.35">
      <c r="A23" s="57">
        <v>44506</v>
      </c>
      <c r="B23" t="s">
        <v>191</v>
      </c>
      <c r="C23" s="3">
        <v>24010000</v>
      </c>
      <c r="D23" s="3">
        <v>1</v>
      </c>
      <c r="E23" s="3">
        <f>66823980.23/4</f>
        <v>16705995.057499999</v>
      </c>
      <c r="F23" s="3">
        <f t="shared" ref="F23:F24" si="5">(C23*D23)-E23</f>
        <v>7304004.9425000008</v>
      </c>
      <c r="G23" s="9">
        <f t="shared" si="4"/>
        <v>0.30420678644314875</v>
      </c>
      <c r="H23" t="s">
        <v>288</v>
      </c>
    </row>
    <row r="24" spans="1:10" x14ac:dyDescent="0.35">
      <c r="A24" s="57">
        <v>44506</v>
      </c>
      <c r="B24" t="s">
        <v>193</v>
      </c>
      <c r="C24" s="3">
        <v>23670000</v>
      </c>
      <c r="D24" s="3">
        <v>2</v>
      </c>
      <c r="E24" s="3">
        <f>103691377.57*(D24/SUM(D24,D18:D20))</f>
        <v>34563792.523333326</v>
      </c>
      <c r="F24" s="3">
        <f t="shared" si="5"/>
        <v>12776207.476666674</v>
      </c>
      <c r="G24" s="9">
        <f t="shared" si="4"/>
        <v>0.26988186473736109</v>
      </c>
      <c r="H24" t="s">
        <v>288</v>
      </c>
    </row>
    <row r="25" spans="1:10" x14ac:dyDescent="0.35">
      <c r="A25" s="57">
        <v>44506</v>
      </c>
      <c r="B25" t="s">
        <v>191</v>
      </c>
      <c r="C25" s="3">
        <v>24000000</v>
      </c>
      <c r="D25" s="3">
        <v>1</v>
      </c>
      <c r="E25" s="3">
        <f>66823980.23/4</f>
        <v>16705995.057499999</v>
      </c>
      <c r="F25" s="3">
        <f t="shared" ref="F25" si="6">(C25*D25)-E25</f>
        <v>7294004.9425000008</v>
      </c>
      <c r="G25" s="9">
        <f t="shared" si="4"/>
        <v>0.30391687260416672</v>
      </c>
      <c r="H25" t="s">
        <v>288</v>
      </c>
    </row>
    <row r="26" spans="1:10" x14ac:dyDescent="0.35">
      <c r="A26" s="57">
        <v>44506</v>
      </c>
      <c r="B26" t="s">
        <v>238</v>
      </c>
      <c r="C26" s="3">
        <v>20330000</v>
      </c>
      <c r="D26" s="3">
        <v>1</v>
      </c>
      <c r="E26" s="3">
        <f>46825748.76/4</f>
        <v>11706437.189999999</v>
      </c>
      <c r="F26" s="3">
        <f>(C26*D26)-E26</f>
        <v>8623562.8100000005</v>
      </c>
      <c r="G26" s="9">
        <f t="shared" si="4"/>
        <v>0.42417918396458437</v>
      </c>
      <c r="H26" t="s">
        <v>288</v>
      </c>
      <c r="J26" s="2"/>
    </row>
    <row r="27" spans="1:10" x14ac:dyDescent="0.35">
      <c r="A27" s="57">
        <v>44506</v>
      </c>
      <c r="B27" t="s">
        <v>238</v>
      </c>
      <c r="C27" s="3">
        <v>20320000</v>
      </c>
      <c r="D27" s="3">
        <v>1</v>
      </c>
      <c r="E27" s="3">
        <f t="shared" ref="E27:E29" si="7">46825748.76/4</f>
        <v>11706437.189999999</v>
      </c>
      <c r="F27" s="3">
        <f t="shared" ref="F27:F29" si="8">(C27*D27)-E27</f>
        <v>8613562.8100000005</v>
      </c>
      <c r="G27" s="9">
        <f t="shared" si="4"/>
        <v>0.42389580757874018</v>
      </c>
      <c r="H27" t="s">
        <v>288</v>
      </c>
    </row>
    <row r="28" spans="1:10" x14ac:dyDescent="0.35">
      <c r="A28" s="57">
        <v>44506</v>
      </c>
      <c r="B28" t="s">
        <v>238</v>
      </c>
      <c r="C28" s="3">
        <v>20310000</v>
      </c>
      <c r="D28" s="3">
        <v>1</v>
      </c>
      <c r="E28" s="3">
        <f t="shared" si="7"/>
        <v>11706437.189999999</v>
      </c>
      <c r="F28" s="3">
        <f t="shared" si="8"/>
        <v>8603562.8100000005</v>
      </c>
      <c r="G28" s="9">
        <f t="shared" si="4"/>
        <v>0.42361215214180209</v>
      </c>
      <c r="H28" t="s">
        <v>288</v>
      </c>
    </row>
    <row r="29" spans="1:10" x14ac:dyDescent="0.35">
      <c r="A29" s="57">
        <v>44506</v>
      </c>
      <c r="B29" t="s">
        <v>238</v>
      </c>
      <c r="C29" s="3">
        <v>20200000</v>
      </c>
      <c r="D29" s="3">
        <v>1</v>
      </c>
      <c r="E29" s="3">
        <f t="shared" si="7"/>
        <v>11706437.189999999</v>
      </c>
      <c r="F29" s="3">
        <f t="shared" si="8"/>
        <v>8493562.8100000005</v>
      </c>
      <c r="G29" s="9">
        <f t="shared" si="4"/>
        <v>0.42047340643564357</v>
      </c>
      <c r="H29" t="s">
        <v>288</v>
      </c>
    </row>
    <row r="30" spans="1:10" x14ac:dyDescent="0.35">
      <c r="A30" s="57">
        <v>44511</v>
      </c>
      <c r="B30" t="s">
        <v>191</v>
      </c>
      <c r="C30" s="3">
        <v>25530000</v>
      </c>
      <c r="D30" s="3">
        <v>1</v>
      </c>
      <c r="E30" s="3">
        <f>146552807.26/8</f>
        <v>18319100.907499999</v>
      </c>
      <c r="F30" s="3">
        <f t="shared" ref="F30:F35" si="9">(C30*D30)-E30</f>
        <v>7210899.0925000012</v>
      </c>
      <c r="G30" s="9">
        <f t="shared" ref="G30:G35" si="10">F30/(E30+F30)</f>
        <v>0.28244806472777129</v>
      </c>
      <c r="H30" t="s">
        <v>288</v>
      </c>
    </row>
    <row r="31" spans="1:10" x14ac:dyDescent="0.35">
      <c r="A31" s="57">
        <v>44511</v>
      </c>
      <c r="B31" t="s">
        <v>191</v>
      </c>
      <c r="C31" s="3">
        <v>25520000</v>
      </c>
      <c r="D31" s="3">
        <v>2</v>
      </c>
      <c r="E31" s="3">
        <f>146552807.26*(2/8)</f>
        <v>36638201.814999998</v>
      </c>
      <c r="F31" s="3">
        <f t="shared" si="9"/>
        <v>14401798.185000002</v>
      </c>
      <c r="G31" s="9">
        <f t="shared" si="10"/>
        <v>0.28216689233934172</v>
      </c>
      <c r="H31" t="s">
        <v>288</v>
      </c>
    </row>
    <row r="32" spans="1:10" x14ac:dyDescent="0.35">
      <c r="A32" s="57">
        <v>44511</v>
      </c>
      <c r="B32" t="s">
        <v>191</v>
      </c>
      <c r="C32" s="3">
        <v>25500000</v>
      </c>
      <c r="D32" s="3">
        <v>1</v>
      </c>
      <c r="E32" s="3">
        <f>146552807.26/8</f>
        <v>18319100.907499999</v>
      </c>
      <c r="F32" s="3">
        <f t="shared" si="9"/>
        <v>7180899.0925000012</v>
      </c>
      <c r="G32" s="9">
        <f t="shared" si="10"/>
        <v>0.28160388598039221</v>
      </c>
      <c r="H32" t="s">
        <v>288</v>
      </c>
    </row>
    <row r="33" spans="1:8" x14ac:dyDescent="0.35">
      <c r="A33" s="57">
        <v>44511</v>
      </c>
      <c r="B33" t="s">
        <v>191</v>
      </c>
      <c r="C33" s="3">
        <v>25420000</v>
      </c>
      <c r="D33" s="3">
        <v>1</v>
      </c>
      <c r="E33" s="3">
        <f>146552807.26/8</f>
        <v>18319100.907499999</v>
      </c>
      <c r="F33" s="3">
        <f t="shared" si="9"/>
        <v>7100899.0925000012</v>
      </c>
      <c r="G33" s="9">
        <f t="shared" si="10"/>
        <v>0.27934300127852091</v>
      </c>
      <c r="H33" t="s">
        <v>288</v>
      </c>
    </row>
    <row r="34" spans="1:8" x14ac:dyDescent="0.35">
      <c r="A34" s="57">
        <v>44511</v>
      </c>
      <c r="B34" t="s">
        <v>191</v>
      </c>
      <c r="C34" s="3">
        <v>24040000</v>
      </c>
      <c r="D34" s="3">
        <v>1</v>
      </c>
      <c r="E34" s="3">
        <f>146552807.26/8</f>
        <v>18319100.907499999</v>
      </c>
      <c r="F34" s="3">
        <f t="shared" si="9"/>
        <v>5720899.0925000012</v>
      </c>
      <c r="G34" s="9">
        <f t="shared" si="10"/>
        <v>0.2379741719009984</v>
      </c>
      <c r="H34" t="s">
        <v>288</v>
      </c>
    </row>
    <row r="35" spans="1:8" x14ac:dyDescent="0.35">
      <c r="A35" s="57">
        <v>44511</v>
      </c>
      <c r="B35" t="s">
        <v>191</v>
      </c>
      <c r="C35" s="3">
        <v>24000000</v>
      </c>
      <c r="D35" s="3">
        <v>2</v>
      </c>
      <c r="E35" s="3">
        <f>146552807.26*(2/8)</f>
        <v>36638201.814999998</v>
      </c>
      <c r="F35" s="3">
        <f t="shared" si="9"/>
        <v>11361798.185000002</v>
      </c>
      <c r="G35" s="9">
        <f t="shared" si="10"/>
        <v>0.23670412885416672</v>
      </c>
      <c r="H35" t="s">
        <v>288</v>
      </c>
    </row>
    <row r="36" spans="1:8" x14ac:dyDescent="0.35">
      <c r="A36" s="57">
        <v>44511</v>
      </c>
      <c r="B36" t="s">
        <v>238</v>
      </c>
      <c r="C36" s="3">
        <v>20290000</v>
      </c>
      <c r="D36" s="3">
        <v>3</v>
      </c>
      <c r="E36" s="3">
        <f>127273513.1*(3/10)</f>
        <v>38182053.93</v>
      </c>
      <c r="F36" s="3">
        <f t="shared" ref="F36:F39" si="11">(C36*D36)-E36</f>
        <v>22687946.07</v>
      </c>
      <c r="G36" s="9">
        <f t="shared" ref="G36:G39" si="12">F36/(E36+F36)</f>
        <v>0.37272788023656972</v>
      </c>
      <c r="H36" t="s">
        <v>288</v>
      </c>
    </row>
    <row r="37" spans="1:8" x14ac:dyDescent="0.35">
      <c r="A37" s="57">
        <v>44511</v>
      </c>
      <c r="B37" t="s">
        <v>238</v>
      </c>
      <c r="C37" s="3">
        <v>20200000</v>
      </c>
      <c r="D37" s="3">
        <v>4</v>
      </c>
      <c r="E37" s="3">
        <f>127273513.1*(4/10)</f>
        <v>50909405.240000002</v>
      </c>
      <c r="F37" s="3">
        <f t="shared" si="11"/>
        <v>29890594.759999998</v>
      </c>
      <c r="G37" s="9">
        <f t="shared" si="12"/>
        <v>0.36993310346534652</v>
      </c>
      <c r="H37" t="s">
        <v>288</v>
      </c>
    </row>
    <row r="38" spans="1:8" x14ac:dyDescent="0.35">
      <c r="A38" s="57">
        <v>44511</v>
      </c>
      <c r="B38" t="s">
        <v>238</v>
      </c>
      <c r="C38" s="3">
        <v>20250000</v>
      </c>
      <c r="D38" s="3">
        <v>1</v>
      </c>
      <c r="E38" s="3">
        <f>127273513.1*(1/10)</f>
        <v>12727351.310000001</v>
      </c>
      <c r="F38" s="3">
        <f t="shared" si="11"/>
        <v>7522648.6899999995</v>
      </c>
      <c r="G38" s="9">
        <f t="shared" si="12"/>
        <v>0.37148882419753082</v>
      </c>
      <c r="H38" t="s">
        <v>288</v>
      </c>
    </row>
    <row r="39" spans="1:8" x14ac:dyDescent="0.35">
      <c r="A39" s="57">
        <v>44511</v>
      </c>
      <c r="B39" t="s">
        <v>238</v>
      </c>
      <c r="C39" s="3">
        <v>20280000</v>
      </c>
      <c r="D39" s="3">
        <v>1</v>
      </c>
      <c r="E39" s="3">
        <f>127273513.1*(1/10)</f>
        <v>12727351.310000001</v>
      </c>
      <c r="F39" s="3">
        <f t="shared" si="11"/>
        <v>7552648.6899999995</v>
      </c>
      <c r="G39" s="9">
        <f t="shared" si="12"/>
        <v>0.37241857445759369</v>
      </c>
      <c r="H39" t="s">
        <v>288</v>
      </c>
    </row>
    <row r="40" spans="1:8" x14ac:dyDescent="0.35">
      <c r="A40" s="57">
        <v>44511</v>
      </c>
      <c r="B40" t="s">
        <v>238</v>
      </c>
      <c r="C40" s="3">
        <v>20130000</v>
      </c>
      <c r="D40" s="3">
        <v>1</v>
      </c>
      <c r="E40" s="3">
        <f>127273513.1*(1/10)</f>
        <v>12727351.310000001</v>
      </c>
      <c r="F40" s="3">
        <f t="shared" ref="F40" si="13">(C40*D40)-E40</f>
        <v>7402648.6899999995</v>
      </c>
      <c r="G40" s="9">
        <f t="shared" ref="G40" si="14">F40/(E40+F40)</f>
        <v>0.36774211077993041</v>
      </c>
      <c r="H40" t="s">
        <v>288</v>
      </c>
    </row>
    <row r="41" spans="1:8" x14ac:dyDescent="0.35">
      <c r="A41" s="57">
        <v>44512</v>
      </c>
      <c r="B41" t="s">
        <v>193</v>
      </c>
      <c r="C41" s="3">
        <v>24640000</v>
      </c>
      <c r="D41" s="3">
        <v>1</v>
      </c>
      <c r="E41" s="3">
        <f>124239965.62*(1/6)</f>
        <v>20706660.936666667</v>
      </c>
      <c r="F41" s="3">
        <f t="shared" ref="F41:F43" si="15">(C41*D41)-E41</f>
        <v>3933339.0633333325</v>
      </c>
      <c r="G41" s="9">
        <f t="shared" ref="G41:G43" si="16">F41/(E41+F41)</f>
        <v>0.15963226718073589</v>
      </c>
      <c r="H41" t="s">
        <v>288</v>
      </c>
    </row>
    <row r="42" spans="1:8" x14ac:dyDescent="0.35">
      <c r="A42" s="57">
        <v>44512</v>
      </c>
      <c r="B42" t="s">
        <v>193</v>
      </c>
      <c r="C42" s="3">
        <v>24540000</v>
      </c>
      <c r="D42" s="3">
        <v>2</v>
      </c>
      <c r="E42" s="3">
        <f>124239965.62*(D42/6)</f>
        <v>41413321.873333335</v>
      </c>
      <c r="F42" s="3">
        <f t="shared" si="15"/>
        <v>7666678.1266666651</v>
      </c>
      <c r="G42" s="9">
        <f t="shared" si="16"/>
        <v>0.15620778579190434</v>
      </c>
      <c r="H42" t="s">
        <v>288</v>
      </c>
    </row>
    <row r="43" spans="1:8" x14ac:dyDescent="0.35">
      <c r="A43" s="57">
        <v>44512</v>
      </c>
      <c r="B43" t="s">
        <v>193</v>
      </c>
      <c r="C43" s="3">
        <v>24010000</v>
      </c>
      <c r="D43" s="3">
        <v>3</v>
      </c>
      <c r="E43" s="3">
        <f>124239965.62*(D43/6)</f>
        <v>62119982.810000002</v>
      </c>
      <c r="F43" s="3">
        <f t="shared" si="15"/>
        <v>9910017.1899999976</v>
      </c>
      <c r="G43" s="9">
        <f t="shared" si="16"/>
        <v>0.13758180188810215</v>
      </c>
      <c r="H43" t="s">
        <v>288</v>
      </c>
    </row>
    <row r="44" spans="1:8" x14ac:dyDescent="0.35">
      <c r="A44" s="57">
        <v>44515</v>
      </c>
      <c r="B44" t="s">
        <v>193</v>
      </c>
      <c r="C44" s="3">
        <v>23450000</v>
      </c>
      <c r="D44" s="3">
        <v>2</v>
      </c>
      <c r="E44" s="3">
        <f>102282716.59*(D44/6)</f>
        <v>34094238.86333333</v>
      </c>
      <c r="F44" s="3">
        <f t="shared" ref="F44:F50" si="17">(C44*D44)-E44</f>
        <v>12805761.13666667</v>
      </c>
      <c r="G44" s="9">
        <f t="shared" ref="G44:G50" si="18">F44/(E44+F44)</f>
        <v>0.27304394747690131</v>
      </c>
      <c r="H44" t="s">
        <v>288</v>
      </c>
    </row>
    <row r="45" spans="1:8" x14ac:dyDescent="0.35">
      <c r="A45" s="57">
        <v>44515</v>
      </c>
      <c r="B45" t="s">
        <v>193</v>
      </c>
      <c r="C45" s="3">
        <v>23440000</v>
      </c>
      <c r="D45" s="3">
        <v>1</v>
      </c>
      <c r="E45" s="3">
        <f>102282716.59*(D45/6)</f>
        <v>17047119.431666665</v>
      </c>
      <c r="F45" s="3">
        <f t="shared" si="17"/>
        <v>6392880.5683333352</v>
      </c>
      <c r="G45" s="9">
        <f t="shared" si="18"/>
        <v>0.27273381264220714</v>
      </c>
      <c r="H45" t="s">
        <v>288</v>
      </c>
    </row>
    <row r="46" spans="1:8" x14ac:dyDescent="0.35">
      <c r="A46" s="57">
        <v>44515</v>
      </c>
      <c r="B46" t="s">
        <v>193</v>
      </c>
      <c r="C46" s="3">
        <v>23420000</v>
      </c>
      <c r="D46" s="3">
        <v>1</v>
      </c>
      <c r="E46" s="3">
        <f t="shared" ref="E46:E48" si="19">102282716.59*(D46/6)</f>
        <v>17047119.431666665</v>
      </c>
      <c r="F46" s="3">
        <f t="shared" si="17"/>
        <v>6372880.5683333352</v>
      </c>
      <c r="G46" s="9">
        <f t="shared" si="18"/>
        <v>0.27211274843438665</v>
      </c>
      <c r="H46" t="s">
        <v>288</v>
      </c>
    </row>
    <row r="47" spans="1:8" x14ac:dyDescent="0.35">
      <c r="A47" s="57">
        <v>44515</v>
      </c>
      <c r="B47" t="s">
        <v>193</v>
      </c>
      <c r="C47" s="3">
        <v>23400000</v>
      </c>
      <c r="D47" s="3">
        <v>1</v>
      </c>
      <c r="E47" s="3">
        <f t="shared" si="19"/>
        <v>17047119.431666665</v>
      </c>
      <c r="F47" s="3">
        <f t="shared" si="17"/>
        <v>6352880.5683333352</v>
      </c>
      <c r="G47" s="9">
        <f t="shared" si="18"/>
        <v>0.27149062257834766</v>
      </c>
      <c r="H47" t="s">
        <v>288</v>
      </c>
    </row>
    <row r="48" spans="1:8" x14ac:dyDescent="0.35">
      <c r="A48" s="57">
        <v>44515</v>
      </c>
      <c r="B48" t="s">
        <v>193</v>
      </c>
      <c r="C48" s="3">
        <v>23350000</v>
      </c>
      <c r="D48" s="3">
        <v>1</v>
      </c>
      <c r="E48" s="3">
        <f t="shared" si="19"/>
        <v>17047119.431666665</v>
      </c>
      <c r="F48" s="3">
        <f t="shared" si="17"/>
        <v>6302880.5683333352</v>
      </c>
      <c r="G48" s="9">
        <f t="shared" si="18"/>
        <v>0.26993064532476813</v>
      </c>
      <c r="H48" t="s">
        <v>288</v>
      </c>
    </row>
    <row r="49" spans="1:11" x14ac:dyDescent="0.35">
      <c r="A49" s="57">
        <v>44515</v>
      </c>
      <c r="B49" t="s">
        <v>238</v>
      </c>
      <c r="C49" s="3">
        <v>22020000</v>
      </c>
      <c r="D49" s="3">
        <v>8</v>
      </c>
      <c r="E49" s="3">
        <f>114828416.32*(D49/10)</f>
        <v>91862733.055999994</v>
      </c>
      <c r="F49" s="3">
        <f t="shared" si="17"/>
        <v>84297266.944000006</v>
      </c>
      <c r="G49" s="9">
        <f t="shared" si="18"/>
        <v>0.47852671970935517</v>
      </c>
      <c r="H49" t="s">
        <v>288</v>
      </c>
    </row>
    <row r="50" spans="1:11" x14ac:dyDescent="0.35">
      <c r="A50" s="57">
        <v>44515</v>
      </c>
      <c r="B50" t="s">
        <v>238</v>
      </c>
      <c r="C50" s="3">
        <v>22010000</v>
      </c>
      <c r="D50" s="3">
        <v>2</v>
      </c>
      <c r="E50" s="3">
        <f>114828416.32*(D50/10)</f>
        <v>22965683.263999999</v>
      </c>
      <c r="F50" s="3">
        <f t="shared" si="17"/>
        <v>21054316.736000001</v>
      </c>
      <c r="G50" s="9">
        <f t="shared" si="18"/>
        <v>0.47828979409359385</v>
      </c>
      <c r="H50" t="s">
        <v>288</v>
      </c>
    </row>
    <row r="51" spans="1:11" x14ac:dyDescent="0.35">
      <c r="A51" s="57">
        <v>44517</v>
      </c>
      <c r="B51" t="s">
        <v>191</v>
      </c>
      <c r="C51" s="3">
        <v>24000000</v>
      </c>
      <c r="D51" s="3">
        <v>1</v>
      </c>
      <c r="E51" s="3">
        <f>66555908.4*(D51/4)</f>
        <v>16638977.1</v>
      </c>
      <c r="F51" s="3">
        <f t="shared" ref="F51" si="20">(C51*D51)-E51</f>
        <v>7361022.9000000004</v>
      </c>
      <c r="G51" s="9">
        <f t="shared" ref="G51" si="21">F51/(E51+F51)</f>
        <v>0.30670928750000004</v>
      </c>
      <c r="H51" t="s">
        <v>288</v>
      </c>
    </row>
    <row r="52" spans="1:11" x14ac:dyDescent="0.35">
      <c r="A52" s="57">
        <v>44517</v>
      </c>
      <c r="B52" t="s">
        <v>191</v>
      </c>
      <c r="C52" s="3">
        <v>25000000</v>
      </c>
      <c r="D52" s="3">
        <v>1</v>
      </c>
      <c r="E52" s="3">
        <f>66555908.4*(D52/4)</f>
        <v>16638977.1</v>
      </c>
      <c r="F52" s="3">
        <f t="shared" ref="F52" si="22">(C52*D52)-E52</f>
        <v>8361022.9000000004</v>
      </c>
      <c r="G52" s="9">
        <f t="shared" ref="G52" si="23">F52/(E52+F52)</f>
        <v>0.33444091600000003</v>
      </c>
      <c r="H52" t="s">
        <v>288</v>
      </c>
    </row>
    <row r="53" spans="1:11" x14ac:dyDescent="0.35">
      <c r="A53" s="57">
        <v>44517</v>
      </c>
      <c r="B53" t="s">
        <v>191</v>
      </c>
      <c r="C53" s="3">
        <v>23030000</v>
      </c>
      <c r="D53" s="3">
        <v>1</v>
      </c>
      <c r="E53" s="3">
        <f t="shared" ref="E53:E54" si="24">66555908.4*(D53/4)</f>
        <v>16638977.1</v>
      </c>
      <c r="F53" s="3">
        <f t="shared" ref="F53:F55" si="25">(C53*D53)-E53</f>
        <v>6391022.9000000004</v>
      </c>
      <c r="G53" s="9">
        <f t="shared" ref="G53:G55" si="26">F53/(E53+F53)</f>
        <v>0.27750859313938342</v>
      </c>
      <c r="H53" t="s">
        <v>288</v>
      </c>
    </row>
    <row r="54" spans="1:11" x14ac:dyDescent="0.35">
      <c r="A54" s="57">
        <v>44517</v>
      </c>
      <c r="B54" t="s">
        <v>191</v>
      </c>
      <c r="C54" s="3">
        <v>23000000</v>
      </c>
      <c r="D54" s="3">
        <v>1</v>
      </c>
      <c r="E54" s="3">
        <f t="shared" si="24"/>
        <v>16638977.1</v>
      </c>
      <c r="F54" s="3">
        <f t="shared" si="25"/>
        <v>6361022.9000000004</v>
      </c>
      <c r="G54" s="9">
        <f t="shared" si="26"/>
        <v>0.27656621304347828</v>
      </c>
      <c r="H54" t="s">
        <v>288</v>
      </c>
    </row>
    <row r="55" spans="1:11" x14ac:dyDescent="0.35">
      <c r="A55" s="57">
        <v>44519</v>
      </c>
      <c r="B55" t="s">
        <v>193</v>
      </c>
      <c r="C55" s="3">
        <v>25160000</v>
      </c>
      <c r="D55" s="3">
        <v>3</v>
      </c>
      <c r="E55" s="3">
        <f>106945774.53*(D55/6)</f>
        <v>53472887.265000001</v>
      </c>
      <c r="F55" s="3">
        <f t="shared" si="25"/>
        <v>22007112.734999999</v>
      </c>
      <c r="G55" s="9">
        <f t="shared" si="26"/>
        <v>0.29156217189984102</v>
      </c>
      <c r="H55" t="s">
        <v>288</v>
      </c>
    </row>
    <row r="56" spans="1:11" x14ac:dyDescent="0.35">
      <c r="A56" s="57">
        <v>44519</v>
      </c>
      <c r="B56" t="s">
        <v>193</v>
      </c>
      <c r="C56" s="3">
        <v>25150000</v>
      </c>
      <c r="D56" s="3">
        <v>1</v>
      </c>
      <c r="E56" s="3">
        <f>106945774.53*(D56/6)</f>
        <v>17824295.754999999</v>
      </c>
      <c r="F56" s="3">
        <f t="shared" ref="F56" si="27">(C56*D56)-E56</f>
        <v>7325704.245000001</v>
      </c>
      <c r="G56" s="9">
        <f t="shared" ref="G56" si="28">F56/(E56+F56)</f>
        <v>0.29128048687872765</v>
      </c>
      <c r="H56" t="s">
        <v>288</v>
      </c>
    </row>
    <row r="57" spans="1:11" x14ac:dyDescent="0.35">
      <c r="A57" s="57">
        <v>44519</v>
      </c>
      <c r="B57" t="s">
        <v>193</v>
      </c>
      <c r="C57" s="3">
        <v>25120000</v>
      </c>
      <c r="D57" s="3">
        <v>2</v>
      </c>
      <c r="E57" s="3">
        <f>106945774.53*(D57/6)</f>
        <v>35648591.509999998</v>
      </c>
      <c r="F57" s="3">
        <f t="shared" ref="F57" si="29">(C57*D57)-E57</f>
        <v>14591408.490000002</v>
      </c>
      <c r="G57" s="9">
        <f>F57/(E57+F57)</f>
        <v>0.29043408618630578</v>
      </c>
      <c r="H57" t="s">
        <v>288</v>
      </c>
    </row>
    <row r="58" spans="1:11" x14ac:dyDescent="0.35">
      <c r="A58" s="57">
        <v>44521</v>
      </c>
      <c r="B58" t="s">
        <v>238</v>
      </c>
      <c r="C58" s="3">
        <v>20630000</v>
      </c>
      <c r="D58" s="3">
        <v>2</v>
      </c>
      <c r="E58" s="3">
        <f>75943660.16*(D58/6)</f>
        <v>25314553.386666663</v>
      </c>
      <c r="F58" s="3">
        <f t="shared" ref="F58" si="30">(C58*D58)-E58</f>
        <v>15945446.613333337</v>
      </c>
      <c r="G58" s="9">
        <f>F58/(E58+F58)</f>
        <v>0.38646259363386665</v>
      </c>
      <c r="H58" t="s">
        <v>288</v>
      </c>
    </row>
    <row r="59" spans="1:11" x14ac:dyDescent="0.35">
      <c r="A59" s="57">
        <v>44521</v>
      </c>
      <c r="B59" t="s">
        <v>238</v>
      </c>
      <c r="C59" s="3">
        <v>20610000</v>
      </c>
      <c r="D59" s="3">
        <v>2</v>
      </c>
      <c r="E59" s="3">
        <f>75943660.16*(D59/6)</f>
        <v>25314553.386666663</v>
      </c>
      <c r="F59" s="3">
        <f t="shared" ref="F59:F61" si="31">(C59*D59)-E59</f>
        <v>15905446.613333337</v>
      </c>
      <c r="G59" s="9">
        <f t="shared" ref="G59:G61" si="32">F59/(E59+F59)</f>
        <v>0.38586721526766948</v>
      </c>
      <c r="H59" t="s">
        <v>288</v>
      </c>
    </row>
    <row r="60" spans="1:11" x14ac:dyDescent="0.35">
      <c r="A60" s="57">
        <v>44521</v>
      </c>
      <c r="B60" t="s">
        <v>238</v>
      </c>
      <c r="C60" s="3">
        <v>20600000</v>
      </c>
      <c r="D60" s="3">
        <v>2</v>
      </c>
      <c r="E60" s="3">
        <f>75943660.16*(D60/6)</f>
        <v>25314553.386666663</v>
      </c>
      <c r="F60" s="3">
        <f t="shared" si="31"/>
        <v>15885446.613333337</v>
      </c>
      <c r="G60" s="9">
        <f t="shared" si="32"/>
        <v>0.38556909255663441</v>
      </c>
      <c r="H60" t="s">
        <v>288</v>
      </c>
    </row>
    <row r="61" spans="1:11" x14ac:dyDescent="0.35">
      <c r="A61" s="57">
        <v>44521</v>
      </c>
      <c r="B61" t="s">
        <v>291</v>
      </c>
      <c r="C61" s="3">
        <v>22000000</v>
      </c>
      <c r="D61" s="3">
        <v>3</v>
      </c>
      <c r="E61" s="3">
        <f>63897759.99*(D61/3)</f>
        <v>63897759.990000002</v>
      </c>
      <c r="F61" s="3">
        <f t="shared" si="31"/>
        <v>2102240.0099999979</v>
      </c>
      <c r="G61" s="9">
        <f t="shared" si="32"/>
        <v>3.1852121363636333E-2</v>
      </c>
      <c r="H61" t="s">
        <v>288</v>
      </c>
    </row>
    <row r="62" spans="1:11" x14ac:dyDescent="0.35">
      <c r="A62" s="57">
        <v>44523</v>
      </c>
      <c r="B62" t="s">
        <v>231</v>
      </c>
      <c r="C62" s="3">
        <v>127200</v>
      </c>
      <c r="D62" s="3">
        <v>420</v>
      </c>
      <c r="E62" s="3">
        <f>99788200*(D62/1000)+C62*K1</f>
        <v>41915623.200000003</v>
      </c>
      <c r="F62" s="3">
        <f t="shared" ref="F62:F65" si="33">(C62*D62)-E62</f>
        <v>11508376.799999997</v>
      </c>
      <c r="G62" s="9">
        <f t="shared" ref="G62:G65" si="34">F62/(E62+F62)</f>
        <v>0.21541585804132968</v>
      </c>
      <c r="H62" t="s">
        <v>288</v>
      </c>
    </row>
    <row r="63" spans="1:11" x14ac:dyDescent="0.35">
      <c r="A63" s="57">
        <v>44523</v>
      </c>
      <c r="B63" t="s">
        <v>231</v>
      </c>
      <c r="C63" s="3">
        <v>127100</v>
      </c>
      <c r="D63" s="3">
        <f>1000-D62</f>
        <v>580</v>
      </c>
      <c r="E63" s="3">
        <f>99788200*(D63/1000)+C63*$K$2</f>
        <v>57878986.239999995</v>
      </c>
      <c r="F63" s="3">
        <f t="shared" si="33"/>
        <v>15839013.760000005</v>
      </c>
      <c r="G63" s="9">
        <f t="shared" si="34"/>
        <v>0.21485951545077192</v>
      </c>
      <c r="H63" t="s">
        <v>288</v>
      </c>
    </row>
    <row r="64" spans="1:11" x14ac:dyDescent="0.35">
      <c r="A64" t="s">
        <v>305</v>
      </c>
      <c r="E64" s="3" cm="1">
        <f t="array" ref="E64">SUM(ABS(E18:E63))</f>
        <v>1245656237.9700003</v>
      </c>
      <c r="F64" s="3">
        <f>SUM(F18:F63)</f>
        <v>544975762.02999997</v>
      </c>
      <c r="G64" s="9"/>
      <c r="J64" s="9">
        <f>F64/(F64+E64)</f>
        <v>0.30434827593274322</v>
      </c>
      <c r="K64" s="3">
        <f>F64+E64</f>
        <v>1790632000.0000002</v>
      </c>
    </row>
    <row r="65" spans="1:11" x14ac:dyDescent="0.35">
      <c r="A65" s="57">
        <v>44531</v>
      </c>
      <c r="B65" t="s">
        <v>238</v>
      </c>
      <c r="C65" s="3">
        <v>20500000</v>
      </c>
      <c r="D65" s="3">
        <v>1</v>
      </c>
      <c r="E65" s="3">
        <f>26262819.94073*(D65/2)+(C65*$K$1)</f>
        <v>13869409.970365001</v>
      </c>
      <c r="F65" s="3">
        <f t="shared" si="33"/>
        <v>6630590.0296349991</v>
      </c>
      <c r="G65" s="9">
        <f t="shared" si="34"/>
        <v>0.32344341607975607</v>
      </c>
      <c r="H65" t="s">
        <v>255</v>
      </c>
    </row>
    <row r="66" spans="1:11" x14ac:dyDescent="0.35">
      <c r="A66" s="57">
        <v>44531</v>
      </c>
      <c r="B66" t="s">
        <v>238</v>
      </c>
      <c r="C66" s="3">
        <v>24000000</v>
      </c>
      <c r="D66" s="3">
        <v>1</v>
      </c>
      <c r="E66" s="3">
        <f>26262819.94073*(D66/2)+(C66*$K$1)</f>
        <v>13995409.970365001</v>
      </c>
      <c r="F66" s="3">
        <f t="shared" ref="F66" si="35">(C66*D66)-E66</f>
        <v>10004590.029634999</v>
      </c>
      <c r="G66" s="9">
        <f t="shared" ref="G66" si="36">F66/(E66+F66)</f>
        <v>0.41685791790145832</v>
      </c>
      <c r="H66" t="s">
        <v>255</v>
      </c>
    </row>
    <row r="67" spans="1:11" x14ac:dyDescent="0.35">
      <c r="A67" s="57">
        <v>44532</v>
      </c>
      <c r="B67" t="s">
        <v>191</v>
      </c>
      <c r="C67" s="3">
        <v>24140000</v>
      </c>
      <c r="D67" s="3">
        <v>2</v>
      </c>
      <c r="E67" s="3">
        <f>133781386.57*(D67/8)+(C67*$K$1)</f>
        <v>34314386.642499998</v>
      </c>
      <c r="F67" s="3">
        <f t="shared" ref="F67" si="37">(C67*D67)-E67</f>
        <v>13965613.357500002</v>
      </c>
      <c r="G67" s="9">
        <f t="shared" ref="G67" si="38">F67/(E67+F67)</f>
        <v>0.28926291129867443</v>
      </c>
      <c r="H67" t="s">
        <v>255</v>
      </c>
    </row>
    <row r="68" spans="1:11" x14ac:dyDescent="0.35">
      <c r="A68" s="57">
        <v>44532</v>
      </c>
      <c r="B68" t="s">
        <v>191</v>
      </c>
      <c r="C68" s="3">
        <v>24130000</v>
      </c>
      <c r="D68" s="3">
        <v>4</v>
      </c>
      <c r="E68" s="3">
        <f>133781386.57*(D68/8)+(C68*$K$1)</f>
        <v>67759373.284999996</v>
      </c>
      <c r="F68" s="3">
        <f t="shared" ref="F68:F71" si="39">(C68*D68)-E68</f>
        <v>28760626.715000004</v>
      </c>
      <c r="G68" s="9">
        <f t="shared" ref="G68:G72" si="40">F68/(E68+F68)</f>
        <v>0.29797582589100707</v>
      </c>
      <c r="H68" t="s">
        <v>255</v>
      </c>
    </row>
    <row r="69" spans="1:11" x14ac:dyDescent="0.35">
      <c r="A69" s="57">
        <v>44532</v>
      </c>
      <c r="B69" t="s">
        <v>191</v>
      </c>
      <c r="C69" s="3">
        <v>24100000</v>
      </c>
      <c r="D69" s="3">
        <v>1</v>
      </c>
      <c r="E69" s="3">
        <f>133781386.57*(D69/8)+(C69*$K$1)</f>
        <v>17590273.321249999</v>
      </c>
      <c r="F69" s="3">
        <f t="shared" si="39"/>
        <v>6509726.6787500009</v>
      </c>
      <c r="G69" s="9">
        <f t="shared" si="40"/>
        <v>0.27011314019709548</v>
      </c>
      <c r="H69" t="s">
        <v>255</v>
      </c>
    </row>
    <row r="70" spans="1:11" x14ac:dyDescent="0.35">
      <c r="A70" s="57">
        <v>44532</v>
      </c>
      <c r="B70" t="s">
        <v>191</v>
      </c>
      <c r="C70" s="3">
        <v>23770000</v>
      </c>
      <c r="D70" s="3">
        <v>1</v>
      </c>
      <c r="E70" s="3">
        <f>133781386.57*(D70/8)+(C70*$K$1)</f>
        <v>17578393.321249999</v>
      </c>
      <c r="F70" s="3">
        <f t="shared" si="39"/>
        <v>6191606.6787500009</v>
      </c>
      <c r="G70" s="9">
        <f t="shared" si="40"/>
        <v>0.26047987710349185</v>
      </c>
      <c r="H70" t="s">
        <v>255</v>
      </c>
    </row>
    <row r="71" spans="1:11" x14ac:dyDescent="0.35">
      <c r="A71" s="57">
        <v>44533</v>
      </c>
      <c r="B71" t="s">
        <v>280</v>
      </c>
      <c r="C71" s="3">
        <v>59870000</v>
      </c>
      <c r="D71" s="3">
        <v>3</v>
      </c>
      <c r="E71" s="3">
        <f>150428761.19*(D71/3)+(C71*$K$1)</f>
        <v>152584081.19</v>
      </c>
      <c r="F71" s="3">
        <f t="shared" si="39"/>
        <v>27025918.810000002</v>
      </c>
      <c r="G71" s="9">
        <f t="shared" si="40"/>
        <v>0.15047001174767552</v>
      </c>
      <c r="H71" t="s">
        <v>255</v>
      </c>
    </row>
    <row r="72" spans="1:11" x14ac:dyDescent="0.35">
      <c r="A72" s="57">
        <v>44538</v>
      </c>
      <c r="B72" t="s">
        <v>191</v>
      </c>
      <c r="C72" s="3">
        <v>23670000</v>
      </c>
      <c r="D72" s="3">
        <v>2</v>
      </c>
      <c r="E72" s="3">
        <f>197091757.81*(D72/12)+(C72*$K$1)</f>
        <v>33700746.301666662</v>
      </c>
      <c r="F72" s="3">
        <f>(C72*D72)-E72</f>
        <v>13639253.698333338</v>
      </c>
      <c r="G72" s="9">
        <f t="shared" si="40"/>
        <v>0.28811266789888756</v>
      </c>
      <c r="H72" t="s">
        <v>255</v>
      </c>
    </row>
    <row r="73" spans="1:11" x14ac:dyDescent="0.35">
      <c r="A73" s="57">
        <v>44538</v>
      </c>
      <c r="B73" t="s">
        <v>191</v>
      </c>
      <c r="C73" s="3">
        <v>23660000</v>
      </c>
      <c r="D73" s="3">
        <v>1</v>
      </c>
      <c r="E73" s="3">
        <f>197091757.81*(D73/12)+(C73*$K$1)</f>
        <v>17276073.150833331</v>
      </c>
      <c r="F73" s="3">
        <f t="shared" ref="F73:F76" si="41">(C73*D73)-E73</f>
        <v>6383926.849166669</v>
      </c>
      <c r="G73" s="9">
        <f t="shared" ref="G73:G76" si="42">F73/(E73+F73)</f>
        <v>0.26981939345590317</v>
      </c>
      <c r="H73" t="s">
        <v>255</v>
      </c>
    </row>
    <row r="74" spans="1:11" x14ac:dyDescent="0.35">
      <c r="A74" s="57">
        <v>44538</v>
      </c>
      <c r="B74" t="s">
        <v>191</v>
      </c>
      <c r="C74" s="3">
        <v>23070000</v>
      </c>
      <c r="D74" s="3">
        <v>3</v>
      </c>
      <c r="E74" s="3">
        <f>197091757.81*(D74/12)+(C74*$K$1)</f>
        <v>50103459.452500001</v>
      </c>
      <c r="F74" s="3">
        <f t="shared" si="41"/>
        <v>19106540.547499999</v>
      </c>
      <c r="G74" s="9">
        <f t="shared" si="42"/>
        <v>0.27606618331888455</v>
      </c>
      <c r="H74" t="s">
        <v>255</v>
      </c>
    </row>
    <row r="75" spans="1:11" x14ac:dyDescent="0.35">
      <c r="A75" s="57">
        <v>44538</v>
      </c>
      <c r="B75" t="s">
        <v>191</v>
      </c>
      <c r="C75" s="3">
        <v>23000000</v>
      </c>
      <c r="D75" s="3">
        <v>5</v>
      </c>
      <c r="E75" s="3">
        <f>197091757.81*(D75/12)+(C75*$K$1)</f>
        <v>82949565.754166678</v>
      </c>
      <c r="F75" s="3">
        <f t="shared" si="41"/>
        <v>32050434.245833322</v>
      </c>
      <c r="G75" s="9">
        <f t="shared" si="42"/>
        <v>0.27869942822463761</v>
      </c>
      <c r="H75" t="s">
        <v>255</v>
      </c>
    </row>
    <row r="76" spans="1:11" x14ac:dyDescent="0.35">
      <c r="A76" s="57">
        <v>44538</v>
      </c>
      <c r="B76" t="s">
        <v>191</v>
      </c>
      <c r="C76" s="3">
        <v>24060000</v>
      </c>
      <c r="D76" s="3">
        <v>1</v>
      </c>
      <c r="E76" s="3">
        <f>197091757.81*(D76/12)+(C76*$K$1)</f>
        <v>17290473.150833331</v>
      </c>
      <c r="F76" s="3">
        <f t="shared" si="41"/>
        <v>6769526.849166669</v>
      </c>
      <c r="G76" s="9">
        <f t="shared" si="42"/>
        <v>0.28136021816985324</v>
      </c>
      <c r="H76" t="s">
        <v>255</v>
      </c>
    </row>
    <row r="77" spans="1:11" x14ac:dyDescent="0.35">
      <c r="A77" s="57">
        <v>44561</v>
      </c>
      <c r="B77" t="s">
        <v>238</v>
      </c>
      <c r="C77" s="3">
        <v>20000000</v>
      </c>
      <c r="D77" s="3">
        <v>1</v>
      </c>
      <c r="E77" s="3">
        <v>17422551.300000001</v>
      </c>
      <c r="F77" s="3">
        <f t="shared" ref="F77" si="43">(C77*D77)-E77</f>
        <v>2577448.6999999993</v>
      </c>
      <c r="G77" s="9">
        <f t="shared" ref="G77" si="44">F77/(E77+F77)</f>
        <v>0.12887243499999995</v>
      </c>
      <c r="H77" t="s">
        <v>255</v>
      </c>
    </row>
    <row r="78" spans="1:11" x14ac:dyDescent="0.35">
      <c r="A78" s="57">
        <v>44561</v>
      </c>
      <c r="B78" t="s">
        <v>238</v>
      </c>
      <c r="C78" s="3">
        <v>20500000</v>
      </c>
      <c r="D78" s="3">
        <v>7</v>
      </c>
      <c r="E78" s="3">
        <f>243915718.17*(D78/14)</f>
        <v>121957859.08499999</v>
      </c>
      <c r="F78" s="3">
        <f t="shared" ref="F78:F79" si="45">(C78*D78)-E78</f>
        <v>21542140.915000007</v>
      </c>
      <c r="G78" s="9">
        <f t="shared" ref="G78:G79" si="46">F78/(E78+F78)</f>
        <v>0.15011944888501746</v>
      </c>
      <c r="H78" t="s">
        <v>255</v>
      </c>
    </row>
    <row r="79" spans="1:11" x14ac:dyDescent="0.35">
      <c r="A79" s="57">
        <v>44561</v>
      </c>
      <c r="B79" t="s">
        <v>238</v>
      </c>
      <c r="C79" s="3">
        <v>20400000</v>
      </c>
      <c r="D79" s="3">
        <v>6</v>
      </c>
      <c r="E79" s="3">
        <f>243915718.17*(D79/14)</f>
        <v>104535307.78714284</v>
      </c>
      <c r="F79" s="3">
        <f t="shared" si="45"/>
        <v>17864692.212857157</v>
      </c>
      <c r="G79" s="9">
        <f t="shared" si="46"/>
        <v>0.14595336775210097</v>
      </c>
      <c r="H79" t="s">
        <v>255</v>
      </c>
    </row>
    <row r="80" spans="1:11" x14ac:dyDescent="0.35">
      <c r="A80" t="s">
        <v>349</v>
      </c>
      <c r="E80" s="3" cm="1">
        <f t="array" ref="E80">SUM(ABS(E65:E79))</f>
        <v>762927363.68287277</v>
      </c>
      <c r="F80" s="3">
        <f>SUM(F65:F79)</f>
        <v>219022636.31712714</v>
      </c>
      <c r="G80" s="9"/>
      <c r="J80" s="9">
        <f>F80/(F80+E80)</f>
        <v>0.22304866471523718</v>
      </c>
      <c r="K80" s="3">
        <f>F80+E80</f>
        <v>981949999.99999988</v>
      </c>
    </row>
    <row r="81" spans="1:8" x14ac:dyDescent="0.35">
      <c r="A81" s="57">
        <v>44566</v>
      </c>
      <c r="B81" t="s">
        <v>191</v>
      </c>
      <c r="C81" s="3">
        <v>21860000</v>
      </c>
      <c r="D81" s="3">
        <v>1</v>
      </c>
      <c r="E81" s="3">
        <f>271298883.52*(D81/16)+(C81*$K$1)</f>
        <v>17743140.219999999</v>
      </c>
      <c r="F81" s="3">
        <f>(C81*D81)-E81</f>
        <v>4116859.7800000012</v>
      </c>
      <c r="G81" s="9">
        <f t="shared" ref="G81:G82" si="47">F81/(E81+F81)</f>
        <v>0.18832844373284544</v>
      </c>
      <c r="H81" t="s">
        <v>255</v>
      </c>
    </row>
    <row r="82" spans="1:8" x14ac:dyDescent="0.35">
      <c r="A82" s="57">
        <v>44566</v>
      </c>
      <c r="B82" t="s">
        <v>191</v>
      </c>
      <c r="C82" s="3">
        <v>21850000</v>
      </c>
      <c r="D82" s="3">
        <v>1</v>
      </c>
      <c r="E82" s="3">
        <f>271298883.52*(D82/16)+(C82*$K$1)</f>
        <v>17742780.219999999</v>
      </c>
      <c r="F82" s="3">
        <f t="shared" ref="F82" si="48">(C82*D82)-E82</f>
        <v>4107219.7800000012</v>
      </c>
      <c r="G82" s="9">
        <f t="shared" si="47"/>
        <v>0.18797344530892454</v>
      </c>
      <c r="H82" t="s">
        <v>255</v>
      </c>
    </row>
    <row r="83" spans="1:8" x14ac:dyDescent="0.35">
      <c r="A83" s="57">
        <v>44566</v>
      </c>
      <c r="B83" t="s">
        <v>238</v>
      </c>
      <c r="C83" s="3">
        <v>19080000</v>
      </c>
      <c r="D83" s="3">
        <v>1</v>
      </c>
      <c r="E83" s="3">
        <f>65756186.26*(D83/4)+(C83*$K$1)</f>
        <v>17125926.564999998</v>
      </c>
      <c r="F83" s="3">
        <f t="shared" ref="F83" si="49">(C83*D83)-E83</f>
        <v>1954073.4350000024</v>
      </c>
      <c r="G83" s="9">
        <f t="shared" ref="G83" si="50">F83/(E83+F83)</f>
        <v>0.10241475026205463</v>
      </c>
      <c r="H83" t="s">
        <v>255</v>
      </c>
    </row>
    <row r="84" spans="1:8" x14ac:dyDescent="0.35">
      <c r="A84" s="57">
        <v>44566</v>
      </c>
      <c r="B84" t="s">
        <v>238</v>
      </c>
      <c r="C84" s="3">
        <v>19070000</v>
      </c>
      <c r="D84" s="3">
        <v>2</v>
      </c>
      <c r="E84" s="3">
        <f>65756186.26*(D84/4)+(C84*$K$1)</f>
        <v>33564613.129999995</v>
      </c>
      <c r="F84" s="3">
        <f t="shared" ref="F84" si="51">(C84*D84)-E84</f>
        <v>4575386.8700000048</v>
      </c>
      <c r="G84" s="9">
        <f t="shared" ref="G84" si="52">F84/(E84+F84)</f>
        <v>0.11996294887257485</v>
      </c>
      <c r="H84" t="s">
        <v>255</v>
      </c>
    </row>
    <row r="85" spans="1:8" x14ac:dyDescent="0.35">
      <c r="A85" s="57">
        <v>44566</v>
      </c>
      <c r="B85" t="s">
        <v>238</v>
      </c>
      <c r="C85" s="3">
        <v>18690000</v>
      </c>
      <c r="D85" s="3">
        <v>1</v>
      </c>
      <c r="E85" s="3">
        <f>65756186.26*(D85/4)+(C85*$K$1)</f>
        <v>17111886.564999998</v>
      </c>
      <c r="F85" s="3">
        <f t="shared" ref="F85:F86" si="53">(C85*D85)-E85</f>
        <v>1578113.4350000024</v>
      </c>
      <c r="G85" s="9">
        <f t="shared" ref="G85:G86" si="54">F85/(E85+F85)</f>
        <v>8.4436245853397665E-2</v>
      </c>
      <c r="H85" t="s">
        <v>255</v>
      </c>
    </row>
    <row r="86" spans="1:8" x14ac:dyDescent="0.35">
      <c r="A86" s="57">
        <v>44566</v>
      </c>
      <c r="B86" t="s">
        <v>191</v>
      </c>
      <c r="C86" s="3">
        <v>20680000</v>
      </c>
      <c r="D86" s="3">
        <v>1</v>
      </c>
      <c r="E86" s="3">
        <f>271298883.52*(D86/16)+(C86*$K$1)</f>
        <v>17700660.219999999</v>
      </c>
      <c r="F86" s="3">
        <f t="shared" si="53"/>
        <v>2979339.7800000012</v>
      </c>
      <c r="G86" s="9">
        <f t="shared" si="54"/>
        <v>0.1440686547388782</v>
      </c>
      <c r="H86" t="s">
        <v>255</v>
      </c>
    </row>
    <row r="87" spans="1:8" x14ac:dyDescent="0.35">
      <c r="A87" s="57">
        <v>44566</v>
      </c>
      <c r="B87" t="s">
        <v>191</v>
      </c>
      <c r="C87" s="3">
        <v>20670000</v>
      </c>
      <c r="D87" s="3">
        <v>1</v>
      </c>
      <c r="E87" s="3">
        <f t="shared" ref="E87:E88" si="55">271298883.52*(D87/16)+(C87*$K$1)</f>
        <v>17700300.219999999</v>
      </c>
      <c r="F87" s="3">
        <f t="shared" ref="F87:F88" si="56">(C87*D87)-E87</f>
        <v>2969699.7800000012</v>
      </c>
      <c r="G87" s="9">
        <f t="shared" ref="G87:G88" si="57">F87/(E87+F87)</f>
        <v>0.14367197774552498</v>
      </c>
      <c r="H87" t="s">
        <v>255</v>
      </c>
    </row>
    <row r="88" spans="1:8" x14ac:dyDescent="0.35">
      <c r="A88" s="57">
        <v>44566</v>
      </c>
      <c r="B88" t="s">
        <v>191</v>
      </c>
      <c r="C88" s="3">
        <v>20650000</v>
      </c>
      <c r="D88" s="3">
        <v>1</v>
      </c>
      <c r="E88" s="3">
        <f t="shared" si="55"/>
        <v>17699580.219999999</v>
      </c>
      <c r="F88" s="3">
        <f t="shared" si="56"/>
        <v>2950419.7800000012</v>
      </c>
      <c r="G88" s="9">
        <f t="shared" si="57"/>
        <v>0.14287747118644073</v>
      </c>
      <c r="H88" t="s">
        <v>255</v>
      </c>
    </row>
    <row r="89" spans="1:8" x14ac:dyDescent="0.35">
      <c r="A89" s="57">
        <v>44566</v>
      </c>
      <c r="B89" t="s">
        <v>191</v>
      </c>
      <c r="C89" s="3">
        <v>20750000</v>
      </c>
      <c r="D89" s="3">
        <v>1</v>
      </c>
      <c r="E89" s="3">
        <f t="shared" ref="E89" si="58">271298883.52*(D89/16)+(C89*$K$1)</f>
        <v>17703180.219999999</v>
      </c>
      <c r="F89" s="3">
        <f t="shared" ref="F89" si="59">(C89*D89)-E89</f>
        <v>3046819.7800000012</v>
      </c>
      <c r="G89" s="9">
        <f t="shared" ref="G89" si="60">F89/(E89+F89)</f>
        <v>0.14683468819277115</v>
      </c>
      <c r="H89" t="s">
        <v>255</v>
      </c>
    </row>
    <row r="90" spans="1:8" x14ac:dyDescent="0.35">
      <c r="A90" s="57">
        <v>44566</v>
      </c>
      <c r="B90" t="s">
        <v>191</v>
      </c>
      <c r="C90" s="3">
        <v>20470000</v>
      </c>
      <c r="D90" s="3">
        <v>4</v>
      </c>
      <c r="E90" s="3">
        <f>271298883.52*(D90/16)+(C90*$K$1)</f>
        <v>68561640.879999995</v>
      </c>
      <c r="F90" s="3">
        <f t="shared" ref="F90" si="61">(C90*D90)-E90</f>
        <v>13318359.120000005</v>
      </c>
      <c r="G90" s="9">
        <f t="shared" ref="G90" si="62">F90/(E90+F90)</f>
        <v>0.16265704836345879</v>
      </c>
      <c r="H90" t="s">
        <v>255</v>
      </c>
    </row>
    <row r="91" spans="1:8" x14ac:dyDescent="0.35">
      <c r="A91" s="57">
        <v>44566</v>
      </c>
      <c r="B91" t="s">
        <v>191</v>
      </c>
      <c r="C91" s="3">
        <v>20670000</v>
      </c>
      <c r="D91" s="3">
        <v>2</v>
      </c>
      <c r="E91" s="3">
        <f>(271298883.52*(D91/16))+(C91*D91*4.48%)</f>
        <v>35764392.439999998</v>
      </c>
      <c r="F91" s="3">
        <f t="shared" ref="F91:F92" si="63">(C91*D91)-E91</f>
        <v>5575607.5600000024</v>
      </c>
      <c r="G91" s="9">
        <f t="shared" ref="G91:G93" si="64">F91/(E91+F91)</f>
        <v>0.13487197774552498</v>
      </c>
      <c r="H91" t="s">
        <v>255</v>
      </c>
    </row>
    <row r="92" spans="1:8" x14ac:dyDescent="0.35">
      <c r="A92" s="57">
        <v>44566</v>
      </c>
      <c r="B92" t="s">
        <v>204</v>
      </c>
      <c r="C92" s="3">
        <v>16700</v>
      </c>
      <c r="D92" s="3">
        <v>12560</v>
      </c>
      <c r="E92" s="3">
        <f>169553603.9+(C92*D92*$K$1)</f>
        <v>177104675.90000001</v>
      </c>
      <c r="F92" s="3">
        <f t="shared" si="63"/>
        <v>32647324.099999994</v>
      </c>
      <c r="G92" s="9">
        <f t="shared" si="64"/>
        <v>0.1556472600976391</v>
      </c>
      <c r="H92" t="s">
        <v>255</v>
      </c>
    </row>
    <row r="93" spans="1:8" x14ac:dyDescent="0.35">
      <c r="A93" s="57">
        <v>44574</v>
      </c>
      <c r="B93" t="s">
        <v>204</v>
      </c>
      <c r="C93" s="3">
        <v>16920</v>
      </c>
      <c r="D93" s="3">
        <v>2262</v>
      </c>
      <c r="E93" s="3">
        <f>83436250.8*(D93/6000)+((C93*D93)*$K$1)</f>
        <v>32833295.991599999</v>
      </c>
      <c r="F93" s="3">
        <f t="shared" ref="F93:F100" si="65">(C93*D93)-E93</f>
        <v>5439744.0084000006</v>
      </c>
      <c r="G93" s="9">
        <f t="shared" si="64"/>
        <v>0.14212991725768323</v>
      </c>
      <c r="H93" t="s">
        <v>255</v>
      </c>
    </row>
    <row r="94" spans="1:8" x14ac:dyDescent="0.35">
      <c r="A94" s="57">
        <v>44574</v>
      </c>
      <c r="B94" t="s">
        <v>204</v>
      </c>
      <c r="C94" s="3">
        <v>16840</v>
      </c>
      <c r="D94" s="3">
        <v>1338</v>
      </c>
      <c r="E94" s="3">
        <f>83436250.8*(D94/6000)+((C94*D94)*$K$1)</f>
        <v>19417433.0484</v>
      </c>
      <c r="F94" s="3">
        <f t="shared" si="65"/>
        <v>3114486.9516000003</v>
      </c>
      <c r="G94" s="9">
        <f t="shared" ref="G94" si="66">F94/(E94+F94)</f>
        <v>0.13822554631828979</v>
      </c>
      <c r="H94" t="s">
        <v>255</v>
      </c>
    </row>
    <row r="95" spans="1:8" x14ac:dyDescent="0.35">
      <c r="A95" s="57">
        <v>44574</v>
      </c>
      <c r="B95" t="s">
        <v>231</v>
      </c>
      <c r="C95" s="3">
        <v>206300</v>
      </c>
      <c r="D95" s="3">
        <v>660</v>
      </c>
      <c r="E95" s="3">
        <f>128769150*(D95/1000)+((C95*D95)*$K$1)</f>
        <v>89889327</v>
      </c>
      <c r="F95" s="3">
        <f t="shared" si="65"/>
        <v>46268673</v>
      </c>
      <c r="G95" s="9">
        <f t="shared" ref="G95" si="67">F95/(E95+F95)</f>
        <v>0.33981604459524961</v>
      </c>
      <c r="H95" t="s">
        <v>255</v>
      </c>
    </row>
    <row r="96" spans="1:8" x14ac:dyDescent="0.35">
      <c r="A96" s="57">
        <v>44574</v>
      </c>
      <c r="B96" t="s">
        <v>231</v>
      </c>
      <c r="C96" s="3">
        <v>206200</v>
      </c>
      <c r="D96" s="3">
        <v>244</v>
      </c>
      <c r="E96" s="3">
        <f t="shared" ref="E96:E98" si="68">128769150*(D96/1000)+((C96*D96)*$K$1)</f>
        <v>33230933.399999999</v>
      </c>
      <c r="F96" s="3">
        <f t="shared" si="65"/>
        <v>17081866.600000001</v>
      </c>
      <c r="G96" s="9">
        <f t="shared" ref="G96" si="69">F96/(E96+F96)</f>
        <v>0.33951333656644039</v>
      </c>
      <c r="H96" t="s">
        <v>255</v>
      </c>
    </row>
    <row r="97" spans="1:11" x14ac:dyDescent="0.35">
      <c r="A97" s="57">
        <v>44574</v>
      </c>
      <c r="B97" t="s">
        <v>231</v>
      </c>
      <c r="C97" s="3">
        <v>206100</v>
      </c>
      <c r="D97" s="3">
        <v>93</v>
      </c>
      <c r="E97" s="3">
        <f t="shared" si="68"/>
        <v>12665553.75</v>
      </c>
      <c r="F97" s="3">
        <f t="shared" si="65"/>
        <v>6501746.25</v>
      </c>
      <c r="G97" s="9">
        <f t="shared" ref="G97" si="70">F97/(E97+F97)</f>
        <v>0.33921033478893742</v>
      </c>
      <c r="H97" t="s">
        <v>255</v>
      </c>
    </row>
    <row r="98" spans="1:11" x14ac:dyDescent="0.35">
      <c r="A98" s="57">
        <v>44574</v>
      </c>
      <c r="B98" t="s">
        <v>231</v>
      </c>
      <c r="C98" s="3">
        <v>206000</v>
      </c>
      <c r="D98" s="3">
        <v>3</v>
      </c>
      <c r="E98" s="3">
        <f t="shared" si="68"/>
        <v>408555.45</v>
      </c>
      <c r="F98" s="3">
        <f t="shared" si="65"/>
        <v>209444.55</v>
      </c>
      <c r="G98" s="9">
        <f t="shared" ref="G98:G100" si="71">F98/(E98+F98)</f>
        <v>0.33890703883495144</v>
      </c>
      <c r="H98" t="s">
        <v>255</v>
      </c>
    </row>
    <row r="99" spans="1:11" x14ac:dyDescent="0.35">
      <c r="A99" s="57">
        <v>44580</v>
      </c>
      <c r="B99" t="s">
        <v>231</v>
      </c>
      <c r="C99" s="3">
        <v>230500</v>
      </c>
      <c r="D99" s="3">
        <v>36</v>
      </c>
      <c r="E99" s="3">
        <f>124125350*(D99/1000)+((C99*D99)*$K$1)</f>
        <v>4767240.5999999996</v>
      </c>
      <c r="F99" s="3">
        <f t="shared" si="65"/>
        <v>3530759.4000000004</v>
      </c>
      <c r="G99" s="9">
        <f t="shared" si="71"/>
        <v>0.42549522776572674</v>
      </c>
      <c r="H99" t="s">
        <v>255</v>
      </c>
    </row>
    <row r="100" spans="1:11" x14ac:dyDescent="0.35">
      <c r="A100" s="57">
        <v>44580</v>
      </c>
      <c r="B100" t="s">
        <v>231</v>
      </c>
      <c r="C100" s="3">
        <v>230100</v>
      </c>
      <c r="D100" s="3">
        <v>250</v>
      </c>
      <c r="E100" s="3">
        <f>124125350*(D100/1000)+((C100*D100)*$K$1)</f>
        <v>33102237.5</v>
      </c>
      <c r="F100" s="3">
        <f t="shared" si="65"/>
        <v>24422762.5</v>
      </c>
      <c r="G100" s="9">
        <f t="shared" si="71"/>
        <v>0.42455910473707081</v>
      </c>
      <c r="H100" t="s">
        <v>255</v>
      </c>
    </row>
    <row r="101" spans="1:11" x14ac:dyDescent="0.35">
      <c r="A101" s="57">
        <v>44580</v>
      </c>
      <c r="B101" t="s">
        <v>231</v>
      </c>
      <c r="C101" s="3">
        <v>228700</v>
      </c>
      <c r="D101" s="3">
        <v>36</v>
      </c>
      <c r="E101" s="3">
        <f>124125350*(D101/1000)+((C101*D101)*$K$1)</f>
        <v>4764907.8</v>
      </c>
      <c r="F101" s="3">
        <f t="shared" ref="F101" si="72">(C101*D101)-E101</f>
        <v>3468292.2</v>
      </c>
      <c r="G101" s="9">
        <f t="shared" ref="G101" si="73">F101/(E101+F101)</f>
        <v>0.42125688675120249</v>
      </c>
      <c r="H101" t="s">
        <v>255</v>
      </c>
    </row>
    <row r="102" spans="1:11" x14ac:dyDescent="0.35">
      <c r="A102" s="57">
        <v>44580</v>
      </c>
      <c r="B102" t="s">
        <v>231</v>
      </c>
      <c r="C102" s="3">
        <v>156400</v>
      </c>
      <c r="D102" s="3">
        <v>419</v>
      </c>
      <c r="E102" s="3">
        <f>124125350*(D102/1000)+((C102*D102)*$K$1)</f>
        <v>54367659.25</v>
      </c>
      <c r="F102" s="3">
        <f t="shared" ref="F102" si="74">(C102*D102)-E102</f>
        <v>11163940.75</v>
      </c>
      <c r="G102" s="9">
        <f t="shared" ref="G102" si="75">F102/(E102+F102)</f>
        <v>0.17035965473145781</v>
      </c>
      <c r="H102" t="s">
        <v>255</v>
      </c>
    </row>
    <row r="103" spans="1:11" x14ac:dyDescent="0.35">
      <c r="A103" s="57">
        <v>44580</v>
      </c>
      <c r="B103" t="s">
        <v>231</v>
      </c>
      <c r="C103" s="3">
        <v>156300</v>
      </c>
      <c r="D103" s="3">
        <v>128</v>
      </c>
      <c r="E103" s="3">
        <f>124125350*(D103/1000)+((C103*D103)*$K$1)</f>
        <v>16608275.200000001</v>
      </c>
      <c r="F103" s="3">
        <f t="shared" ref="F103:F107" si="76">(C103*D103)-E103</f>
        <v>3398124.7999999989</v>
      </c>
      <c r="G103" s="9">
        <f t="shared" ref="G103:G107" si="77">F103/(E103+F103)</f>
        <v>0.16985188739603321</v>
      </c>
      <c r="H103" t="s">
        <v>255</v>
      </c>
    </row>
    <row r="104" spans="1:11" x14ac:dyDescent="0.35">
      <c r="A104" s="57">
        <v>44583</v>
      </c>
      <c r="B104" t="s">
        <v>281</v>
      </c>
      <c r="C104" s="3">
        <v>1152000</v>
      </c>
      <c r="D104" s="3">
        <v>94</v>
      </c>
      <c r="E104" s="3">
        <f>110697312.2</f>
        <v>110697312.2</v>
      </c>
      <c r="F104" s="3">
        <f t="shared" si="76"/>
        <v>-2409312.200000003</v>
      </c>
      <c r="G104" s="9">
        <f t="shared" si="77"/>
        <v>-2.2249115322104048E-2</v>
      </c>
      <c r="H104" t="s">
        <v>255</v>
      </c>
    </row>
    <row r="105" spans="1:11" x14ac:dyDescent="0.35">
      <c r="A105" s="57">
        <v>44583</v>
      </c>
      <c r="B105" t="s">
        <v>204</v>
      </c>
      <c r="C105" s="3">
        <v>16550</v>
      </c>
      <c r="D105" s="3">
        <v>6000</v>
      </c>
      <c r="E105" s="3">
        <f>87715829+(C105*D105*$K$1)</f>
        <v>91290629</v>
      </c>
      <c r="F105" s="3">
        <f t="shared" si="76"/>
        <v>8009371</v>
      </c>
      <c r="G105" s="9">
        <f t="shared" si="77"/>
        <v>8.0658318227593145E-2</v>
      </c>
      <c r="H105" t="s">
        <v>255</v>
      </c>
      <c r="J105">
        <v>75068443.439999998</v>
      </c>
      <c r="K105">
        <v>6000</v>
      </c>
    </row>
    <row r="106" spans="1:11" x14ac:dyDescent="0.35">
      <c r="A106" t="s">
        <v>350</v>
      </c>
      <c r="E106" s="3" cm="1">
        <f t="array" ref="E106">SUM(ABS(E81:E105))</f>
        <v>959566136.99000001</v>
      </c>
      <c r="F106" s="3">
        <f>SUM(F81:F105)</f>
        <v>210019123.01000005</v>
      </c>
      <c r="G106" s="9"/>
      <c r="J106" s="9">
        <f>F106/(F106+E106)</f>
        <v>0.17956717666739408</v>
      </c>
      <c r="K106" s="3">
        <f>F106+E106</f>
        <v>1169585260</v>
      </c>
    </row>
    <row r="107" spans="1:11" x14ac:dyDescent="0.35">
      <c r="A107" s="57">
        <v>44619</v>
      </c>
      <c r="B107" t="s">
        <v>204</v>
      </c>
      <c r="C107" s="3">
        <v>15110</v>
      </c>
      <c r="D107" s="3">
        <v>1000</v>
      </c>
      <c r="E107" s="3">
        <f>75068443.44*(D107/6000)</f>
        <v>12511407.239999998</v>
      </c>
      <c r="F107" s="3">
        <f t="shared" si="76"/>
        <v>2598592.7600000016</v>
      </c>
      <c r="G107" s="9">
        <f t="shared" si="77"/>
        <v>0.17197834281932506</v>
      </c>
      <c r="H107" t="s">
        <v>255</v>
      </c>
    </row>
    <row r="108" spans="1:11" x14ac:dyDescent="0.35">
      <c r="A108" s="57">
        <v>44619</v>
      </c>
      <c r="B108" t="s">
        <v>204</v>
      </c>
      <c r="C108" s="3">
        <v>15100</v>
      </c>
      <c r="D108" s="3">
        <v>1000</v>
      </c>
      <c r="E108" s="3">
        <f>75068443.44*(D108/6000)</f>
        <v>12511407.239999998</v>
      </c>
      <c r="F108" s="3">
        <f t="shared" ref="F108" si="78">(C108*D108)-E108</f>
        <v>2588592.7600000016</v>
      </c>
      <c r="G108" s="9">
        <f t="shared" ref="G108" si="79">F108/(E108+F108)</f>
        <v>0.17142998410596039</v>
      </c>
      <c r="H108" t="s">
        <v>255</v>
      </c>
    </row>
    <row r="109" spans="1:11" x14ac:dyDescent="0.35">
      <c r="A109" s="57">
        <v>44619</v>
      </c>
      <c r="B109" t="s">
        <v>204</v>
      </c>
      <c r="C109" s="3">
        <v>15000</v>
      </c>
      <c r="D109" s="3">
        <v>4000</v>
      </c>
      <c r="E109" s="3">
        <f>75068443.44*(D109/6000)</f>
        <v>50045628.959999993</v>
      </c>
      <c r="F109" s="3">
        <f t="shared" ref="F109" si="80">(C109*D109)-E109</f>
        <v>9954371.0400000066</v>
      </c>
      <c r="G109" s="9">
        <f t="shared" ref="G109:G113" si="81">F109/(E109+F109)</f>
        <v>0.16590618400000012</v>
      </c>
      <c r="H109" t="s">
        <v>255</v>
      </c>
    </row>
    <row r="110" spans="1:11" x14ac:dyDescent="0.35">
      <c r="A110" t="s">
        <v>351</v>
      </c>
      <c r="E110" s="3" cm="1">
        <f t="array" ref="E110">SUM(ABS(E107:E109))</f>
        <v>75068443.439999998</v>
      </c>
      <c r="F110" s="3">
        <f>SUM(F107:F109)</f>
        <v>15141556.56000001</v>
      </c>
      <c r="J110" s="9">
        <f>F110/(F110+E110)</f>
        <v>0.16784787229797152</v>
      </c>
      <c r="K110" s="3">
        <f>F110+E110</f>
        <v>90210000</v>
      </c>
    </row>
    <row r="111" spans="1:11" x14ac:dyDescent="0.35">
      <c r="A111" s="57">
        <v>44624</v>
      </c>
      <c r="B111" t="s">
        <v>191</v>
      </c>
      <c r="C111" s="3">
        <v>20900000</v>
      </c>
      <c r="D111" s="3">
        <v>2</v>
      </c>
      <c r="E111" s="3">
        <f>271298883.51*(D111/16)</f>
        <v>33912360.438749999</v>
      </c>
      <c r="F111" s="3">
        <f t="shared" ref="F111:F125" si="82">(C111*D111)-E111</f>
        <v>7887639.5612500012</v>
      </c>
      <c r="G111" s="9">
        <f t="shared" si="81"/>
        <v>0.18869951103468902</v>
      </c>
    </row>
    <row r="112" spans="1:11" x14ac:dyDescent="0.35">
      <c r="A112" s="57">
        <v>44624</v>
      </c>
      <c r="B112" t="s">
        <v>191</v>
      </c>
      <c r="C112" s="3">
        <v>20840000</v>
      </c>
      <c r="D112" s="3">
        <v>14</v>
      </c>
      <c r="E112" s="3">
        <f>271298883.51*(D112/16)</f>
        <v>237386523.07124999</v>
      </c>
      <c r="F112" s="3">
        <f t="shared" si="82"/>
        <v>54373476.928750008</v>
      </c>
      <c r="G112" s="9">
        <f t="shared" si="81"/>
        <v>0.18636371308181385</v>
      </c>
    </row>
    <row r="113" spans="1:13" x14ac:dyDescent="0.35">
      <c r="A113" s="57">
        <v>44624</v>
      </c>
      <c r="B113" t="s">
        <v>193</v>
      </c>
      <c r="C113" s="3">
        <v>19510000</v>
      </c>
      <c r="D113" s="3">
        <v>3</v>
      </c>
      <c r="E113" s="3">
        <f>215982586.16*(D113/12)</f>
        <v>53995646.539999999</v>
      </c>
      <c r="F113" s="3">
        <f t="shared" si="82"/>
        <v>4534353.4600000009</v>
      </c>
      <c r="G113" s="9">
        <f t="shared" si="81"/>
        <v>7.7470587049376399E-2</v>
      </c>
    </row>
    <row r="114" spans="1:13" x14ac:dyDescent="0.35">
      <c r="A114" s="57">
        <v>44624</v>
      </c>
      <c r="B114" t="s">
        <v>193</v>
      </c>
      <c r="C114" s="3">
        <v>24010000</v>
      </c>
      <c r="D114" s="3">
        <v>3</v>
      </c>
      <c r="E114" s="3">
        <f>215982586.16*(D114/12)</f>
        <v>53995646.539999999</v>
      </c>
      <c r="F114" s="3">
        <f t="shared" si="82"/>
        <v>18034353.460000001</v>
      </c>
      <c r="G114" s="9">
        <f t="shared" ref="G114" si="83">F114/(E114+F114)</f>
        <v>0.25037280938497847</v>
      </c>
    </row>
    <row r="115" spans="1:13" x14ac:dyDescent="0.35">
      <c r="A115" s="57">
        <v>44624</v>
      </c>
      <c r="B115" t="s">
        <v>193</v>
      </c>
      <c r="C115" s="3">
        <v>25000000</v>
      </c>
      <c r="D115" s="3">
        <v>1</v>
      </c>
      <c r="E115" s="3">
        <f>215982586.16*(D115/12)</f>
        <v>17998548.846666664</v>
      </c>
      <c r="F115" s="3">
        <f t="shared" si="82"/>
        <v>7001451.1533333361</v>
      </c>
      <c r="G115" s="9">
        <f t="shared" ref="G115" si="84">F115/(E115+F115)</f>
        <v>0.28005804613333346</v>
      </c>
    </row>
    <row r="116" spans="1:13" x14ac:dyDescent="0.35">
      <c r="A116" s="57">
        <v>44630</v>
      </c>
      <c r="B116" t="s">
        <v>193</v>
      </c>
      <c r="C116" s="3">
        <v>21780000</v>
      </c>
      <c r="D116" s="3">
        <v>1</v>
      </c>
      <c r="E116" s="3">
        <f>215982586.16*(D116/12)</f>
        <v>17998548.846666664</v>
      </c>
      <c r="F116" s="3">
        <f t="shared" si="82"/>
        <v>3781451.1533333361</v>
      </c>
      <c r="G116" s="9">
        <f t="shared" ref="G116" si="85">F116/(E116+F116)</f>
        <v>0.17362034680134694</v>
      </c>
    </row>
    <row r="117" spans="1:13" x14ac:dyDescent="0.35">
      <c r="A117" s="57">
        <v>44630</v>
      </c>
      <c r="B117" t="s">
        <v>193</v>
      </c>
      <c r="C117" s="3">
        <v>21690000</v>
      </c>
      <c r="D117" s="3">
        <v>1</v>
      </c>
      <c r="E117" s="3">
        <f>215982586.16*(D117/12)</f>
        <v>17998548.846666664</v>
      </c>
      <c r="F117" s="3">
        <f t="shared" si="82"/>
        <v>3691451.1533333361</v>
      </c>
      <c r="G117" s="9">
        <f t="shared" ref="G117:G118" si="86">F117/(E117+F117)</f>
        <v>0.170191385584755</v>
      </c>
    </row>
    <row r="118" spans="1:13" x14ac:dyDescent="0.35">
      <c r="A118" s="57">
        <v>44630</v>
      </c>
      <c r="B118" t="s">
        <v>191</v>
      </c>
      <c r="C118" s="3">
        <v>20660000</v>
      </c>
      <c r="D118" s="3">
        <v>1</v>
      </c>
      <c r="E118" s="3">
        <f>271298883.51*(D118/16)</f>
        <v>16956180.219374999</v>
      </c>
      <c r="F118" s="3">
        <f t="shared" si="82"/>
        <v>3703819.7806250006</v>
      </c>
      <c r="G118" s="9">
        <f t="shared" si="86"/>
        <v>0.17927491677758958</v>
      </c>
    </row>
    <row r="119" spans="1:13" x14ac:dyDescent="0.35">
      <c r="A119" s="57">
        <v>44630</v>
      </c>
      <c r="B119" t="s">
        <v>191</v>
      </c>
      <c r="C119" s="3">
        <v>21020000</v>
      </c>
      <c r="D119" s="3">
        <v>1</v>
      </c>
      <c r="E119" s="3">
        <f>271298883.51*(D119/16)</f>
        <v>16956180.219374999</v>
      </c>
      <c r="F119" s="3">
        <f t="shared" si="82"/>
        <v>4063819.7806250006</v>
      </c>
      <c r="G119" s="9">
        <f t="shared" ref="G119:G120" si="87">F119/(E119+F119)</f>
        <v>0.1933311027890105</v>
      </c>
    </row>
    <row r="120" spans="1:13" x14ac:dyDescent="0.35">
      <c r="A120" s="57">
        <v>44630</v>
      </c>
      <c r="B120" t="s">
        <v>193</v>
      </c>
      <c r="C120" s="3">
        <v>20020000</v>
      </c>
      <c r="D120" s="3">
        <v>2</v>
      </c>
      <c r="E120" s="3">
        <f>215982586.16*(D120/12)</f>
        <v>35997097.693333328</v>
      </c>
      <c r="F120" s="3">
        <f t="shared" si="82"/>
        <v>4042902.3066666722</v>
      </c>
      <c r="G120" s="9">
        <f t="shared" si="87"/>
        <v>0.10097158608058622</v>
      </c>
    </row>
    <row r="121" spans="1:13" x14ac:dyDescent="0.35">
      <c r="A121" s="57">
        <v>44630</v>
      </c>
      <c r="B121" t="s">
        <v>193</v>
      </c>
      <c r="C121" s="3">
        <v>20010000</v>
      </c>
      <c r="D121" s="3">
        <v>1</v>
      </c>
      <c r="E121" s="3">
        <f>215982586.16*(D121/12)</f>
        <v>17998548.846666664</v>
      </c>
      <c r="F121" s="3">
        <f t="shared" si="82"/>
        <v>2011451.1533333361</v>
      </c>
      <c r="G121" s="9">
        <f t="shared" ref="G121:G125" si="88">F121/(E121+F121)</f>
        <v>0.10052229651840761</v>
      </c>
    </row>
    <row r="122" spans="1:13" x14ac:dyDescent="0.35">
      <c r="A122" s="57">
        <v>44630</v>
      </c>
      <c r="B122" t="s">
        <v>204</v>
      </c>
      <c r="C122" s="3">
        <v>15110</v>
      </c>
      <c r="D122" s="3">
        <v>6000</v>
      </c>
      <c r="E122" s="3">
        <v>75068443.439999998</v>
      </c>
      <c r="F122" s="3">
        <f t="shared" si="82"/>
        <v>15591556.560000002</v>
      </c>
      <c r="G122" s="9">
        <f t="shared" si="88"/>
        <v>0.17197834281932498</v>
      </c>
    </row>
    <row r="123" spans="1:13" x14ac:dyDescent="0.35">
      <c r="A123" s="57">
        <v>44649</v>
      </c>
      <c r="B123" t="s">
        <v>204</v>
      </c>
      <c r="C123" s="3">
        <v>14760</v>
      </c>
      <c r="D123" s="3">
        <v>6000</v>
      </c>
      <c r="E123" s="3">
        <v>75068443.439999998</v>
      </c>
      <c r="F123" s="3">
        <f t="shared" si="82"/>
        <v>13491556.560000002</v>
      </c>
      <c r="G123" s="9">
        <f t="shared" si="88"/>
        <v>0.15234368292682929</v>
      </c>
      <c r="M123" s="9"/>
    </row>
    <row r="124" spans="1:13" x14ac:dyDescent="0.35">
      <c r="A124" t="s">
        <v>352</v>
      </c>
      <c r="E124" s="3" cm="1">
        <f t="array" ref="E124">SUM(ABS(E111:E123))</f>
        <v>671330716.98875022</v>
      </c>
      <c r="F124" s="3" cm="1">
        <f t="array" ref="F124">SUM(ABS(F111:F123))</f>
        <v>142209283.01125002</v>
      </c>
      <c r="J124" s="9">
        <f>F124/(F124+E124)</f>
        <v>0.17480306194071585</v>
      </c>
      <c r="K124" s="3">
        <f>F124+E124</f>
        <v>813540000.00000024</v>
      </c>
      <c r="M124" s="9"/>
    </row>
    <row r="125" spans="1:13" x14ac:dyDescent="0.35">
      <c r="A125" s="57">
        <v>44656</v>
      </c>
      <c r="B125" t="s">
        <v>191</v>
      </c>
      <c r="C125" s="3">
        <v>20000000</v>
      </c>
      <c r="D125" s="3">
        <v>5</v>
      </c>
      <c r="E125" s="3">
        <f>109054616.49*(D125/8)</f>
        <v>68159135.306249991</v>
      </c>
      <c r="F125" s="3">
        <f t="shared" si="82"/>
        <v>31840864.693750009</v>
      </c>
      <c r="G125" s="9">
        <f t="shared" si="88"/>
        <v>0.31840864693750009</v>
      </c>
      <c r="M125" s="9"/>
    </row>
    <row r="126" spans="1:13" x14ac:dyDescent="0.35">
      <c r="A126" s="57">
        <v>44656</v>
      </c>
      <c r="B126" t="s">
        <v>191</v>
      </c>
      <c r="C126" s="3">
        <v>18560000</v>
      </c>
      <c r="D126" s="3">
        <v>1</v>
      </c>
      <c r="E126" s="3">
        <f>109054616.49*(D126/8)</f>
        <v>13631827.061249999</v>
      </c>
      <c r="F126" s="3">
        <f t="shared" ref="F126:F128" si="89">(C126*D126)-E126</f>
        <v>4928172.9387500007</v>
      </c>
      <c r="G126" s="9">
        <f t="shared" ref="G126:G128" si="90">F126/(E126+F126)</f>
        <v>0.26552655919989226</v>
      </c>
      <c r="M126" s="9"/>
    </row>
    <row r="127" spans="1:13" x14ac:dyDescent="0.35">
      <c r="A127" s="57">
        <v>44656</v>
      </c>
      <c r="B127" t="s">
        <v>191</v>
      </c>
      <c r="C127" s="3">
        <v>17920000</v>
      </c>
      <c r="D127" s="3">
        <v>2</v>
      </c>
      <c r="E127" s="3">
        <f>109054616.49*(D127/8)</f>
        <v>27263654.122499999</v>
      </c>
      <c r="F127" s="3">
        <f t="shared" si="89"/>
        <v>8576345.8775000013</v>
      </c>
      <c r="G127" s="9">
        <f t="shared" si="90"/>
        <v>0.23929536488560271</v>
      </c>
      <c r="M127" s="9"/>
    </row>
    <row r="128" spans="1:13" x14ac:dyDescent="0.35">
      <c r="A128" s="57">
        <v>44656</v>
      </c>
      <c r="B128" t="s">
        <v>193</v>
      </c>
      <c r="C128" s="3">
        <v>21000000</v>
      </c>
      <c r="D128" s="3">
        <v>2</v>
      </c>
      <c r="E128" s="3">
        <f>98369494.04*(D128/6)</f>
        <v>32789831.346666668</v>
      </c>
      <c r="F128" s="3">
        <f t="shared" si="89"/>
        <v>9210168.6533333324</v>
      </c>
      <c r="G128" s="9">
        <f t="shared" si="90"/>
        <v>0.21928972984126982</v>
      </c>
      <c r="M128" s="9"/>
    </row>
    <row r="129" spans="1:14" x14ac:dyDescent="0.35">
      <c r="A129" s="57">
        <v>44656</v>
      </c>
      <c r="B129" t="s">
        <v>193</v>
      </c>
      <c r="C129" s="3">
        <v>18590000</v>
      </c>
      <c r="D129" s="3">
        <v>2</v>
      </c>
      <c r="E129" s="3">
        <f>98369494.04*(D129/6)</f>
        <v>32789831.346666668</v>
      </c>
      <c r="F129" s="3">
        <f t="shared" ref="F129" si="91">(C129*D129)-E129</f>
        <v>4390168.6533333324</v>
      </c>
      <c r="G129" s="9">
        <f t="shared" ref="G129" si="92">F129/(E129+F129)</f>
        <v>0.11807876958938494</v>
      </c>
      <c r="M129" s="9"/>
    </row>
    <row r="130" spans="1:14" x14ac:dyDescent="0.35">
      <c r="A130" s="57">
        <v>44658</v>
      </c>
      <c r="B130" t="s">
        <v>193</v>
      </c>
      <c r="C130" s="3">
        <v>18690000</v>
      </c>
      <c r="D130" s="3">
        <v>2</v>
      </c>
      <c r="E130" s="3">
        <f>98369494.04*(D130/6)</f>
        <v>32789831.346666668</v>
      </c>
      <c r="F130" s="3">
        <f t="shared" ref="F130" si="93">(C130*D130)-E130</f>
        <v>4590168.6533333324</v>
      </c>
      <c r="G130" s="9">
        <f t="shared" ref="G130" si="94">F130/(E130+F130)</f>
        <v>0.12279744925985372</v>
      </c>
      <c r="M130" s="9"/>
    </row>
    <row r="131" spans="1:14" x14ac:dyDescent="0.35">
      <c r="A131" s="57">
        <v>44663</v>
      </c>
      <c r="B131" t="s">
        <v>299</v>
      </c>
      <c r="C131" s="92">
        <v>20020000</v>
      </c>
      <c r="D131" s="92">
        <v>4</v>
      </c>
      <c r="E131" s="3">
        <f>149487326.08*(D131/12)</f>
        <v>49829108.693333335</v>
      </c>
      <c r="F131" s="3">
        <f t="shared" ref="F131:F135" si="95">(C131*D131)-E131</f>
        <v>30250891.306666665</v>
      </c>
      <c r="G131" s="9">
        <f t="shared" ref="G131:G135" si="96">F131/(E131+F131)</f>
        <v>0.37775838295038294</v>
      </c>
      <c r="M131" s="9"/>
    </row>
    <row r="132" spans="1:14" x14ac:dyDescent="0.35">
      <c r="A132" s="57">
        <v>44663</v>
      </c>
      <c r="B132" t="s">
        <v>299</v>
      </c>
      <c r="C132" s="92">
        <v>20010000</v>
      </c>
      <c r="D132" s="92">
        <v>1</v>
      </c>
      <c r="E132" s="3">
        <f t="shared" ref="E132:E135" si="97">149487326.08*(D132/12)</f>
        <v>12457277.173333334</v>
      </c>
      <c r="F132" s="3">
        <f t="shared" si="95"/>
        <v>7552722.8266666662</v>
      </c>
      <c r="G132" s="9">
        <f t="shared" si="96"/>
        <v>0.37744741762452105</v>
      </c>
      <c r="M132" s="9"/>
    </row>
    <row r="133" spans="1:14" x14ac:dyDescent="0.35">
      <c r="A133" s="57">
        <v>44663</v>
      </c>
      <c r="B133" t="s">
        <v>299</v>
      </c>
      <c r="C133" s="92">
        <v>20000000</v>
      </c>
      <c r="D133" s="92">
        <v>3</v>
      </c>
      <c r="E133" s="3">
        <f t="shared" si="97"/>
        <v>37371831.520000003</v>
      </c>
      <c r="F133" s="3">
        <f t="shared" si="95"/>
        <v>22628168.479999997</v>
      </c>
      <c r="G133" s="9">
        <f t="shared" si="96"/>
        <v>0.37713614133333329</v>
      </c>
      <c r="M133" s="9"/>
    </row>
    <row r="134" spans="1:14" x14ac:dyDescent="0.35">
      <c r="A134" s="57">
        <v>44663</v>
      </c>
      <c r="B134" t="s">
        <v>299</v>
      </c>
      <c r="C134" s="3">
        <v>19140000</v>
      </c>
      <c r="D134" s="3">
        <v>1</v>
      </c>
      <c r="E134" s="3">
        <f t="shared" si="97"/>
        <v>12457277.173333334</v>
      </c>
      <c r="F134" s="3">
        <f t="shared" si="95"/>
        <v>6682722.8266666662</v>
      </c>
      <c r="G134" s="9">
        <f t="shared" si="96"/>
        <v>0.34914957297109017</v>
      </c>
      <c r="M134" s="9"/>
    </row>
    <row r="135" spans="1:14" x14ac:dyDescent="0.35">
      <c r="A135" s="57">
        <v>44663</v>
      </c>
      <c r="B135" t="s">
        <v>299</v>
      </c>
      <c r="C135" s="3">
        <v>19110000</v>
      </c>
      <c r="D135" s="3">
        <v>3</v>
      </c>
      <c r="E135" s="3">
        <f t="shared" si="97"/>
        <v>37371831.520000003</v>
      </c>
      <c r="F135" s="3">
        <f t="shared" si="95"/>
        <v>19958168.479999997</v>
      </c>
      <c r="G135" s="9">
        <f t="shared" si="96"/>
        <v>0.34812782975754397</v>
      </c>
      <c r="M135" s="9"/>
    </row>
    <row r="136" spans="1:14" x14ac:dyDescent="0.35">
      <c r="A136" s="57">
        <v>44630</v>
      </c>
      <c r="B136" t="s">
        <v>204</v>
      </c>
      <c r="C136" s="3">
        <v>14790</v>
      </c>
      <c r="D136" s="3">
        <v>6000</v>
      </c>
      <c r="E136" s="3">
        <v>75068443.439999998</v>
      </c>
      <c r="F136" s="3">
        <f t="shared" ref="F136:F137" si="98">(C136*D136)-E136</f>
        <v>13671556.560000002</v>
      </c>
      <c r="G136" s="9">
        <f t="shared" ref="G136:G137" si="99">F136/(E136+F136)</f>
        <v>0.15406306693711971</v>
      </c>
      <c r="M136" s="9"/>
    </row>
    <row r="137" spans="1:14" x14ac:dyDescent="0.35">
      <c r="A137" s="57">
        <v>44668</v>
      </c>
      <c r="B137" t="s">
        <v>299</v>
      </c>
      <c r="C137" s="3">
        <v>19110000</v>
      </c>
      <c r="D137" s="3">
        <v>1</v>
      </c>
      <c r="E137" s="3">
        <f>192161476.93*(D137/16)</f>
        <v>12010092.308125</v>
      </c>
      <c r="F137" s="3">
        <f t="shared" si="98"/>
        <v>7099907.6918749996</v>
      </c>
      <c r="G137" s="9">
        <f t="shared" si="99"/>
        <v>0.37152839831894297</v>
      </c>
    </row>
    <row r="138" spans="1:14" x14ac:dyDescent="0.35">
      <c r="A138" s="57">
        <v>44668</v>
      </c>
      <c r="B138" t="s">
        <v>299</v>
      </c>
      <c r="C138" s="3">
        <v>22600000</v>
      </c>
      <c r="D138" s="3">
        <v>5</v>
      </c>
      <c r="E138" s="3">
        <f>192161476.93*(D138/16)</f>
        <v>60050461.540625006</v>
      </c>
      <c r="F138" s="3">
        <f t="shared" ref="F138" si="100">(C138*D138)-E138</f>
        <v>52949538.459374994</v>
      </c>
      <c r="G138" s="9">
        <f t="shared" ref="G138" si="101">F138/(E138+F138)</f>
        <v>0.46857998636615039</v>
      </c>
    </row>
    <row r="139" spans="1:14" x14ac:dyDescent="0.35">
      <c r="A139" s="57">
        <v>44668</v>
      </c>
      <c r="B139" t="s">
        <v>299</v>
      </c>
      <c r="C139" s="3">
        <v>22500000</v>
      </c>
      <c r="D139" s="3">
        <v>8</v>
      </c>
      <c r="E139" s="3">
        <f>192161476.93*(D139/16)</f>
        <v>96080738.465000004</v>
      </c>
      <c r="F139" s="3">
        <f t="shared" ref="F139" si="102">(C139*D139)-E139</f>
        <v>83919261.534999996</v>
      </c>
      <c r="G139" s="9">
        <f t="shared" ref="G139" si="103">F139/(E139+F139)</f>
        <v>0.46621811963888887</v>
      </c>
    </row>
    <row r="140" spans="1:14" x14ac:dyDescent="0.35">
      <c r="A140" s="57">
        <v>44668</v>
      </c>
      <c r="B140" t="s">
        <v>299</v>
      </c>
      <c r="C140" s="3">
        <v>22500000</v>
      </c>
      <c r="D140" s="3">
        <v>2</v>
      </c>
      <c r="E140" s="3">
        <f>192161476.93*(D140/16)</f>
        <v>24020184.616250001</v>
      </c>
      <c r="F140" s="3">
        <f t="shared" ref="F140:F141" si="104">(C140*D140)-E140</f>
        <v>20979815.383749999</v>
      </c>
      <c r="G140" s="9">
        <f t="shared" ref="G140:G141" si="105">F140/(E140+F140)</f>
        <v>0.46621811963888887</v>
      </c>
    </row>
    <row r="141" spans="1:14" x14ac:dyDescent="0.35">
      <c r="A141" s="57">
        <v>44677</v>
      </c>
      <c r="B141" t="s">
        <v>238</v>
      </c>
      <c r="C141" s="3">
        <v>11380000</v>
      </c>
      <c r="D141" s="3">
        <v>1</v>
      </c>
      <c r="E141" s="3">
        <f>105784784.79*(D141/10)</f>
        <v>10578478.479000002</v>
      </c>
      <c r="F141" s="3">
        <f t="shared" si="104"/>
        <v>801521.52099999785</v>
      </c>
      <c r="G141" s="9">
        <f t="shared" si="105"/>
        <v>7.0432471089630744E-2</v>
      </c>
    </row>
    <row r="142" spans="1:14" x14ac:dyDescent="0.35">
      <c r="A142" s="57">
        <v>44677</v>
      </c>
      <c r="B142" t="s">
        <v>299</v>
      </c>
      <c r="C142" s="3">
        <v>19000000</v>
      </c>
      <c r="D142" s="3">
        <v>1</v>
      </c>
      <c r="E142" s="3">
        <f>187561221.05*(D142/16)</f>
        <v>11722576.315625001</v>
      </c>
      <c r="F142" s="3">
        <f t="shared" ref="F142" si="106">(C142*D142)-E142</f>
        <v>7277423.6843749993</v>
      </c>
      <c r="G142" s="9">
        <f t="shared" ref="G142" si="107">F142/(E142+F142)</f>
        <v>0.38302229917763153</v>
      </c>
      <c r="J142" s="2"/>
      <c r="N142" s="4"/>
    </row>
    <row r="143" spans="1:14" x14ac:dyDescent="0.35">
      <c r="A143" s="57">
        <v>44677</v>
      </c>
      <c r="B143" t="s">
        <v>299</v>
      </c>
      <c r="C143" s="3">
        <v>17010000</v>
      </c>
      <c r="D143" s="3">
        <v>2</v>
      </c>
      <c r="E143" s="3">
        <f>187561221.05*(D143/16)</f>
        <v>23445152.631250001</v>
      </c>
      <c r="F143" s="3">
        <f t="shared" ref="F143" si="108">(C143*D143)-E143</f>
        <v>10574847.368749999</v>
      </c>
      <c r="G143" s="9">
        <f t="shared" ref="G143" si="109">F143/(E143+F143)</f>
        <v>0.3108420743312757</v>
      </c>
    </row>
    <row r="144" spans="1:14" x14ac:dyDescent="0.35">
      <c r="A144" s="57">
        <v>44677</v>
      </c>
      <c r="B144" t="s">
        <v>299</v>
      </c>
      <c r="C144" s="3">
        <v>17000000</v>
      </c>
      <c r="D144" s="3">
        <v>1</v>
      </c>
      <c r="E144" s="3">
        <f>187561221.05*(D144/16)</f>
        <v>11722576.315625001</v>
      </c>
      <c r="F144" s="3">
        <f t="shared" ref="F144:F145" si="110">(C144*D144)-E144</f>
        <v>5277423.6843749993</v>
      </c>
      <c r="G144" s="9">
        <f t="shared" ref="G144:G145" si="111">F144/(E144+F144)</f>
        <v>0.31043668731617641</v>
      </c>
    </row>
    <row r="145" spans="1:11" x14ac:dyDescent="0.35">
      <c r="A145" s="57">
        <v>44677</v>
      </c>
      <c r="B145" t="s">
        <v>238</v>
      </c>
      <c r="C145" s="3">
        <v>13010000</v>
      </c>
      <c r="D145" s="3">
        <v>1</v>
      </c>
      <c r="E145" s="3">
        <f>105784784.79*(D145/10)</f>
        <v>10578478.479000002</v>
      </c>
      <c r="F145" s="3">
        <f t="shared" si="110"/>
        <v>2431521.5209999979</v>
      </c>
      <c r="G145" s="9">
        <f t="shared" si="111"/>
        <v>0.18689635057647946</v>
      </c>
    </row>
    <row r="146" spans="1:11" x14ac:dyDescent="0.35">
      <c r="A146" s="57">
        <v>44677</v>
      </c>
      <c r="B146" t="s">
        <v>238</v>
      </c>
      <c r="C146" s="3">
        <v>13000000</v>
      </c>
      <c r="D146" s="3">
        <v>5</v>
      </c>
      <c r="E146" s="3">
        <f>105784784.79*(D146/10)</f>
        <v>52892392.395000003</v>
      </c>
      <c r="F146" s="3">
        <f t="shared" ref="F146" si="112">(C146*D146)-E146</f>
        <v>12107607.604999997</v>
      </c>
      <c r="G146" s="9">
        <f t="shared" ref="G146" si="113">F146/(E146+F146)</f>
        <v>0.18627088623076918</v>
      </c>
    </row>
    <row r="147" spans="1:11" x14ac:dyDescent="0.35">
      <c r="A147" s="57">
        <v>44677</v>
      </c>
      <c r="B147" t="s">
        <v>191</v>
      </c>
      <c r="C147" s="3">
        <v>20180000</v>
      </c>
      <c r="D147" s="3">
        <v>12</v>
      </c>
      <c r="E147" s="3">
        <f>201790636.97*(D147/16)</f>
        <v>151342977.72749999</v>
      </c>
      <c r="F147" s="3">
        <f t="shared" ref="F147" si="114">(C147*D147)-E147</f>
        <v>90817022.272500008</v>
      </c>
      <c r="G147" s="9">
        <f t="shared" ref="G147" si="115">F147/(E147+F147)</f>
        <v>0.37502899848240834</v>
      </c>
    </row>
    <row r="148" spans="1:11" x14ac:dyDescent="0.35">
      <c r="A148" s="57">
        <v>44677</v>
      </c>
      <c r="B148" t="s">
        <v>191</v>
      </c>
      <c r="C148" s="3">
        <v>20140000</v>
      </c>
      <c r="D148" s="3">
        <v>4</v>
      </c>
      <c r="E148" s="3">
        <f>201790636.97*(D148/16)</f>
        <v>50447659.2425</v>
      </c>
      <c r="F148" s="3">
        <f t="shared" ref="F148:F150" si="116">(C148*D148)-E148</f>
        <v>30112340.7575</v>
      </c>
      <c r="G148" s="9">
        <f t="shared" ref="G148:G149" si="117">F148/(E148+F148)</f>
        <v>0.3737877452519861</v>
      </c>
    </row>
    <row r="149" spans="1:11" x14ac:dyDescent="0.35">
      <c r="A149" s="57">
        <v>44681</v>
      </c>
      <c r="B149" t="s">
        <v>238</v>
      </c>
      <c r="C149" s="3">
        <v>16010000</v>
      </c>
      <c r="D149" s="3">
        <v>3</v>
      </c>
      <c r="E149" s="3">
        <f>105784784.79*(D149/10)</f>
        <v>31735435.436999999</v>
      </c>
      <c r="F149" s="3">
        <f t="shared" si="116"/>
        <v>16294564.563000001</v>
      </c>
      <c r="G149" s="9">
        <f t="shared" si="117"/>
        <v>0.33925805877576515</v>
      </c>
    </row>
    <row r="150" spans="1:11" x14ac:dyDescent="0.35">
      <c r="A150" s="57">
        <v>44681</v>
      </c>
      <c r="B150" t="s">
        <v>299</v>
      </c>
      <c r="C150" s="3">
        <v>15000000</v>
      </c>
      <c r="D150" s="3">
        <v>10</v>
      </c>
      <c r="E150" s="3">
        <f>187561221.05*(D150/16)</f>
        <v>117225763.15625</v>
      </c>
      <c r="F150" s="3">
        <f t="shared" si="116"/>
        <v>32774236.84375</v>
      </c>
      <c r="G150" s="9">
        <f>F150/(E150+F150)</f>
        <v>0.21849491229166668</v>
      </c>
    </row>
    <row r="151" spans="1:11" x14ac:dyDescent="0.35">
      <c r="A151" s="57"/>
      <c r="E151" s="3" cm="1">
        <f t="array" ref="E151">SUM(ABS(E125:E150))</f>
        <v>1095832847.1587498</v>
      </c>
      <c r="F151" s="3" cm="1">
        <f t="array" ref="F151">SUM(ABS(F125:F150))</f>
        <v>537697152.84125006</v>
      </c>
      <c r="G151" s="9"/>
      <c r="J151" s="9">
        <f>F151/(F151+E151)</f>
        <v>0.3291627045975587</v>
      </c>
      <c r="K151" s="3">
        <f>F151+E151</f>
        <v>1633530000</v>
      </c>
    </row>
    <row r="152" spans="1:11" x14ac:dyDescent="0.35">
      <c r="A152" s="57">
        <v>44687</v>
      </c>
      <c r="B152" t="s">
        <v>299</v>
      </c>
      <c r="C152" s="3">
        <v>13850000</v>
      </c>
      <c r="D152" s="3">
        <v>1</v>
      </c>
      <c r="E152" s="3">
        <f>187561221.05*(D152/16)</f>
        <v>11722576.315625001</v>
      </c>
      <c r="F152" s="3">
        <f t="shared" ref="F152" si="118">(C152*D152)-E152</f>
        <v>2127423.6843749993</v>
      </c>
      <c r="G152" s="9">
        <f t="shared" ref="G152" si="119">F152/(E152+F152)</f>
        <v>0.15360459814981944</v>
      </c>
    </row>
    <row r="153" spans="1:11" x14ac:dyDescent="0.35">
      <c r="A153" s="57">
        <v>44684</v>
      </c>
      <c r="B153" t="s">
        <v>191</v>
      </c>
      <c r="C153" s="3">
        <v>19510000</v>
      </c>
      <c r="D153" s="3">
        <v>1</v>
      </c>
      <c r="E153" s="3">
        <f>271298883.51*(D153/16)</f>
        <v>16956180.219374999</v>
      </c>
      <c r="F153" s="3">
        <f t="shared" ref="F153:F154" si="120">(C153*D153)-E153</f>
        <v>2553819.7806250006</v>
      </c>
      <c r="G153" s="9">
        <f t="shared" ref="G153:G154" si="121">F153/(E153+F153)</f>
        <v>0.13089798978088163</v>
      </c>
    </row>
    <row r="154" spans="1:11" x14ac:dyDescent="0.35">
      <c r="A154" s="57">
        <v>44684</v>
      </c>
      <c r="B154" t="s">
        <v>334</v>
      </c>
      <c r="C154" s="3">
        <v>26040000</v>
      </c>
      <c r="D154" s="3">
        <v>1</v>
      </c>
      <c r="E154" s="2">
        <f>(299244466.31/16)*D154</f>
        <v>18702779.144375</v>
      </c>
      <c r="F154" s="3">
        <f t="shared" si="120"/>
        <v>7337220.8556249999</v>
      </c>
      <c r="G154" s="9">
        <f t="shared" si="121"/>
        <v>0.28176731396409371</v>
      </c>
    </row>
    <row r="155" spans="1:11" x14ac:dyDescent="0.35">
      <c r="A155" s="57">
        <v>44684</v>
      </c>
      <c r="B155" t="s">
        <v>334</v>
      </c>
      <c r="C155" s="3">
        <v>26030000</v>
      </c>
      <c r="D155" s="3">
        <v>1</v>
      </c>
      <c r="E155" s="2">
        <f>(299244466.31/16)*D155</f>
        <v>18702779.144375</v>
      </c>
      <c r="F155" s="3">
        <f t="shared" ref="F155" si="122">(C155*D155)-E155</f>
        <v>7327220.8556249999</v>
      </c>
      <c r="G155" s="9">
        <f t="shared" ref="G155" si="123">F155/(E155+F155)</f>
        <v>0.2814913889982712</v>
      </c>
    </row>
    <row r="156" spans="1:11" x14ac:dyDescent="0.35">
      <c r="A156" s="57">
        <v>44684</v>
      </c>
      <c r="B156" t="s">
        <v>334</v>
      </c>
      <c r="C156" s="3">
        <v>26000000</v>
      </c>
      <c r="D156" s="3">
        <v>2</v>
      </c>
      <c r="E156" s="2">
        <f>(299244466.31/16)*D156</f>
        <v>37405558.28875</v>
      </c>
      <c r="F156" s="3">
        <f t="shared" ref="F156:F158" si="124">(C156*D156)-E156</f>
        <v>14594441.71125</v>
      </c>
      <c r="G156" s="9">
        <f t="shared" ref="G156:G158" si="125">F156/(E156+F156)</f>
        <v>0.28066234060096151</v>
      </c>
    </row>
    <row r="157" spans="1:11" x14ac:dyDescent="0.35">
      <c r="A157" s="57">
        <v>44684</v>
      </c>
      <c r="B157" t="s">
        <v>334</v>
      </c>
      <c r="C157" s="3">
        <v>23850000</v>
      </c>
      <c r="D157" s="3">
        <v>8</v>
      </c>
      <c r="E157" s="2">
        <f>(299244466.31/16)*D157</f>
        <v>149622233.155</v>
      </c>
      <c r="F157" s="3">
        <f t="shared" si="124"/>
        <v>41177766.844999999</v>
      </c>
      <c r="G157" s="9">
        <f t="shared" si="125"/>
        <v>0.2158163880765199</v>
      </c>
    </row>
    <row r="158" spans="1:11" x14ac:dyDescent="0.35">
      <c r="A158" s="57">
        <v>44688</v>
      </c>
      <c r="B158" t="s">
        <v>334</v>
      </c>
      <c r="C158" s="3">
        <v>23960000</v>
      </c>
      <c r="D158" s="3">
        <v>1</v>
      </c>
      <c r="E158" s="3">
        <f>(269320097.01/16)*D158</f>
        <v>16832506.063124999</v>
      </c>
      <c r="F158" s="3">
        <f t="shared" si="124"/>
        <v>7127493.9368750006</v>
      </c>
      <c r="G158" s="9">
        <f t="shared" si="125"/>
        <v>0.29747470521181135</v>
      </c>
    </row>
    <row r="159" spans="1:11" x14ac:dyDescent="0.35">
      <c r="A159" s="57">
        <v>44688</v>
      </c>
      <c r="B159" t="s">
        <v>334</v>
      </c>
      <c r="C159" s="3">
        <v>23950000</v>
      </c>
      <c r="D159" s="3">
        <v>1</v>
      </c>
      <c r="E159" s="3">
        <f t="shared" ref="E159:E163" si="126">(269320097.01/16)*D159</f>
        <v>16832506.063124999</v>
      </c>
      <c r="F159" s="3">
        <f t="shared" ref="F159:F163" si="127">(C159*D159)-E159</f>
        <v>7117493.9368750006</v>
      </c>
      <c r="G159" s="9">
        <f t="shared" ref="G159:G163" si="128">F159/(E159+F159)</f>
        <v>0.29718137523486432</v>
      </c>
    </row>
    <row r="160" spans="1:11" x14ac:dyDescent="0.35">
      <c r="A160" s="57">
        <v>44688</v>
      </c>
      <c r="B160" t="s">
        <v>334</v>
      </c>
      <c r="C160" s="3">
        <v>23930000</v>
      </c>
      <c r="D160" s="3">
        <v>1</v>
      </c>
      <c r="E160" s="3">
        <f t="shared" si="126"/>
        <v>16832506.063124999</v>
      </c>
      <c r="F160" s="3">
        <f t="shared" si="127"/>
        <v>7097493.9368750006</v>
      </c>
      <c r="G160" s="9">
        <f t="shared" si="128"/>
        <v>0.29659397981090685</v>
      </c>
    </row>
    <row r="161" spans="1:10" x14ac:dyDescent="0.35">
      <c r="A161" s="57">
        <v>44688</v>
      </c>
      <c r="B161" t="s">
        <v>334</v>
      </c>
      <c r="C161" s="3">
        <v>23920000</v>
      </c>
      <c r="D161" s="3">
        <v>1</v>
      </c>
      <c r="E161" s="3">
        <f t="shared" si="126"/>
        <v>16832506.063124999</v>
      </c>
      <c r="F161" s="3">
        <f t="shared" si="127"/>
        <v>7087493.9368750006</v>
      </c>
      <c r="G161" s="9">
        <f t="shared" si="128"/>
        <v>0.29629991374895487</v>
      </c>
    </row>
    <row r="162" spans="1:10" x14ac:dyDescent="0.35">
      <c r="A162" s="57">
        <v>44688</v>
      </c>
      <c r="B162" t="s">
        <v>334</v>
      </c>
      <c r="C162" s="3">
        <v>23870000</v>
      </c>
      <c r="D162" s="3">
        <v>1</v>
      </c>
      <c r="E162" s="3">
        <f t="shared" si="126"/>
        <v>16832506.063124999</v>
      </c>
      <c r="F162" s="3">
        <f t="shared" si="127"/>
        <v>7037493.9368750006</v>
      </c>
      <c r="G162" s="9">
        <f t="shared" si="128"/>
        <v>0.29482588759426059</v>
      </c>
    </row>
    <row r="163" spans="1:10" x14ac:dyDescent="0.35">
      <c r="A163" s="57">
        <v>44688</v>
      </c>
      <c r="B163" t="s">
        <v>334</v>
      </c>
      <c r="C163" s="3">
        <v>23690000</v>
      </c>
      <c r="D163" s="3">
        <v>5</v>
      </c>
      <c r="E163" s="3">
        <f t="shared" si="126"/>
        <v>84162530.315624997</v>
      </c>
      <c r="F163" s="3">
        <f t="shared" si="127"/>
        <v>34287469.684375003</v>
      </c>
      <c r="G163" s="9">
        <f t="shared" si="128"/>
        <v>0.28946787407661462</v>
      </c>
    </row>
    <row r="164" spans="1:10" x14ac:dyDescent="0.35">
      <c r="A164" s="57">
        <v>44688</v>
      </c>
      <c r="B164" t="s">
        <v>334</v>
      </c>
      <c r="C164" s="3">
        <v>20910000</v>
      </c>
      <c r="D164" s="3">
        <v>6</v>
      </c>
      <c r="E164" s="3">
        <f t="shared" ref="E164" si="129">(269320097.01/16)*D164</f>
        <v>100995036.37875</v>
      </c>
      <c r="F164" s="3">
        <f t="shared" ref="F164:F166" si="130">(C164*D164)-E164</f>
        <v>24464963.621250004</v>
      </c>
      <c r="G164" s="9">
        <f t="shared" ref="G164:G166" si="131">F164/(E164+F164)</f>
        <v>0.19500210123744624</v>
      </c>
    </row>
    <row r="165" spans="1:10" x14ac:dyDescent="0.35">
      <c r="A165" s="57">
        <v>44688</v>
      </c>
      <c r="B165" t="s">
        <v>299</v>
      </c>
      <c r="C165" s="3">
        <v>13830000</v>
      </c>
      <c r="D165" s="3">
        <v>1</v>
      </c>
      <c r="E165" s="3">
        <f>187561221.05*(D165/16)</f>
        <v>11722576.315625001</v>
      </c>
      <c r="F165" s="3">
        <f t="shared" si="130"/>
        <v>2107423.6843749993</v>
      </c>
      <c r="G165" s="9">
        <f t="shared" si="131"/>
        <v>0.15238059901482279</v>
      </c>
    </row>
    <row r="166" spans="1:10" x14ac:dyDescent="0.35">
      <c r="A166" s="57">
        <v>44688</v>
      </c>
      <c r="B166" t="s">
        <v>191</v>
      </c>
      <c r="C166" s="3">
        <v>16990000</v>
      </c>
      <c r="D166" s="3">
        <v>2</v>
      </c>
      <c r="E166" s="3">
        <f>180501858.01*(D166/16)</f>
        <v>22562732.251249999</v>
      </c>
      <c r="F166" s="3">
        <f t="shared" si="130"/>
        <v>11417267.748750001</v>
      </c>
      <c r="G166" s="9">
        <f t="shared" si="131"/>
        <v>0.33599963945703359</v>
      </c>
    </row>
    <row r="167" spans="1:10" x14ac:dyDescent="0.35">
      <c r="A167" s="57">
        <v>44688</v>
      </c>
      <c r="B167" t="s">
        <v>191</v>
      </c>
      <c r="C167" s="3">
        <v>16930000</v>
      </c>
      <c r="D167" s="3">
        <v>11</v>
      </c>
      <c r="E167" s="3">
        <f>180501858.01*(D167/16)</f>
        <v>124095027.38187499</v>
      </c>
      <c r="F167" s="3">
        <f t="shared" ref="F167" si="132">(C167*D167)-E167</f>
        <v>62134972.618125007</v>
      </c>
      <c r="G167" s="9">
        <f t="shared" ref="G167" si="133">F167/(E167+F167)</f>
        <v>0.33364641904164211</v>
      </c>
    </row>
    <row r="168" spans="1:10" x14ac:dyDescent="0.35">
      <c r="A168" s="57">
        <v>44688</v>
      </c>
      <c r="B168" t="s">
        <v>191</v>
      </c>
      <c r="C168" s="3">
        <v>16930000</v>
      </c>
      <c r="D168" s="3">
        <v>1</v>
      </c>
      <c r="E168" s="3">
        <f>180501858.01*(D168/16)</f>
        <v>11281366.125624999</v>
      </c>
      <c r="F168" s="3">
        <f t="shared" ref="F168" si="134">(C168*D168)-E168</f>
        <v>5648633.8743750006</v>
      </c>
      <c r="G168" s="9">
        <f t="shared" ref="G168" si="135">F168/(E168+F168)</f>
        <v>0.33364641904164211</v>
      </c>
    </row>
    <row r="169" spans="1:10" x14ac:dyDescent="0.35">
      <c r="A169" s="57">
        <v>44688</v>
      </c>
      <c r="B169" t="s">
        <v>191</v>
      </c>
      <c r="C169" s="3">
        <v>17940000</v>
      </c>
      <c r="D169" s="3">
        <v>1</v>
      </c>
      <c r="E169" s="3">
        <f>180501858.01*(D169/16)</f>
        <v>11281366.125624999</v>
      </c>
      <c r="F169" s="3">
        <f t="shared" ref="F169" si="136">(C169*D169)-E169</f>
        <v>6658633.8743750006</v>
      </c>
      <c r="G169" s="9">
        <f t="shared" ref="G169" si="137">F169/(E169+F169)</f>
        <v>0.3711613084935898</v>
      </c>
    </row>
    <row r="170" spans="1:10" x14ac:dyDescent="0.35">
      <c r="A170" s="57">
        <v>44688</v>
      </c>
      <c r="B170" t="s">
        <v>191</v>
      </c>
      <c r="C170" s="3">
        <v>17930000</v>
      </c>
      <c r="D170" s="3">
        <v>1</v>
      </c>
      <c r="E170" s="3">
        <f>180501858.01*(D170/16)</f>
        <v>11281366.125624999</v>
      </c>
      <c r="F170" s="3">
        <f t="shared" ref="F170:F174" si="138">(C170*D170)-E170</f>
        <v>6648633.8743750006</v>
      </c>
      <c r="G170" s="9">
        <f t="shared" ref="G170:G174" si="139">F170/(E170+F170)</f>
        <v>0.37081058975878417</v>
      </c>
    </row>
    <row r="171" spans="1:10" x14ac:dyDescent="0.35">
      <c r="A171" s="57">
        <v>44695</v>
      </c>
      <c r="B171" t="s">
        <v>191</v>
      </c>
      <c r="C171" s="3">
        <v>18670000</v>
      </c>
      <c r="D171" s="3">
        <v>2</v>
      </c>
      <c r="E171" s="3">
        <f t="shared" ref="E171:E176" si="140">168760565.29*(D171/16)</f>
        <v>21095070.661249999</v>
      </c>
      <c r="F171" s="3">
        <f t="shared" si="138"/>
        <v>16244929.338750001</v>
      </c>
      <c r="G171" s="9">
        <f t="shared" si="139"/>
        <v>0.43505434758302092</v>
      </c>
      <c r="J171" s="2"/>
    </row>
    <row r="172" spans="1:10" x14ac:dyDescent="0.35">
      <c r="A172" s="57">
        <v>44695</v>
      </c>
      <c r="B172" t="s">
        <v>191</v>
      </c>
      <c r="C172" s="3">
        <v>17000000</v>
      </c>
      <c r="D172" s="3">
        <v>1</v>
      </c>
      <c r="E172" s="3">
        <f t="shared" si="140"/>
        <v>10547535.330624999</v>
      </c>
      <c r="F172" s="3">
        <f t="shared" si="138"/>
        <v>6452464.6693750005</v>
      </c>
      <c r="G172" s="9">
        <f t="shared" si="139"/>
        <v>0.37955674525735295</v>
      </c>
    </row>
    <row r="173" spans="1:10" x14ac:dyDescent="0.35">
      <c r="A173" s="57">
        <v>44695</v>
      </c>
      <c r="B173" t="s">
        <v>191</v>
      </c>
      <c r="C173" s="3">
        <v>16890000</v>
      </c>
      <c r="D173" s="3">
        <v>4</v>
      </c>
      <c r="E173" s="3">
        <f t="shared" si="140"/>
        <v>42190141.322499998</v>
      </c>
      <c r="F173" s="3">
        <f t="shared" si="138"/>
        <v>25369858.677500002</v>
      </c>
      <c r="G173" s="9">
        <f t="shared" si="139"/>
        <v>0.37551596621521616</v>
      </c>
    </row>
    <row r="174" spans="1:10" x14ac:dyDescent="0.35">
      <c r="A174" s="57">
        <v>44695</v>
      </c>
      <c r="B174" t="s">
        <v>191</v>
      </c>
      <c r="C174" s="3">
        <v>15500000</v>
      </c>
      <c r="D174" s="3">
        <v>5</v>
      </c>
      <c r="E174" s="3">
        <f t="shared" si="140"/>
        <v>52737676.653124996</v>
      </c>
      <c r="F174" s="3">
        <f t="shared" si="138"/>
        <v>24762323.346875004</v>
      </c>
      <c r="G174" s="9">
        <f t="shared" si="139"/>
        <v>0.31951384963709684</v>
      </c>
    </row>
    <row r="175" spans="1:10" x14ac:dyDescent="0.35">
      <c r="A175" s="57">
        <v>44695</v>
      </c>
      <c r="B175" t="s">
        <v>191</v>
      </c>
      <c r="C175" s="3">
        <v>15390000</v>
      </c>
      <c r="D175" s="3">
        <v>3</v>
      </c>
      <c r="E175" s="3">
        <f t="shared" si="140"/>
        <v>31642605.991875</v>
      </c>
      <c r="F175" s="3">
        <f t="shared" ref="F175:F178" si="141">(C175*D175)-E175</f>
        <v>14527394.008125</v>
      </c>
      <c r="G175" s="9">
        <f t="shared" ref="G175:G178" si="142">F175/(E175+F175)</f>
        <v>0.314650075982781</v>
      </c>
    </row>
    <row r="176" spans="1:10" x14ac:dyDescent="0.35">
      <c r="A176" s="57">
        <v>44695</v>
      </c>
      <c r="B176" t="s">
        <v>191</v>
      </c>
      <c r="C176" s="3">
        <v>15400000</v>
      </c>
      <c r="D176" s="3">
        <v>1</v>
      </c>
      <c r="E176" s="3">
        <f t="shared" si="140"/>
        <v>10547535.330624999</v>
      </c>
      <c r="F176" s="3">
        <f t="shared" si="141"/>
        <v>4852464.6693750005</v>
      </c>
      <c r="G176" s="9">
        <f t="shared" si="142"/>
        <v>0.31509510840097404</v>
      </c>
    </row>
    <row r="177" spans="1:11" x14ac:dyDescent="0.35">
      <c r="A177" s="57">
        <v>44706</v>
      </c>
      <c r="B177" t="s">
        <v>299</v>
      </c>
      <c r="C177" s="3">
        <v>15500000</v>
      </c>
      <c r="D177" s="3">
        <v>3</v>
      </c>
      <c r="E177" s="3">
        <f>181348407.51*(D177/16)</f>
        <v>34002826.408124998</v>
      </c>
      <c r="F177" s="3">
        <f t="shared" si="141"/>
        <v>12497173.591875002</v>
      </c>
      <c r="G177" s="9">
        <f t="shared" si="142"/>
        <v>0.2687564213306452</v>
      </c>
    </row>
    <row r="178" spans="1:11" x14ac:dyDescent="0.35">
      <c r="A178" s="57">
        <v>44706</v>
      </c>
      <c r="B178" t="s">
        <v>238</v>
      </c>
      <c r="C178" s="3">
        <v>15120000</v>
      </c>
      <c r="D178" s="3">
        <v>4</v>
      </c>
      <c r="E178" s="3">
        <f>160571426.84*(D178/16)</f>
        <v>40142856.710000001</v>
      </c>
      <c r="F178" s="3">
        <f t="shared" si="141"/>
        <v>20337143.289999999</v>
      </c>
      <c r="G178" s="9">
        <f t="shared" si="142"/>
        <v>0.33626228984788359</v>
      </c>
    </row>
    <row r="179" spans="1:11" x14ac:dyDescent="0.35">
      <c r="A179" s="57">
        <v>44706</v>
      </c>
      <c r="B179" t="s">
        <v>238</v>
      </c>
      <c r="C179" s="3">
        <v>15110000</v>
      </c>
      <c r="D179" s="3">
        <v>1</v>
      </c>
      <c r="E179" s="3">
        <f t="shared" ref="E179:E182" si="143">160571426.84*(D179/16)</f>
        <v>10035714.1775</v>
      </c>
      <c r="F179" s="3">
        <f t="shared" ref="F179:F183" si="144">(C179*D179)-E179</f>
        <v>5074285.8224999998</v>
      </c>
      <c r="G179" s="9">
        <f t="shared" ref="G179:G183" si="145">F179/(E179+F179)</f>
        <v>0.33582301935804104</v>
      </c>
    </row>
    <row r="180" spans="1:11" x14ac:dyDescent="0.35">
      <c r="A180" s="57">
        <v>44706</v>
      </c>
      <c r="B180" t="s">
        <v>238</v>
      </c>
      <c r="C180" s="3">
        <v>15070000</v>
      </c>
      <c r="D180" s="3">
        <v>1</v>
      </c>
      <c r="E180" s="3">
        <f t="shared" si="143"/>
        <v>10035714.1775</v>
      </c>
      <c r="F180" s="3">
        <f t="shared" si="144"/>
        <v>5034285.8224999998</v>
      </c>
      <c r="G180" s="9">
        <f t="shared" si="145"/>
        <v>0.33406010766423355</v>
      </c>
    </row>
    <row r="181" spans="1:11" x14ac:dyDescent="0.35">
      <c r="A181" s="57">
        <v>44706</v>
      </c>
      <c r="B181" t="s">
        <v>238</v>
      </c>
      <c r="C181" s="3">
        <v>14800000</v>
      </c>
      <c r="D181" s="3">
        <v>1</v>
      </c>
      <c r="E181" s="3">
        <f t="shared" si="143"/>
        <v>10035714.1775</v>
      </c>
      <c r="F181" s="3">
        <f t="shared" si="144"/>
        <v>4764285.8224999998</v>
      </c>
      <c r="G181" s="9">
        <f t="shared" si="145"/>
        <v>0.32191120422297298</v>
      </c>
    </row>
    <row r="182" spans="1:11" x14ac:dyDescent="0.35">
      <c r="A182" s="57">
        <v>44706</v>
      </c>
      <c r="B182" t="s">
        <v>238</v>
      </c>
      <c r="C182" s="3">
        <v>14220000</v>
      </c>
      <c r="D182" s="3">
        <v>9</v>
      </c>
      <c r="E182" s="3">
        <f t="shared" si="143"/>
        <v>90321427.597499996</v>
      </c>
      <c r="F182" s="3">
        <f t="shared" si="144"/>
        <v>37658572.402500004</v>
      </c>
      <c r="G182" s="9">
        <f t="shared" si="145"/>
        <v>0.2942535740154712</v>
      </c>
    </row>
    <row r="183" spans="1:11" x14ac:dyDescent="0.35">
      <c r="A183" s="57">
        <v>44707</v>
      </c>
      <c r="B183" t="s">
        <v>299</v>
      </c>
      <c r="C183" s="3">
        <v>14500000</v>
      </c>
      <c r="D183" s="3">
        <v>1</v>
      </c>
      <c r="E183" s="3">
        <f>181348407.51*(D183/16)</f>
        <v>11334275.469374999</v>
      </c>
      <c r="F183" s="3">
        <f t="shared" si="144"/>
        <v>3165724.5306250006</v>
      </c>
      <c r="G183" s="9">
        <f t="shared" si="145"/>
        <v>0.21832582969827591</v>
      </c>
    </row>
    <row r="184" spans="1:11" x14ac:dyDescent="0.35">
      <c r="A184" s="57">
        <v>44709</v>
      </c>
      <c r="B184" t="s">
        <v>299</v>
      </c>
      <c r="C184" s="3">
        <v>14500000</v>
      </c>
      <c r="D184" s="3">
        <v>1</v>
      </c>
      <c r="E184" s="3">
        <f>181348407.51*(D184/16)</f>
        <v>11334275.469374999</v>
      </c>
      <c r="F184" s="3">
        <f t="shared" ref="F184" si="146">(C184*D184)-E184</f>
        <v>3165724.5306250006</v>
      </c>
      <c r="G184" s="9">
        <f t="shared" ref="G184" si="147">F184/(E184+F184)</f>
        <v>0.21832582969827591</v>
      </c>
    </row>
    <row r="185" spans="1:11" x14ac:dyDescent="0.35">
      <c r="A185" s="57">
        <v>44709</v>
      </c>
      <c r="B185" t="s">
        <v>299</v>
      </c>
      <c r="C185" s="3">
        <v>14210000</v>
      </c>
      <c r="D185" s="3">
        <v>11</v>
      </c>
      <c r="E185" s="3">
        <f>181348407.51*(D185/16)</f>
        <v>124677030.16312499</v>
      </c>
      <c r="F185" s="3">
        <f t="shared" ref="F185:F188" si="148">(C185*D185)-E185</f>
        <v>31632969.836875007</v>
      </c>
      <c r="G185" s="9">
        <f t="shared" ref="G185:G188" si="149">F185/(E185+F185)</f>
        <v>0.20237329561048562</v>
      </c>
    </row>
    <row r="186" spans="1:11" x14ac:dyDescent="0.35">
      <c r="E186" s="3" cm="1">
        <f t="array" ref="E186">SUM(ABS(E152:E185))</f>
        <v>1225337037.2431252</v>
      </c>
      <c r="F186" s="3" cm="1">
        <f t="array" ref="F186">SUM(ABS(F152:F185))</f>
        <v>479492962.75687498</v>
      </c>
      <c r="G186" s="9"/>
      <c r="J186" s="9">
        <f>F186/(F186+E186)</f>
        <v>0.28125558721800703</v>
      </c>
      <c r="K186" s="3">
        <f>F186+E186</f>
        <v>1704830000.0000002</v>
      </c>
    </row>
    <row r="187" spans="1:11" x14ac:dyDescent="0.35">
      <c r="A187" s="57">
        <v>44730</v>
      </c>
      <c r="B187" t="s">
        <v>191</v>
      </c>
      <c r="C187" s="3">
        <v>18200000</v>
      </c>
      <c r="D187" s="3">
        <v>4</v>
      </c>
      <c r="E187" s="3">
        <f>181554810.33*(D187/16)</f>
        <v>45388702.582500003</v>
      </c>
      <c r="F187" s="3">
        <f t="shared" si="148"/>
        <v>27411297.417499997</v>
      </c>
      <c r="G187" s="9">
        <f t="shared" si="149"/>
        <v>0.37652881067994504</v>
      </c>
    </row>
    <row r="188" spans="1:11" x14ac:dyDescent="0.35">
      <c r="A188" s="57">
        <v>44730</v>
      </c>
      <c r="B188" t="s">
        <v>334</v>
      </c>
      <c r="C188" s="3">
        <v>21420000</v>
      </c>
      <c r="D188" s="3">
        <v>3</v>
      </c>
      <c r="E188" s="3">
        <f>264639217.98*(D188/16)</f>
        <v>49619853.371249996</v>
      </c>
      <c r="F188" s="3">
        <f t="shared" si="148"/>
        <v>14640146.628750004</v>
      </c>
      <c r="G188" s="9">
        <f t="shared" si="149"/>
        <v>0.22782674492296925</v>
      </c>
    </row>
    <row r="189" spans="1:11" x14ac:dyDescent="0.35">
      <c r="A189" s="57">
        <v>44730</v>
      </c>
      <c r="B189" t="s">
        <v>191</v>
      </c>
      <c r="C189" s="3">
        <v>18180000</v>
      </c>
      <c r="D189" s="3">
        <v>3</v>
      </c>
      <c r="E189" s="3">
        <f>181554810.33*(D189/16)</f>
        <v>34041526.936875001</v>
      </c>
      <c r="F189" s="3">
        <f t="shared" ref="F189" si="150">(C189*D189)-E189</f>
        <v>20498473.063124999</v>
      </c>
      <c r="G189" s="9">
        <f t="shared" ref="G189" si="151">F189/(E189+F189)</f>
        <v>0.37584292378300327</v>
      </c>
    </row>
    <row r="190" spans="1:11" x14ac:dyDescent="0.35">
      <c r="A190" s="57">
        <v>44730</v>
      </c>
      <c r="B190" t="s">
        <v>191</v>
      </c>
      <c r="C190" s="3">
        <v>18180000</v>
      </c>
      <c r="D190" s="3">
        <v>5</v>
      </c>
      <c r="E190" s="3">
        <f t="shared" ref="E190:E191" si="152">181554810.33*(D190/16)</f>
        <v>56735878.228125006</v>
      </c>
      <c r="F190" s="3">
        <f t="shared" ref="F190:F197" si="153">(C190*D190)-E190</f>
        <v>34164121.771874994</v>
      </c>
      <c r="G190" s="9">
        <f t="shared" ref="G190:G197" si="154">F190/(E190+F190)</f>
        <v>0.37584292378300321</v>
      </c>
    </row>
    <row r="191" spans="1:11" x14ac:dyDescent="0.35">
      <c r="A191" s="57">
        <v>44730</v>
      </c>
      <c r="B191" t="s">
        <v>191</v>
      </c>
      <c r="C191" s="3">
        <v>18150000</v>
      </c>
      <c r="D191" s="3">
        <v>1</v>
      </c>
      <c r="E191" s="3">
        <f t="shared" si="152"/>
        <v>11347175.645625001</v>
      </c>
      <c r="F191" s="3">
        <f t="shared" si="153"/>
        <v>6802824.3543749992</v>
      </c>
      <c r="G191" s="9">
        <f t="shared" si="154"/>
        <v>0.37481125919421482</v>
      </c>
    </row>
    <row r="192" spans="1:11" x14ac:dyDescent="0.35">
      <c r="A192" s="57">
        <v>44730</v>
      </c>
      <c r="B192" t="s">
        <v>334</v>
      </c>
      <c r="C192" s="3">
        <v>21440000</v>
      </c>
      <c r="D192" s="3">
        <v>2</v>
      </c>
      <c r="E192" s="3">
        <f>264639217.98*(D192/16)</f>
        <v>33079902.247499999</v>
      </c>
      <c r="F192" s="3">
        <f t="shared" si="153"/>
        <v>9800097.7525000013</v>
      </c>
      <c r="G192" s="9">
        <f t="shared" si="154"/>
        <v>0.22854705579524257</v>
      </c>
    </row>
    <row r="193" spans="1:11" x14ac:dyDescent="0.35">
      <c r="A193" s="57">
        <v>44730</v>
      </c>
      <c r="B193" t="s">
        <v>334</v>
      </c>
      <c r="C193" s="3">
        <v>21430000</v>
      </c>
      <c r="D193" s="3">
        <v>9</v>
      </c>
      <c r="E193" s="3">
        <f>264639217.98*(D193/16)</f>
        <v>148859560.11374998</v>
      </c>
      <c r="F193" s="3">
        <f>(C193*D193)-E193</f>
        <v>44010439.886250019</v>
      </c>
      <c r="G193" s="9">
        <f t="shared" si="154"/>
        <v>0.22818706842043873</v>
      </c>
    </row>
    <row r="194" spans="1:11" x14ac:dyDescent="0.35">
      <c r="A194" s="57">
        <v>44730</v>
      </c>
      <c r="B194" t="s">
        <v>334</v>
      </c>
      <c r="C194" s="3">
        <v>21410000</v>
      </c>
      <c r="D194" s="3">
        <v>1</v>
      </c>
      <c r="E194" s="3">
        <f t="shared" ref="E194:E195" si="155">264639217.98*(D194/16)</f>
        <v>16539951.123749999</v>
      </c>
      <c r="F194" s="3">
        <f t="shared" si="153"/>
        <v>4870048.8762500007</v>
      </c>
      <c r="G194" s="9">
        <f t="shared" si="154"/>
        <v>0.22746608483185429</v>
      </c>
    </row>
    <row r="195" spans="1:11" x14ac:dyDescent="0.35">
      <c r="A195" s="57">
        <v>44730</v>
      </c>
      <c r="B195" t="s">
        <v>334</v>
      </c>
      <c r="C195" s="3">
        <v>21370000</v>
      </c>
      <c r="D195" s="3">
        <v>1</v>
      </c>
      <c r="E195" s="3">
        <f t="shared" si="155"/>
        <v>16539951.123749999</v>
      </c>
      <c r="F195" s="3">
        <f t="shared" si="153"/>
        <v>4830048.8762500007</v>
      </c>
      <c r="G195" s="9">
        <f t="shared" si="154"/>
        <v>0.22602006908048669</v>
      </c>
    </row>
    <row r="196" spans="1:11" x14ac:dyDescent="0.35">
      <c r="A196" s="57">
        <v>44731</v>
      </c>
      <c r="B196" t="s">
        <v>191</v>
      </c>
      <c r="C196" s="3">
        <v>17810000</v>
      </c>
      <c r="D196" s="3">
        <v>1</v>
      </c>
      <c r="E196" s="3">
        <f t="shared" ref="E196:E197" si="156">181554810.33*(D196/16)</f>
        <v>11347175.645625001</v>
      </c>
      <c r="F196" s="3">
        <f t="shared" si="153"/>
        <v>6462824.3543749992</v>
      </c>
      <c r="G196" s="9">
        <f t="shared" si="154"/>
        <v>0.36287615689921388</v>
      </c>
    </row>
    <row r="197" spans="1:11" x14ac:dyDescent="0.35">
      <c r="A197" s="57">
        <v>44731</v>
      </c>
      <c r="B197" t="s">
        <v>191</v>
      </c>
      <c r="C197" s="3">
        <v>17800000</v>
      </c>
      <c r="D197" s="3">
        <v>2</v>
      </c>
      <c r="E197" s="3">
        <f t="shared" si="156"/>
        <v>22694351.291250002</v>
      </c>
      <c r="F197" s="3">
        <f t="shared" si="153"/>
        <v>12905648.708749998</v>
      </c>
      <c r="G197" s="9">
        <f t="shared" si="154"/>
        <v>0.36251822215589885</v>
      </c>
    </row>
    <row r="198" spans="1:11" x14ac:dyDescent="0.35">
      <c r="A198" s="57">
        <v>44731</v>
      </c>
      <c r="B198" t="s">
        <v>170</v>
      </c>
      <c r="C198" s="3">
        <v>19430000</v>
      </c>
      <c r="D198" s="3">
        <v>1</v>
      </c>
      <c r="E198" s="3">
        <f>201340904.84*(D198/16)</f>
        <v>12583806.5525</v>
      </c>
      <c r="F198" s="3">
        <f t="shared" ref="F198" si="157">(C198*D198)-E198</f>
        <v>6846193.4474999998</v>
      </c>
      <c r="G198" s="9">
        <f t="shared" ref="G198" si="158">F198/(E198+F198)</f>
        <v>0.35235169570252184</v>
      </c>
    </row>
    <row r="199" spans="1:11" x14ac:dyDescent="0.35">
      <c r="A199" s="57">
        <v>44731</v>
      </c>
      <c r="B199" t="s">
        <v>170</v>
      </c>
      <c r="C199" s="3">
        <v>19420000</v>
      </c>
      <c r="D199" s="3">
        <v>1</v>
      </c>
      <c r="E199" s="3">
        <f>201340904.84*(D199/16)</f>
        <v>12583806.5525</v>
      </c>
      <c r="F199" s="3">
        <f t="shared" ref="F199" si="159">(C199*D199)-E199</f>
        <v>6836193.4474999998</v>
      </c>
      <c r="G199" s="9">
        <f t="shared" ref="G199" si="160">F199/(E199+F199)</f>
        <v>0.35201820018022656</v>
      </c>
    </row>
    <row r="200" spans="1:11" x14ac:dyDescent="0.35">
      <c r="A200" s="57">
        <v>44734</v>
      </c>
      <c r="B200" t="s">
        <v>170</v>
      </c>
      <c r="C200" s="3">
        <v>19460000</v>
      </c>
      <c r="D200" s="3">
        <v>1</v>
      </c>
      <c r="E200" s="3">
        <f>201340904.84*(D200/16)</f>
        <v>12583806.5525</v>
      </c>
      <c r="F200" s="3">
        <f t="shared" ref="F200" si="161">(C200*D200)-E200</f>
        <v>6876193.4474999998</v>
      </c>
      <c r="G200" s="9">
        <f t="shared" ref="G200" si="162">F200/(E200+F200)</f>
        <v>0.35335012577081193</v>
      </c>
    </row>
    <row r="201" spans="1:11" x14ac:dyDescent="0.35">
      <c r="A201" s="57">
        <v>44734</v>
      </c>
      <c r="B201" t="s">
        <v>170</v>
      </c>
      <c r="C201" s="3">
        <v>19430000</v>
      </c>
      <c r="D201" s="3">
        <v>11</v>
      </c>
      <c r="E201" s="3">
        <f>201340904.84*(D201/16)</f>
        <v>138421872.07750002</v>
      </c>
      <c r="F201" s="3">
        <f t="shared" ref="F201" si="163">(C201*D201)-E201</f>
        <v>75308127.922499985</v>
      </c>
      <c r="G201" s="9">
        <f t="shared" ref="G201" si="164">F201/(E201+F201)</f>
        <v>0.35235169570252178</v>
      </c>
    </row>
    <row r="202" spans="1:11" x14ac:dyDescent="0.35">
      <c r="A202" s="57">
        <v>44737</v>
      </c>
      <c r="B202" t="s">
        <v>170</v>
      </c>
      <c r="C202" s="3">
        <v>17100000</v>
      </c>
      <c r="D202" s="3">
        <v>2</v>
      </c>
      <c r="E202" s="3">
        <f>201340904.84*(D202/16)</f>
        <v>25167613.105</v>
      </c>
      <c r="F202" s="3">
        <f t="shared" ref="F202" si="165">(C202*D202)-E202</f>
        <v>9032386.8949999996</v>
      </c>
      <c r="G202" s="9">
        <f t="shared" ref="G202" si="166">F202/(E202+F202)</f>
        <v>0.26410487997076021</v>
      </c>
    </row>
    <row r="203" spans="1:11" x14ac:dyDescent="0.35">
      <c r="E203" s="3">
        <f>SUM(E187:E202)</f>
        <v>647534933.14999998</v>
      </c>
      <c r="F203" s="3">
        <f>SUM(F187:F202)</f>
        <v>291295066.84999996</v>
      </c>
      <c r="J203" s="9">
        <f>F203/(F203+E203)</f>
        <v>0.31027456179500013</v>
      </c>
      <c r="K203" s="3">
        <f>F203+E203</f>
        <v>938830000</v>
      </c>
    </row>
    <row r="204" spans="1:11" x14ac:dyDescent="0.35">
      <c r="A204" s="57">
        <v>44761</v>
      </c>
      <c r="B204" t="s">
        <v>191</v>
      </c>
      <c r="C204" s="3">
        <v>16710000</v>
      </c>
      <c r="D204" s="3">
        <v>12</v>
      </c>
      <c r="E204" s="3">
        <f>182991475.75*(D204/16)</f>
        <v>137243606.8125</v>
      </c>
      <c r="F204" s="3">
        <f t="shared" ref="F204" si="167">(C204*D204)-E204</f>
        <v>63276393.1875</v>
      </c>
      <c r="G204" s="9">
        <f t="shared" ref="G204" si="168">F204/(E204+F204)</f>
        <v>0.31556150602184319</v>
      </c>
    </row>
    <row r="205" spans="1:11" x14ac:dyDescent="0.35">
      <c r="A205" s="57">
        <v>44761</v>
      </c>
      <c r="B205" t="s">
        <v>191</v>
      </c>
      <c r="C205" s="3">
        <v>16720000</v>
      </c>
      <c r="D205" s="3">
        <v>4</v>
      </c>
      <c r="E205" s="3">
        <f>182991475.75*(D205/16)</f>
        <v>45747868.9375</v>
      </c>
      <c r="F205" s="3">
        <f t="shared" ref="F205" si="169">(C205*D205)-E205</f>
        <v>21132131.0625</v>
      </c>
      <c r="G205" s="9">
        <f t="shared" ref="G205" si="170">F205/(E205+F205)</f>
        <v>0.31597085918809809</v>
      </c>
    </row>
    <row r="206" spans="1:11" x14ac:dyDescent="0.35">
      <c r="A206" s="57">
        <v>44773</v>
      </c>
      <c r="B206" t="s">
        <v>193</v>
      </c>
      <c r="C206" s="3">
        <v>18500000</v>
      </c>
      <c r="D206" s="3">
        <v>1</v>
      </c>
      <c r="E206" s="3">
        <f>215012869.51*(D206/16)</f>
        <v>13438304.344374999</v>
      </c>
      <c r="F206" s="3">
        <f t="shared" ref="F206" si="171">(C206*D206)-E206</f>
        <v>5061695.6556250006</v>
      </c>
      <c r="G206" s="9">
        <f t="shared" ref="G206" si="172">F206/(E206+F206)</f>
        <v>0.27360517057432437</v>
      </c>
    </row>
    <row r="207" spans="1:11" x14ac:dyDescent="0.35">
      <c r="A207" s="57">
        <v>44773</v>
      </c>
      <c r="B207" t="s">
        <v>193</v>
      </c>
      <c r="C207" s="3">
        <v>16000000</v>
      </c>
      <c r="D207" s="3">
        <v>2</v>
      </c>
      <c r="E207" s="3">
        <f>215012869.51*(D207/16)</f>
        <v>26876608.688749999</v>
      </c>
      <c r="F207" s="3">
        <f t="shared" ref="F207" si="173">(C207*D207)-E207</f>
        <v>5123391.3112500012</v>
      </c>
      <c r="G207" s="9">
        <f t="shared" ref="G207" si="174">F207/(E207+F207)</f>
        <v>0.16010597847656255</v>
      </c>
    </row>
    <row r="208" spans="1:11" x14ac:dyDescent="0.35">
      <c r="A208" s="57">
        <v>44773</v>
      </c>
      <c r="B208" t="s">
        <v>193</v>
      </c>
      <c r="C208" s="3">
        <v>15840000</v>
      </c>
      <c r="D208" s="3">
        <v>8</v>
      </c>
      <c r="E208" s="3">
        <f>215012869.51*(D208/16)</f>
        <v>107506434.755</v>
      </c>
      <c r="F208" s="3">
        <f t="shared" ref="F208" si="175">(C208*D208)-E208</f>
        <v>19213565.245000005</v>
      </c>
      <c r="G208" s="9">
        <f t="shared" ref="G208" si="176">F208/(E208+F208)</f>
        <v>0.15162220048137631</v>
      </c>
    </row>
    <row r="209" spans="1:11" x14ac:dyDescent="0.35">
      <c r="A209" s="57">
        <v>44773</v>
      </c>
      <c r="B209" t="s">
        <v>193</v>
      </c>
      <c r="C209" s="3">
        <v>15830000</v>
      </c>
      <c r="D209" s="3">
        <v>1</v>
      </c>
      <c r="E209" s="3">
        <f>215012869.51*(D209/16)</f>
        <v>13438304.344374999</v>
      </c>
      <c r="F209" s="3">
        <f t="shared" ref="F209" si="177">(C209*D209)-E209</f>
        <v>2391695.6556250006</v>
      </c>
      <c r="G209" s="9">
        <f t="shared" ref="G209" si="178">F209/(E209+F209)</f>
        <v>0.1510862700963361</v>
      </c>
    </row>
    <row r="210" spans="1:11" x14ac:dyDescent="0.35">
      <c r="A210" s="57">
        <v>44773</v>
      </c>
      <c r="B210" t="s">
        <v>193</v>
      </c>
      <c r="C210" s="3">
        <v>15730000</v>
      </c>
      <c r="D210" s="3">
        <v>4</v>
      </c>
      <c r="E210" s="3">
        <f>215012869.51*(D210/16)</f>
        <v>53753217.377499998</v>
      </c>
      <c r="F210" s="3">
        <f t="shared" ref="F210:F211" si="179">(C210*D210)-E210</f>
        <v>9166782.6225000024</v>
      </c>
      <c r="G210" s="9">
        <f t="shared" ref="G210:G211" si="180">F210/(E210+F210)</f>
        <v>0.14568948859663067</v>
      </c>
    </row>
    <row r="211" spans="1:11" x14ac:dyDescent="0.35">
      <c r="A211" s="57">
        <v>44773</v>
      </c>
      <c r="B211" t="s">
        <v>191</v>
      </c>
      <c r="C211" s="3">
        <v>18000000</v>
      </c>
      <c r="D211" s="3">
        <v>2</v>
      </c>
      <c r="E211" s="3">
        <f>182368384.62*(D211/15)</f>
        <v>24315784.616</v>
      </c>
      <c r="F211" s="3">
        <f t="shared" si="179"/>
        <v>11684215.384</v>
      </c>
      <c r="G211" s="9">
        <f t="shared" si="180"/>
        <v>0.32456153844444441</v>
      </c>
    </row>
    <row r="212" spans="1:11" x14ac:dyDescent="0.35">
      <c r="A212" s="57">
        <v>44773</v>
      </c>
      <c r="B212" t="s">
        <v>191</v>
      </c>
      <c r="C212" s="3">
        <v>17950000</v>
      </c>
      <c r="D212" s="3">
        <v>1</v>
      </c>
      <c r="E212" s="3">
        <f>182368384.62*(D212/15)</f>
        <v>12157892.308</v>
      </c>
      <c r="F212" s="3">
        <f t="shared" ref="F212" si="181">(C212*D212)-E212</f>
        <v>5792107.6919999998</v>
      </c>
      <c r="G212" s="9">
        <f t="shared" ref="G212" si="182">F212/(E212+F212)</f>
        <v>0.32268009426183841</v>
      </c>
    </row>
    <row r="213" spans="1:11" x14ac:dyDescent="0.35">
      <c r="A213" s="57">
        <v>44773</v>
      </c>
      <c r="B213" t="s">
        <v>191</v>
      </c>
      <c r="C213" s="3">
        <v>17910000</v>
      </c>
      <c r="D213" s="3">
        <v>4</v>
      </c>
      <c r="E213" s="3">
        <f>182368384.62*(D213/15)</f>
        <v>48631569.232000001</v>
      </c>
      <c r="F213" s="3">
        <f t="shared" ref="F213" si="183">(C213*D213)-E213</f>
        <v>23008430.767999999</v>
      </c>
      <c r="G213" s="9">
        <f t="shared" ref="G213" si="184">F213/(E213+F213)</f>
        <v>0.32116737532104966</v>
      </c>
    </row>
    <row r="214" spans="1:11" x14ac:dyDescent="0.35">
      <c r="E214" s="3">
        <f>SUM(E204:E213)</f>
        <v>483109591.41600007</v>
      </c>
      <c r="F214" s="3">
        <f>SUM(F204:F213)</f>
        <v>165850408.58400002</v>
      </c>
      <c r="J214" s="9">
        <f>F214/(F214+E214)</f>
        <v>0.25556337614644969</v>
      </c>
      <c r="K214" s="3">
        <f>F214+E214</f>
        <v>648960000.00000012</v>
      </c>
    </row>
    <row r="215" spans="1:11" x14ac:dyDescent="0.35">
      <c r="A215" s="57">
        <v>44779</v>
      </c>
      <c r="B215" t="s">
        <v>191</v>
      </c>
      <c r="C215" s="3">
        <v>17910000</v>
      </c>
      <c r="D215" s="3">
        <v>1</v>
      </c>
      <c r="E215" s="3">
        <f>182368384.62*(D215/15)</f>
        <v>12157892.308</v>
      </c>
      <c r="F215" s="3">
        <f>(C215*D215)-E215</f>
        <v>5752107.6919999998</v>
      </c>
      <c r="G215" s="9">
        <f t="shared" ref="G215:G218" si="185">F215/(E215+F215)</f>
        <v>0.32116737532104966</v>
      </c>
    </row>
    <row r="216" spans="1:11" x14ac:dyDescent="0.35">
      <c r="A216" s="57">
        <v>44779</v>
      </c>
      <c r="B216" t="s">
        <v>191</v>
      </c>
      <c r="C216" s="3">
        <v>15430000</v>
      </c>
      <c r="D216" s="3">
        <v>2</v>
      </c>
      <c r="E216" s="3">
        <f>182368384.62*(D216/15)</f>
        <v>24315784.616</v>
      </c>
      <c r="F216" s="3">
        <f t="shared" ref="F216:F218" si="186">(C216*D216)-E216</f>
        <v>6544215.3839999996</v>
      </c>
      <c r="G216" s="9">
        <f t="shared" si="185"/>
        <v>0.21206141879455603</v>
      </c>
    </row>
    <row r="217" spans="1:11" x14ac:dyDescent="0.35">
      <c r="A217" s="57">
        <v>44779</v>
      </c>
      <c r="B217" t="s">
        <v>191</v>
      </c>
      <c r="C217" s="3">
        <v>15440000</v>
      </c>
      <c r="D217" s="3">
        <v>4</v>
      </c>
      <c r="E217" s="3">
        <f>182368384.62*(D217/15)</f>
        <v>48631569.232000001</v>
      </c>
      <c r="F217" s="3">
        <f t="shared" si="186"/>
        <v>13128430.767999999</v>
      </c>
      <c r="G217" s="9">
        <f t="shared" si="185"/>
        <v>0.21257174170984455</v>
      </c>
    </row>
    <row r="218" spans="1:11" x14ac:dyDescent="0.35">
      <c r="A218" s="57">
        <v>44779</v>
      </c>
      <c r="B218" t="s">
        <v>191</v>
      </c>
      <c r="C218" s="3">
        <v>15500000</v>
      </c>
      <c r="D218" s="3">
        <v>1</v>
      </c>
      <c r="E218" s="3">
        <f>182368384.62*(D218/15)</f>
        <v>12157892.308</v>
      </c>
      <c r="F218" s="3">
        <f t="shared" si="186"/>
        <v>3342107.6919999998</v>
      </c>
      <c r="G218" s="9">
        <f t="shared" si="185"/>
        <v>0.21561985109677417</v>
      </c>
    </row>
    <row r="219" spans="1:11" x14ac:dyDescent="0.35">
      <c r="A219" s="57">
        <v>44787</v>
      </c>
      <c r="B219" t="s">
        <v>191</v>
      </c>
      <c r="C219" s="3">
        <v>15640000</v>
      </c>
      <c r="D219" s="3">
        <v>1</v>
      </c>
      <c r="E219" s="3">
        <f>182368384.62*(D219/15)</f>
        <v>12157892.308</v>
      </c>
      <c r="F219" s="3">
        <f t="shared" ref="F219" si="187">(C219*D219)-E219</f>
        <v>3482107.6919999998</v>
      </c>
      <c r="G219" s="9">
        <f t="shared" ref="G219" si="188">F219/(E219+F219)</f>
        <v>0.2226411567774936</v>
      </c>
    </row>
    <row r="220" spans="1:11" x14ac:dyDescent="0.35">
      <c r="A220" s="57">
        <v>44787</v>
      </c>
      <c r="B220" t="s">
        <v>238</v>
      </c>
      <c r="C220" s="3">
        <v>17350000</v>
      </c>
      <c r="D220" s="3">
        <v>1</v>
      </c>
      <c r="E220" s="3">
        <f t="shared" ref="E220:E225" si="189">148655662.56*(D220/16)</f>
        <v>9290978.9100000001</v>
      </c>
      <c r="F220" s="3">
        <f t="shared" ref="F220" si="190">(C220*D220)-E220</f>
        <v>8059021.0899999999</v>
      </c>
      <c r="G220" s="9">
        <f t="shared" ref="G220" si="191">F220/(E220+F220)</f>
        <v>0.46449689279538903</v>
      </c>
    </row>
    <row r="221" spans="1:11" x14ac:dyDescent="0.35">
      <c r="A221" s="57">
        <v>44787</v>
      </c>
      <c r="B221" t="s">
        <v>238</v>
      </c>
      <c r="C221" s="3">
        <v>17320000</v>
      </c>
      <c r="D221" s="3">
        <v>1</v>
      </c>
      <c r="E221" s="3">
        <f t="shared" si="189"/>
        <v>9290978.9100000001</v>
      </c>
      <c r="F221" s="3">
        <f t="shared" ref="F221" si="192">(C221*D221)-E221</f>
        <v>8029021.0899999999</v>
      </c>
      <c r="G221" s="9">
        <f t="shared" ref="G221" si="193">F221/(E221+F221)</f>
        <v>0.46356934699769053</v>
      </c>
    </row>
    <row r="222" spans="1:11" x14ac:dyDescent="0.35">
      <c r="A222" s="57">
        <v>44787</v>
      </c>
      <c r="B222" t="s">
        <v>238</v>
      </c>
      <c r="C222" s="3">
        <v>17230000</v>
      </c>
      <c r="D222" s="3">
        <v>8</v>
      </c>
      <c r="E222" s="3">
        <f t="shared" si="189"/>
        <v>74327831.280000001</v>
      </c>
      <c r="F222" s="3">
        <f t="shared" ref="F222" si="194">(C222*D222)-E222</f>
        <v>63512168.719999999</v>
      </c>
      <c r="G222" s="9">
        <f t="shared" ref="G222" si="195">F222/(E222+F222)</f>
        <v>0.460767329657574</v>
      </c>
    </row>
    <row r="223" spans="1:11" x14ac:dyDescent="0.35">
      <c r="A223" s="57">
        <v>44787</v>
      </c>
      <c r="B223" t="s">
        <v>238</v>
      </c>
      <c r="C223" s="3">
        <v>17230000</v>
      </c>
      <c r="D223" s="3">
        <v>1</v>
      </c>
      <c r="E223" s="3">
        <f t="shared" si="189"/>
        <v>9290978.9100000001</v>
      </c>
      <c r="F223" s="3">
        <f t="shared" ref="F223" si="196">(C223*D223)-E223</f>
        <v>7939021.0899999999</v>
      </c>
      <c r="G223" s="9">
        <f t="shared" ref="G223" si="197">F223/(E223+F223)</f>
        <v>0.460767329657574</v>
      </c>
    </row>
    <row r="224" spans="1:11" x14ac:dyDescent="0.35">
      <c r="A224" s="57">
        <v>44787</v>
      </c>
      <c r="B224" t="s">
        <v>238</v>
      </c>
      <c r="C224" s="3">
        <v>17210000</v>
      </c>
      <c r="D224" s="3">
        <v>1</v>
      </c>
      <c r="E224" s="3">
        <f t="shared" si="189"/>
        <v>9290978.9100000001</v>
      </c>
      <c r="F224" s="3">
        <f t="shared" ref="F224" si="198">(C224*D224)-E224</f>
        <v>7919021.0899999999</v>
      </c>
      <c r="G224" s="9">
        <f t="shared" ref="G224" si="199">F224/(E224+F224)</f>
        <v>0.46014067925624635</v>
      </c>
    </row>
    <row r="225" spans="1:7" x14ac:dyDescent="0.35">
      <c r="A225" s="57">
        <v>44787</v>
      </c>
      <c r="B225" t="s">
        <v>238</v>
      </c>
      <c r="C225" s="3">
        <v>17200000</v>
      </c>
      <c r="D225" s="3">
        <v>1</v>
      </c>
      <c r="E225" s="3">
        <f t="shared" si="189"/>
        <v>9290978.9100000001</v>
      </c>
      <c r="F225" s="3">
        <f t="shared" ref="F225:F226" si="200">(C225*D225)-E225</f>
        <v>7909021.0899999999</v>
      </c>
      <c r="G225" s="9">
        <f t="shared" ref="G225:G226" si="201">F225/(E225+F225)</f>
        <v>0.45982680755813954</v>
      </c>
    </row>
    <row r="226" spans="1:7" x14ac:dyDescent="0.35">
      <c r="A226" s="57">
        <v>44787</v>
      </c>
      <c r="B226" t="s">
        <v>299</v>
      </c>
      <c r="C226" s="3">
        <v>14520000</v>
      </c>
      <c r="D226" s="3">
        <v>1</v>
      </c>
      <c r="E226" s="3">
        <f>162958826.74*(D226/16)</f>
        <v>10184926.671250001</v>
      </c>
      <c r="F226" s="3">
        <f t="shared" si="200"/>
        <v>4335073.3287499994</v>
      </c>
      <c r="G226" s="9">
        <f t="shared" si="201"/>
        <v>0.29855876919765834</v>
      </c>
    </row>
    <row r="227" spans="1:7" x14ac:dyDescent="0.35">
      <c r="A227" s="57">
        <v>44787</v>
      </c>
      <c r="B227" t="s">
        <v>299</v>
      </c>
      <c r="C227" s="3">
        <v>14500000</v>
      </c>
      <c r="D227" s="3">
        <v>1</v>
      </c>
      <c r="E227" s="3">
        <f>162958826.74*(D227/16)</f>
        <v>10184926.671250001</v>
      </c>
      <c r="F227" s="3">
        <f t="shared" ref="F227" si="202">(C227*D227)-E227</f>
        <v>4315073.3287499994</v>
      </c>
      <c r="G227" s="9">
        <f t="shared" ref="G227" si="203">F227/(E227+F227)</f>
        <v>0.29759126405172409</v>
      </c>
    </row>
    <row r="228" spans="1:7" x14ac:dyDescent="0.35">
      <c r="A228" s="57">
        <v>44787</v>
      </c>
      <c r="B228" t="s">
        <v>299</v>
      </c>
      <c r="C228" s="3">
        <v>14490000</v>
      </c>
      <c r="D228" s="3">
        <v>14</v>
      </c>
      <c r="E228" s="3">
        <f>162958826.74*(D228/16)</f>
        <v>142588973.39750001</v>
      </c>
      <c r="F228" s="3">
        <f t="shared" ref="F228:F230" si="204">(C228*D228)-E228</f>
        <v>60271026.602499992</v>
      </c>
      <c r="G228" s="9">
        <f t="shared" ref="G228:G230" si="205">F228/(E228+F228)</f>
        <v>0.29710650992063486</v>
      </c>
    </row>
    <row r="229" spans="1:7" x14ac:dyDescent="0.35">
      <c r="A229" s="57">
        <v>44787</v>
      </c>
      <c r="B229" t="s">
        <v>238</v>
      </c>
      <c r="C229" s="3">
        <v>17070000</v>
      </c>
      <c r="D229" s="3">
        <v>1</v>
      </c>
      <c r="E229" s="3">
        <f>148655662.56*(D229/16)</f>
        <v>9290978.9100000001</v>
      </c>
      <c r="F229" s="3">
        <f t="shared" si="204"/>
        <v>7779021.0899999999</v>
      </c>
      <c r="G229" s="9">
        <f t="shared" si="205"/>
        <v>0.45571301054481544</v>
      </c>
    </row>
    <row r="230" spans="1:7" x14ac:dyDescent="0.35">
      <c r="A230" s="57">
        <v>44787</v>
      </c>
      <c r="B230" t="s">
        <v>238</v>
      </c>
      <c r="C230" s="3">
        <v>17060000</v>
      </c>
      <c r="D230" s="3">
        <v>2</v>
      </c>
      <c r="E230" s="3">
        <f>148655662.56*(D230/16)</f>
        <v>18581957.82</v>
      </c>
      <c r="F230" s="3">
        <f t="shared" si="204"/>
        <v>15538042.18</v>
      </c>
      <c r="G230" s="9">
        <f t="shared" si="205"/>
        <v>0.45539396776084407</v>
      </c>
    </row>
    <row r="231" spans="1:7" x14ac:dyDescent="0.35">
      <c r="A231" s="57">
        <v>44793</v>
      </c>
      <c r="B231" t="s">
        <v>238</v>
      </c>
      <c r="C231" s="3">
        <v>17210000</v>
      </c>
      <c r="D231" s="3">
        <v>1</v>
      </c>
      <c r="E231" s="3">
        <f>151249672.48*(D231/16)</f>
        <v>9453104.5299999993</v>
      </c>
      <c r="F231" s="3">
        <f t="shared" ref="F231" si="206">(C231*D231)-E231</f>
        <v>7756895.4700000007</v>
      </c>
      <c r="G231" s="9">
        <f t="shared" ref="G231" si="207">F231/(E231+F231)</f>
        <v>0.45072024811156308</v>
      </c>
    </row>
    <row r="232" spans="1:7" x14ac:dyDescent="0.35">
      <c r="A232" s="57">
        <v>44793</v>
      </c>
      <c r="B232" t="s">
        <v>238</v>
      </c>
      <c r="C232" s="3">
        <v>17200000</v>
      </c>
      <c r="D232" s="3">
        <v>4</v>
      </c>
      <c r="E232" s="3">
        <f>151249672.48*(D232/16)</f>
        <v>37812418.119999997</v>
      </c>
      <c r="F232" s="3">
        <f t="shared" ref="F232:F234" si="208">(C232*D232)-E232</f>
        <v>30987581.880000003</v>
      </c>
      <c r="G232" s="9">
        <f t="shared" ref="G232:G234" si="209">F232/(E232+F232)</f>
        <v>0.45040089941860467</v>
      </c>
    </row>
    <row r="233" spans="1:7" x14ac:dyDescent="0.35">
      <c r="A233" s="57">
        <v>44793</v>
      </c>
      <c r="B233" t="s">
        <v>238</v>
      </c>
      <c r="C233" s="3">
        <v>17190000</v>
      </c>
      <c r="D233" s="3">
        <v>2</v>
      </c>
      <c r="E233" s="3">
        <f>151249672.48*(D233/16)</f>
        <v>18906209.059999999</v>
      </c>
      <c r="F233" s="3">
        <f t="shared" si="208"/>
        <v>15473790.940000001</v>
      </c>
      <c r="G233" s="9">
        <f t="shared" si="209"/>
        <v>0.45008117917393836</v>
      </c>
    </row>
    <row r="234" spans="1:7" x14ac:dyDescent="0.35">
      <c r="A234" s="57">
        <v>44793</v>
      </c>
      <c r="B234" t="s">
        <v>238</v>
      </c>
      <c r="C234" s="3">
        <v>17080000</v>
      </c>
      <c r="D234" s="3">
        <v>1</v>
      </c>
      <c r="E234" s="3">
        <f>151249672.48*(D234/16)</f>
        <v>9453104.5299999993</v>
      </c>
      <c r="F234" s="3">
        <f t="shared" si="208"/>
        <v>7626895.4700000007</v>
      </c>
      <c r="G234" s="9">
        <f t="shared" si="209"/>
        <v>0.44653954742388763</v>
      </c>
    </row>
    <row r="235" spans="1:7" x14ac:dyDescent="0.35">
      <c r="A235" s="57">
        <v>44793</v>
      </c>
      <c r="B235" t="s">
        <v>238</v>
      </c>
      <c r="C235" s="3">
        <v>15020000</v>
      </c>
      <c r="D235" s="3">
        <v>8</v>
      </c>
      <c r="E235" s="3">
        <f>151249672.48*(D235/16)</f>
        <v>75624836.239999995</v>
      </c>
      <c r="F235" s="3">
        <f t="shared" ref="F235:F236" si="210">(C235*D235)-E235</f>
        <v>44535163.760000005</v>
      </c>
      <c r="G235" s="9">
        <f t="shared" ref="G235:G236" si="211">F235/(E235+F235)</f>
        <v>0.3706321884154461</v>
      </c>
    </row>
    <row r="236" spans="1:7" x14ac:dyDescent="0.35">
      <c r="A236" s="57">
        <v>44793</v>
      </c>
      <c r="B236" t="s">
        <v>334</v>
      </c>
      <c r="C236" s="3">
        <v>22820000</v>
      </c>
      <c r="D236" s="3">
        <v>1</v>
      </c>
      <c r="E236" s="3">
        <f>288746702.44*(D236/16)</f>
        <v>18046668.9025</v>
      </c>
      <c r="F236" s="3">
        <f t="shared" si="210"/>
        <v>4773331.0975000001</v>
      </c>
      <c r="G236" s="9">
        <f t="shared" si="211"/>
        <v>0.20917314187116565</v>
      </c>
    </row>
    <row r="237" spans="1:7" x14ac:dyDescent="0.35">
      <c r="A237" s="57">
        <v>44793</v>
      </c>
      <c r="B237" t="s">
        <v>334</v>
      </c>
      <c r="C237" s="3">
        <v>22810000</v>
      </c>
      <c r="D237" s="3">
        <v>4</v>
      </c>
      <c r="E237" s="3">
        <f>288746702.44*(D237/16)</f>
        <v>72186675.609999999</v>
      </c>
      <c r="F237" s="3">
        <f t="shared" ref="F237:F238" si="212">(C237*D237)-E237</f>
        <v>19053324.390000001</v>
      </c>
      <c r="G237" s="9">
        <f t="shared" ref="G237:G238" si="213">F237/(E237+F237)</f>
        <v>0.20882644004822448</v>
      </c>
    </row>
    <row r="238" spans="1:7" x14ac:dyDescent="0.35">
      <c r="A238" s="57">
        <v>44793</v>
      </c>
      <c r="B238" t="s">
        <v>334</v>
      </c>
      <c r="C238" s="3">
        <v>22800000</v>
      </c>
      <c r="D238" s="3">
        <v>11</v>
      </c>
      <c r="E238" s="3">
        <f>288746702.44*(D238/16)</f>
        <v>198513357.92750001</v>
      </c>
      <c r="F238" s="3">
        <f t="shared" si="212"/>
        <v>52286642.07249999</v>
      </c>
      <c r="G238" s="9">
        <f t="shared" si="213"/>
        <v>0.20847943410087716</v>
      </c>
    </row>
    <row r="239" spans="1:7" x14ac:dyDescent="0.35">
      <c r="A239" s="57">
        <v>44801</v>
      </c>
      <c r="B239" t="s">
        <v>238</v>
      </c>
      <c r="C239" s="3">
        <v>15380000</v>
      </c>
      <c r="D239" s="3">
        <v>2</v>
      </c>
      <c r="E239" s="3">
        <f>(147089212.64*(D239/16))+((C239*D239)*K2)</f>
        <v>18829095.579999998</v>
      </c>
      <c r="F239" s="3">
        <f t="shared" ref="F239:F245" si="214">(C239*D239)-E239</f>
        <v>11930904.420000002</v>
      </c>
      <c r="G239" s="9">
        <f t="shared" ref="G239:G245" si="215">F239/(E239+F239)</f>
        <v>0.387870754876463</v>
      </c>
    </row>
    <row r="240" spans="1:7" x14ac:dyDescent="0.35">
      <c r="A240" s="57">
        <v>44801</v>
      </c>
      <c r="B240" t="s">
        <v>238</v>
      </c>
      <c r="C240" s="3">
        <v>15350000</v>
      </c>
      <c r="D240" s="3">
        <v>1</v>
      </c>
      <c r="E240" s="3">
        <f t="shared" ref="E240:E244" si="216">(147089212.64*(D240/16))+((C240*D240)*K3)</f>
        <v>9193075.7899999991</v>
      </c>
      <c r="F240" s="3">
        <f t="shared" si="214"/>
        <v>6156924.2100000009</v>
      </c>
      <c r="G240" s="9">
        <f t="shared" si="215"/>
        <v>0.40110255439739417</v>
      </c>
    </row>
    <row r="241" spans="1:13" x14ac:dyDescent="0.35">
      <c r="A241" s="57">
        <v>44801</v>
      </c>
      <c r="B241" t="s">
        <v>238</v>
      </c>
      <c r="C241" s="3">
        <v>15340000</v>
      </c>
      <c r="D241" s="3">
        <v>5</v>
      </c>
      <c r="E241" s="3">
        <f t="shared" si="216"/>
        <v>45965378.949999996</v>
      </c>
      <c r="F241" s="3">
        <f t="shared" si="214"/>
        <v>30734621.050000004</v>
      </c>
      <c r="G241" s="9">
        <f t="shared" si="215"/>
        <v>0.40071213885267282</v>
      </c>
      <c r="L241" t="s">
        <v>365</v>
      </c>
    </row>
    <row r="242" spans="1:13" x14ac:dyDescent="0.35">
      <c r="A242" s="57">
        <v>44801</v>
      </c>
      <c r="B242" t="s">
        <v>238</v>
      </c>
      <c r="C242" s="3">
        <v>15330000</v>
      </c>
      <c r="D242" s="3">
        <v>7</v>
      </c>
      <c r="E242" s="3">
        <f t="shared" si="216"/>
        <v>64351530.529999994</v>
      </c>
      <c r="F242" s="3">
        <f t="shared" si="214"/>
        <v>42958469.470000006</v>
      </c>
      <c r="G242" s="9">
        <f t="shared" si="215"/>
        <v>0.4003212139595565</v>
      </c>
      <c r="K242" s="2"/>
      <c r="L242" s="22"/>
      <c r="M242" s="4"/>
    </row>
    <row r="243" spans="1:13" x14ac:dyDescent="0.35">
      <c r="A243" s="57">
        <v>44801</v>
      </c>
      <c r="B243" t="s">
        <v>238</v>
      </c>
      <c r="C243" s="3">
        <v>15280000</v>
      </c>
      <c r="D243" s="3">
        <v>1</v>
      </c>
      <c r="E243" s="3">
        <f t="shared" si="216"/>
        <v>9193075.7899999991</v>
      </c>
      <c r="F243" s="3">
        <f t="shared" si="214"/>
        <v>6086924.2100000009</v>
      </c>
      <c r="G243" s="9">
        <f t="shared" si="215"/>
        <v>0.39835891426701575</v>
      </c>
    </row>
    <row r="244" spans="1:13" x14ac:dyDescent="0.35">
      <c r="A244" s="57">
        <v>44801</v>
      </c>
      <c r="B244" t="s">
        <v>299</v>
      </c>
      <c r="C244" s="3">
        <v>16600000</v>
      </c>
      <c r="D244" s="3">
        <v>2</v>
      </c>
      <c r="E244" s="3">
        <f t="shared" si="216"/>
        <v>18386151.579999998</v>
      </c>
      <c r="F244" s="3">
        <f t="shared" si="214"/>
        <v>14813848.420000002</v>
      </c>
      <c r="G244" s="9">
        <f t="shared" si="215"/>
        <v>0.44620025361445786</v>
      </c>
    </row>
    <row r="245" spans="1:13" x14ac:dyDescent="0.35">
      <c r="A245" s="57">
        <v>44801</v>
      </c>
      <c r="B245" t="s">
        <v>299</v>
      </c>
      <c r="C245" s="3">
        <v>15290000</v>
      </c>
      <c r="D245" s="3">
        <v>1</v>
      </c>
      <c r="E245" s="3">
        <f t="shared" ref="E245:E251" si="217">(147089212.64*(D245/16))+((C245*D245)*K8)</f>
        <v>9193075.7899999991</v>
      </c>
      <c r="F245" s="3">
        <f t="shared" si="214"/>
        <v>6096924.2100000009</v>
      </c>
      <c r="G245" s="9">
        <f t="shared" si="215"/>
        <v>0.39875240091563119</v>
      </c>
      <c r="J245" s="95" t="s">
        <v>49</v>
      </c>
      <c r="K245" s="95" t="s">
        <v>362</v>
      </c>
      <c r="L245" s="95" t="s">
        <v>363</v>
      </c>
      <c r="M245" s="95" t="s">
        <v>364</v>
      </c>
    </row>
    <row r="246" spans="1:13" x14ac:dyDescent="0.35">
      <c r="A246" s="57">
        <v>44801</v>
      </c>
      <c r="B246" t="s">
        <v>299</v>
      </c>
      <c r="C246" s="3">
        <v>15190000</v>
      </c>
      <c r="D246" s="3">
        <v>1</v>
      </c>
      <c r="E246" s="3">
        <f t="shared" si="217"/>
        <v>9193075.7899999991</v>
      </c>
      <c r="F246" s="3">
        <f t="shared" ref="F246" si="218">(C246*D246)-E246</f>
        <v>5996924.2100000009</v>
      </c>
      <c r="G246" s="9">
        <f t="shared" ref="G246" si="219">F246/(E246+F246)</f>
        <v>0.39479422053982888</v>
      </c>
      <c r="J246" t="s">
        <v>334</v>
      </c>
      <c r="K246" s="2">
        <v>288746702.43177003</v>
      </c>
      <c r="L246" s="22">
        <v>16</v>
      </c>
      <c r="M246" s="4">
        <f t="shared" ref="M246:M251" si="220">K246/L246</f>
        <v>18046668.901985627</v>
      </c>
    </row>
    <row r="247" spans="1:13" x14ac:dyDescent="0.35">
      <c r="A247" s="57">
        <v>44801</v>
      </c>
      <c r="B247" t="s">
        <v>299</v>
      </c>
      <c r="C247" s="3">
        <v>15180000</v>
      </c>
      <c r="D247" s="3">
        <v>1</v>
      </c>
      <c r="E247" s="3">
        <f t="shared" si="217"/>
        <v>9193075.7899999991</v>
      </c>
      <c r="F247" s="3">
        <f t="shared" ref="F247:F250" si="221">(C247*D247)-E247</f>
        <v>5986924.2100000009</v>
      </c>
      <c r="G247" s="9">
        <f t="shared" ref="G247:G250" si="222">F247/(E247+F247)</f>
        <v>0.39439553425559953</v>
      </c>
      <c r="J247" t="s">
        <v>191</v>
      </c>
      <c r="K247" s="2">
        <v>182368384.61838999</v>
      </c>
      <c r="L247" s="22">
        <v>15</v>
      </c>
      <c r="M247" s="4">
        <f t="shared" si="220"/>
        <v>12157892.307892667</v>
      </c>
    </row>
    <row r="248" spans="1:13" x14ac:dyDescent="0.35">
      <c r="A248" s="57">
        <v>44801</v>
      </c>
      <c r="B248" t="s">
        <v>299</v>
      </c>
      <c r="C248" s="3">
        <v>15150000</v>
      </c>
      <c r="D248" s="3">
        <v>1</v>
      </c>
      <c r="E248" s="3">
        <f t="shared" si="217"/>
        <v>9193075.7899999991</v>
      </c>
      <c r="F248" s="3">
        <f t="shared" si="221"/>
        <v>5956924.2100000009</v>
      </c>
      <c r="G248" s="9">
        <f t="shared" si="222"/>
        <v>0.39319631749174921</v>
      </c>
      <c r="J248" t="s">
        <v>193</v>
      </c>
      <c r="K248" s="2">
        <v>215012869.50159001</v>
      </c>
      <c r="L248" s="22">
        <v>16</v>
      </c>
      <c r="M248" s="4">
        <f t="shared" si="220"/>
        <v>13438304.343849376</v>
      </c>
    </row>
    <row r="249" spans="1:13" x14ac:dyDescent="0.35">
      <c r="A249" s="57">
        <v>44801</v>
      </c>
      <c r="B249" t="s">
        <v>299</v>
      </c>
      <c r="C249" s="3">
        <v>15120000</v>
      </c>
      <c r="D249" s="3">
        <v>2</v>
      </c>
      <c r="E249" s="3">
        <f t="shared" si="217"/>
        <v>18386151.579999998</v>
      </c>
      <c r="F249" s="3">
        <f t="shared" si="221"/>
        <v>11853848.420000002</v>
      </c>
      <c r="G249" s="9">
        <f t="shared" si="222"/>
        <v>0.39199234193121701</v>
      </c>
      <c r="J249" t="s">
        <v>238</v>
      </c>
      <c r="K249" s="2">
        <v>147089212.63266999</v>
      </c>
      <c r="L249" s="22">
        <v>16</v>
      </c>
      <c r="M249" s="4">
        <f t="shared" si="220"/>
        <v>9193075.7895418741</v>
      </c>
    </row>
    <row r="250" spans="1:13" x14ac:dyDescent="0.35">
      <c r="A250" s="57">
        <v>44801</v>
      </c>
      <c r="B250" t="s">
        <v>299</v>
      </c>
      <c r="C250" s="3">
        <v>15070000</v>
      </c>
      <c r="D250" s="3">
        <v>1</v>
      </c>
      <c r="E250" s="3">
        <f t="shared" si="217"/>
        <v>9193075.7899999991</v>
      </c>
      <c r="F250" s="3">
        <f t="shared" si="221"/>
        <v>5876924.2100000009</v>
      </c>
      <c r="G250" s="9">
        <f t="shared" si="222"/>
        <v>0.38997506370272067</v>
      </c>
      <c r="J250" t="s">
        <v>299</v>
      </c>
      <c r="K250" s="2">
        <v>162303867.26822999</v>
      </c>
      <c r="L250" s="22">
        <v>16</v>
      </c>
      <c r="M250" s="4">
        <f t="shared" si="220"/>
        <v>10143991.704264374</v>
      </c>
    </row>
    <row r="251" spans="1:13" x14ac:dyDescent="0.35">
      <c r="A251" s="57">
        <v>44801</v>
      </c>
      <c r="B251" t="s">
        <v>299</v>
      </c>
      <c r="C251" s="3">
        <v>15060000</v>
      </c>
      <c r="D251" s="3">
        <v>7</v>
      </c>
      <c r="E251" s="3">
        <f t="shared" si="217"/>
        <v>64351530.529999994</v>
      </c>
      <c r="F251" s="3">
        <f t="shared" ref="F251" si="223">(C251*D251)-E251</f>
        <v>41068469.470000006</v>
      </c>
      <c r="G251" s="9">
        <f t="shared" ref="G251" si="224">F251/(E251+F251)</f>
        <v>0.38957000066401071</v>
      </c>
      <c r="J251" t="s">
        <v>170</v>
      </c>
      <c r="K251" s="2">
        <v>201340904.83357</v>
      </c>
      <c r="L251" s="22">
        <f>3*4</f>
        <v>12</v>
      </c>
      <c r="M251" s="4">
        <f t="shared" si="220"/>
        <v>16778408.736130834</v>
      </c>
    </row>
  </sheetData>
  <pageMargins left="0.7" right="0.7" top="0.75" bottom="0.75" header="0.3" footer="0.3"/>
  <pageSetup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37A7-5D50-4D4E-B20C-D45DC461B0AA}">
  <sheetPr>
    <tabColor rgb="FFFFFF00"/>
  </sheetPr>
  <dimension ref="A1:P62"/>
  <sheetViews>
    <sheetView tabSelected="1" topLeftCell="E10" workbookViewId="0">
      <selection activeCell="E39" sqref="E39"/>
    </sheetView>
  </sheetViews>
  <sheetFormatPr defaultRowHeight="14.5" x14ac:dyDescent="0.35"/>
  <cols>
    <col min="1" max="1" width="31.54296875" customWidth="1"/>
    <col min="2" max="2" width="13.26953125" bestFit="1" customWidth="1"/>
    <col min="5" max="5" width="23.54296875" bestFit="1" customWidth="1"/>
    <col min="6" max="6" width="14.26953125" bestFit="1" customWidth="1"/>
    <col min="9" max="9" width="18.81640625" bestFit="1" customWidth="1"/>
    <col min="10" max="10" width="15.26953125" bestFit="1" customWidth="1"/>
    <col min="11" max="11" width="21.7265625" bestFit="1" customWidth="1"/>
    <col min="12" max="12" width="14.26953125" customWidth="1"/>
    <col min="13" max="14" width="17" bestFit="1" customWidth="1"/>
    <col min="16" max="16" width="14.26953125" bestFit="1" customWidth="1"/>
  </cols>
  <sheetData>
    <row r="1" spans="1:16" x14ac:dyDescent="0.35">
      <c r="A1" s="69" t="s">
        <v>117</v>
      </c>
      <c r="B1" t="s">
        <v>26</v>
      </c>
      <c r="D1" t="s">
        <v>252</v>
      </c>
      <c r="J1" t="s">
        <v>26</v>
      </c>
      <c r="M1" t="s">
        <v>149</v>
      </c>
      <c r="N1" t="s">
        <v>150</v>
      </c>
    </row>
    <row r="2" spans="1:16" x14ac:dyDescent="0.35">
      <c r="A2" t="s">
        <v>6</v>
      </c>
      <c r="B2" s="23">
        <v>74700</v>
      </c>
      <c r="D2" t="s">
        <v>6</v>
      </c>
      <c r="F2" s="2"/>
      <c r="I2" t="s">
        <v>107</v>
      </c>
      <c r="J2" s="23">
        <v>4.57</v>
      </c>
      <c r="L2" t="s">
        <v>119</v>
      </c>
      <c r="M2" s="23">
        <v>8.68</v>
      </c>
      <c r="N2" s="23">
        <v>1063</v>
      </c>
    </row>
    <row r="3" spans="1:16" x14ac:dyDescent="0.35">
      <c r="A3" t="s">
        <v>1</v>
      </c>
      <c r="B3" s="23">
        <v>24460</v>
      </c>
      <c r="E3" t="s">
        <v>8</v>
      </c>
      <c r="F3" s="23">
        <v>130</v>
      </c>
      <c r="I3" t="s">
        <v>109</v>
      </c>
      <c r="J3" s="23">
        <v>18.010000000000002</v>
      </c>
      <c r="L3" t="s">
        <v>120</v>
      </c>
      <c r="M3" s="23">
        <v>9.7100000000000009</v>
      </c>
      <c r="N3" s="23">
        <v>1089</v>
      </c>
    </row>
    <row r="4" spans="1:16" x14ac:dyDescent="0.35">
      <c r="A4" t="s">
        <v>7</v>
      </c>
      <c r="B4" s="23">
        <v>27280</v>
      </c>
      <c r="D4" t="s">
        <v>4</v>
      </c>
      <c r="F4" s="2"/>
      <c r="I4" t="s">
        <v>110</v>
      </c>
      <c r="J4" s="23">
        <v>63.36</v>
      </c>
      <c r="L4" t="s">
        <v>121</v>
      </c>
      <c r="M4" s="23">
        <v>11.15</v>
      </c>
      <c r="N4" s="23">
        <v>1205</v>
      </c>
    </row>
    <row r="5" spans="1:16" x14ac:dyDescent="0.35">
      <c r="A5" t="s">
        <v>4</v>
      </c>
      <c r="B5" s="23">
        <v>33600</v>
      </c>
      <c r="E5" t="s">
        <v>13</v>
      </c>
      <c r="F5" s="23">
        <v>9951</v>
      </c>
      <c r="I5" t="s">
        <v>111</v>
      </c>
      <c r="J5" s="23">
        <v>55.98</v>
      </c>
      <c r="M5" s="2"/>
      <c r="N5" s="2"/>
    </row>
    <row r="6" spans="1:16" x14ac:dyDescent="0.35">
      <c r="A6" t="s">
        <v>3</v>
      </c>
      <c r="B6" s="23">
        <v>17200</v>
      </c>
      <c r="D6" s="18"/>
      <c r="E6" s="18"/>
      <c r="F6" s="18"/>
      <c r="I6" t="s">
        <v>112</v>
      </c>
      <c r="J6" s="23">
        <v>1341</v>
      </c>
      <c r="K6" t="s">
        <v>303</v>
      </c>
      <c r="L6" t="s">
        <v>122</v>
      </c>
      <c r="M6" s="23">
        <v>14.19</v>
      </c>
      <c r="N6" s="23">
        <v>1971</v>
      </c>
    </row>
    <row r="7" spans="1:16" x14ac:dyDescent="0.35">
      <c r="A7" t="s">
        <v>2</v>
      </c>
      <c r="B7" s="23">
        <v>31800</v>
      </c>
      <c r="D7" t="s">
        <v>248</v>
      </c>
      <c r="F7" s="2"/>
      <c r="I7" t="s">
        <v>114</v>
      </c>
      <c r="J7" s="23">
        <v>598</v>
      </c>
      <c r="L7" t="s">
        <v>123</v>
      </c>
      <c r="M7" s="23">
        <v>18.989999999999998</v>
      </c>
      <c r="N7" s="23">
        <v>2091</v>
      </c>
    </row>
    <row r="8" spans="1:16" x14ac:dyDescent="0.35">
      <c r="A8" t="s">
        <v>5</v>
      </c>
      <c r="B8" s="23">
        <v>8442</v>
      </c>
      <c r="D8" t="s">
        <v>153</v>
      </c>
      <c r="I8" t="s">
        <v>113</v>
      </c>
      <c r="J8" s="23">
        <v>868.3</v>
      </c>
      <c r="L8" t="s">
        <v>124</v>
      </c>
      <c r="M8" s="23">
        <v>15.32</v>
      </c>
      <c r="N8" s="23">
        <v>2490</v>
      </c>
    </row>
    <row r="9" spans="1:16" x14ac:dyDescent="0.35">
      <c r="E9" t="s">
        <v>163</v>
      </c>
      <c r="F9" s="23">
        <v>139.4</v>
      </c>
      <c r="I9" t="s">
        <v>43</v>
      </c>
      <c r="J9" s="23">
        <v>41900</v>
      </c>
      <c r="M9" s="2"/>
      <c r="N9" s="2"/>
      <c r="P9" s="3"/>
    </row>
    <row r="10" spans="1:16" x14ac:dyDescent="0.35">
      <c r="A10" s="69" t="s">
        <v>160</v>
      </c>
      <c r="D10" t="s">
        <v>157</v>
      </c>
      <c r="L10" t="s">
        <v>125</v>
      </c>
      <c r="M10" s="23">
        <v>22.45</v>
      </c>
      <c r="N10" s="23">
        <v>3279</v>
      </c>
      <c r="P10" s="3"/>
    </row>
    <row r="11" spans="1:16" x14ac:dyDescent="0.35">
      <c r="A11" t="s">
        <v>153</v>
      </c>
      <c r="B11" s="23">
        <v>83920</v>
      </c>
      <c r="E11" t="s">
        <v>166</v>
      </c>
      <c r="F11" s="23">
        <v>10870</v>
      </c>
      <c r="L11" t="s">
        <v>126</v>
      </c>
      <c r="M11" s="23">
        <v>25.48</v>
      </c>
      <c r="N11" s="23">
        <v>3100</v>
      </c>
      <c r="P11" s="3"/>
    </row>
    <row r="12" spans="1:16" x14ac:dyDescent="0.35">
      <c r="A12" t="s">
        <v>154</v>
      </c>
      <c r="B12" s="23">
        <v>31000</v>
      </c>
      <c r="D12" s="18"/>
      <c r="E12" s="18"/>
      <c r="F12" s="18"/>
      <c r="I12" t="s">
        <v>205</v>
      </c>
      <c r="J12" s="23">
        <v>211900</v>
      </c>
      <c r="L12" t="s">
        <v>127</v>
      </c>
      <c r="M12" s="23">
        <v>37.28</v>
      </c>
      <c r="N12" s="23">
        <v>3025</v>
      </c>
      <c r="P12" s="3"/>
    </row>
    <row r="13" spans="1:16" x14ac:dyDescent="0.35">
      <c r="A13" t="s">
        <v>155</v>
      </c>
      <c r="B13" s="23">
        <v>23950</v>
      </c>
      <c r="D13" t="s">
        <v>249</v>
      </c>
      <c r="I13" t="s">
        <v>206</v>
      </c>
      <c r="J13" s="23">
        <v>194000</v>
      </c>
      <c r="M13" s="2"/>
      <c r="N13" s="2"/>
      <c r="P13" s="3"/>
    </row>
    <row r="14" spans="1:16" x14ac:dyDescent="0.35">
      <c r="A14" t="s">
        <v>156</v>
      </c>
      <c r="B14" s="23">
        <v>17990</v>
      </c>
      <c r="D14" t="s">
        <v>177</v>
      </c>
      <c r="I14" t="s">
        <v>55</v>
      </c>
      <c r="J14" s="23">
        <v>167.4</v>
      </c>
      <c r="L14" t="s">
        <v>128</v>
      </c>
      <c r="M14" s="23">
        <v>72.62</v>
      </c>
      <c r="N14" s="23">
        <v>8528</v>
      </c>
      <c r="P14" s="3"/>
    </row>
    <row r="15" spans="1:16" x14ac:dyDescent="0.35">
      <c r="A15" t="s">
        <v>157</v>
      </c>
      <c r="B15" s="23">
        <v>36490</v>
      </c>
      <c r="E15" t="s">
        <v>183</v>
      </c>
      <c r="F15" s="23">
        <v>100.4</v>
      </c>
      <c r="I15" t="s">
        <v>59</v>
      </c>
      <c r="J15" s="23">
        <v>85</v>
      </c>
      <c r="L15" t="s">
        <v>130</v>
      </c>
      <c r="M15" s="23">
        <v>93</v>
      </c>
      <c r="N15" s="23">
        <v>9600</v>
      </c>
      <c r="P15" s="3"/>
    </row>
    <row r="16" spans="1:16" x14ac:dyDescent="0.35">
      <c r="A16" t="s">
        <v>158</v>
      </c>
      <c r="B16" s="23">
        <v>40450</v>
      </c>
      <c r="D16" t="s">
        <v>181</v>
      </c>
      <c r="I16" t="s">
        <v>60</v>
      </c>
      <c r="J16" s="23">
        <v>864.6</v>
      </c>
      <c r="L16" t="s">
        <v>129</v>
      </c>
      <c r="M16" s="23">
        <v>72.62</v>
      </c>
      <c r="N16" s="23">
        <v>9426</v>
      </c>
      <c r="P16" s="3"/>
    </row>
    <row r="17" spans="1:16" x14ac:dyDescent="0.35">
      <c r="A17" t="s">
        <v>159</v>
      </c>
      <c r="B17" s="23">
        <v>9650</v>
      </c>
      <c r="E17" t="s">
        <v>184</v>
      </c>
      <c r="F17" s="23">
        <v>10830</v>
      </c>
      <c r="I17" t="s">
        <v>200</v>
      </c>
      <c r="J17" s="23">
        <v>517.9</v>
      </c>
      <c r="M17" s="2"/>
      <c r="N17" s="2"/>
      <c r="P17" s="3"/>
    </row>
    <row r="18" spans="1:16" x14ac:dyDescent="0.35">
      <c r="D18" s="18"/>
      <c r="E18" s="18"/>
      <c r="F18" s="18"/>
      <c r="I18" t="s">
        <v>151</v>
      </c>
      <c r="J18" s="23">
        <v>1694</v>
      </c>
      <c r="L18" t="s">
        <v>134</v>
      </c>
      <c r="M18" s="23">
        <v>64.09</v>
      </c>
      <c r="N18" s="23">
        <v>9006</v>
      </c>
      <c r="P18" s="3"/>
    </row>
    <row r="19" spans="1:16" x14ac:dyDescent="0.35">
      <c r="A19" s="69" t="s">
        <v>182</v>
      </c>
      <c r="D19" t="s">
        <v>250</v>
      </c>
      <c r="I19" t="s">
        <v>201</v>
      </c>
      <c r="J19" s="23">
        <v>79870</v>
      </c>
      <c r="L19" t="s">
        <v>135</v>
      </c>
      <c r="M19" s="23">
        <v>62.3</v>
      </c>
      <c r="N19" s="23">
        <v>7721</v>
      </c>
      <c r="P19" s="3"/>
    </row>
    <row r="20" spans="1:16" x14ac:dyDescent="0.35">
      <c r="A20" t="s">
        <v>175</v>
      </c>
      <c r="B20" s="23">
        <v>30140</v>
      </c>
      <c r="D20" t="s">
        <v>247</v>
      </c>
      <c r="E20" s="6"/>
      <c r="F20" s="6"/>
      <c r="I20" t="s">
        <v>202</v>
      </c>
      <c r="J20" s="23">
        <v>10950</v>
      </c>
      <c r="L20" t="s">
        <v>136</v>
      </c>
      <c r="M20" s="23">
        <v>62.99</v>
      </c>
      <c r="N20" s="23">
        <v>8367</v>
      </c>
      <c r="P20" s="3"/>
    </row>
    <row r="21" spans="1:16" x14ac:dyDescent="0.35">
      <c r="A21" t="s">
        <v>176</v>
      </c>
      <c r="B21" s="23">
        <v>36610</v>
      </c>
      <c r="D21" s="6"/>
      <c r="E21" s="6" t="s">
        <v>241</v>
      </c>
      <c r="F21" s="23">
        <v>104</v>
      </c>
      <c r="I21" t="s">
        <v>63</v>
      </c>
      <c r="J21" s="23">
        <v>10990</v>
      </c>
      <c r="M21" s="2"/>
      <c r="N21" s="2"/>
      <c r="P21" s="3"/>
    </row>
    <row r="22" spans="1:16" x14ac:dyDescent="0.35">
      <c r="A22" t="s">
        <v>177</v>
      </c>
      <c r="B22" s="23">
        <v>7474</v>
      </c>
      <c r="D22" t="s">
        <v>243</v>
      </c>
      <c r="E22" s="6"/>
      <c r="F22" s="6"/>
      <c r="I22" t="s">
        <v>64</v>
      </c>
      <c r="J22" s="23">
        <v>10880</v>
      </c>
      <c r="L22" t="s">
        <v>131</v>
      </c>
      <c r="M22" s="23">
        <v>409.5</v>
      </c>
      <c r="N22" s="23">
        <v>20000</v>
      </c>
      <c r="P22" s="3"/>
    </row>
    <row r="23" spans="1:16" x14ac:dyDescent="0.35">
      <c r="A23" t="s">
        <v>178</v>
      </c>
      <c r="B23" s="23">
        <v>17400</v>
      </c>
      <c r="D23" s="6"/>
      <c r="E23" s="6" t="s">
        <v>251</v>
      </c>
      <c r="F23" s="23">
        <v>7145</v>
      </c>
      <c r="I23" t="s">
        <v>203</v>
      </c>
      <c r="J23" s="23">
        <v>592.79999999999995</v>
      </c>
      <c r="L23" t="s">
        <v>132</v>
      </c>
      <c r="M23" s="23">
        <v>160</v>
      </c>
      <c r="N23" s="23">
        <v>20600</v>
      </c>
      <c r="P23" s="3"/>
    </row>
    <row r="24" spans="1:16" x14ac:dyDescent="0.35">
      <c r="A24" t="s">
        <v>179</v>
      </c>
      <c r="B24" s="23">
        <v>27430</v>
      </c>
      <c r="D24" s="6"/>
      <c r="E24" s="6"/>
      <c r="F24" s="6"/>
      <c r="I24" t="s">
        <v>204</v>
      </c>
      <c r="J24" s="23">
        <v>13900</v>
      </c>
      <c r="L24" t="s">
        <v>133</v>
      </c>
      <c r="M24" s="23">
        <v>178.1</v>
      </c>
      <c r="N24" s="23">
        <v>21290</v>
      </c>
      <c r="P24" s="3"/>
    </row>
    <row r="25" spans="1:16" x14ac:dyDescent="0.35">
      <c r="A25" t="s">
        <v>180</v>
      </c>
      <c r="B25" s="23">
        <v>73490</v>
      </c>
      <c r="D25" t="s">
        <v>253</v>
      </c>
      <c r="E25" s="6"/>
      <c r="F25" s="38"/>
      <c r="P25" s="3"/>
    </row>
    <row r="26" spans="1:16" x14ac:dyDescent="0.35">
      <c r="A26" t="s">
        <v>181</v>
      </c>
      <c r="B26" s="23">
        <v>35750</v>
      </c>
      <c r="E26" t="s">
        <v>9</v>
      </c>
      <c r="F26" s="23">
        <v>36700</v>
      </c>
      <c r="I26" s="74" t="s">
        <v>315</v>
      </c>
      <c r="J26" s="23">
        <v>550000</v>
      </c>
      <c r="L26" t="s">
        <v>148</v>
      </c>
      <c r="M26" s="23">
        <v>152000</v>
      </c>
      <c r="N26" s="23">
        <v>167100</v>
      </c>
      <c r="P26" s="3"/>
    </row>
    <row r="27" spans="1:16" x14ac:dyDescent="0.35">
      <c r="B27" s="38"/>
      <c r="C27" s="6"/>
      <c r="E27" t="s">
        <v>10</v>
      </c>
      <c r="F27" s="23">
        <v>950</v>
      </c>
      <c r="G27" s="6"/>
      <c r="H27" s="6"/>
      <c r="I27" s="6"/>
      <c r="J27" s="6"/>
      <c r="K27" s="6"/>
      <c r="L27" s="38"/>
      <c r="M27" s="38"/>
      <c r="N27" s="6"/>
      <c r="P27" s="3"/>
    </row>
    <row r="28" spans="1:16" x14ac:dyDescent="0.35">
      <c r="A28" s="69" t="s">
        <v>194</v>
      </c>
      <c r="C28" s="6"/>
      <c r="E28" t="s">
        <v>11</v>
      </c>
      <c r="F28" s="23">
        <v>19380</v>
      </c>
      <c r="G28" s="6"/>
      <c r="H28" t="s">
        <v>196</v>
      </c>
      <c r="M28" s="38"/>
      <c r="N28" s="6"/>
      <c r="P28" s="3"/>
    </row>
    <row r="29" spans="1:16" x14ac:dyDescent="0.35">
      <c r="A29" t="s">
        <v>247</v>
      </c>
      <c r="B29" s="23">
        <v>7338</v>
      </c>
      <c r="C29" s="6"/>
      <c r="E29" t="s">
        <v>12</v>
      </c>
      <c r="F29" s="23">
        <v>208.9</v>
      </c>
      <c r="G29" s="6"/>
      <c r="H29" t="s">
        <v>256</v>
      </c>
      <c r="I29" t="s">
        <v>190</v>
      </c>
      <c r="K29" s="4" t="s">
        <v>198</v>
      </c>
      <c r="L29" t="s">
        <v>197</v>
      </c>
      <c r="M29" s="38"/>
      <c r="N29" s="6"/>
      <c r="P29" s="3"/>
    </row>
    <row r="30" spans="1:16" x14ac:dyDescent="0.35">
      <c r="A30" t="s">
        <v>242</v>
      </c>
      <c r="B30" s="23">
        <v>80770</v>
      </c>
      <c r="C30" s="6"/>
      <c r="E30" t="s">
        <v>14</v>
      </c>
      <c r="F30" s="23">
        <v>2760</v>
      </c>
      <c r="G30" s="6"/>
      <c r="H30" t="s">
        <v>117</v>
      </c>
      <c r="I30" t="s">
        <v>191</v>
      </c>
      <c r="J30" s="23">
        <v>15410000</v>
      </c>
      <c r="K30" s="4">
        <f>'Ship Component Reqs'!S13</f>
        <v>42686846.384719998</v>
      </c>
      <c r="L30" s="26">
        <f>'Ship Component Reqs'!S14</f>
        <v>0.23083953268829763</v>
      </c>
      <c r="M30" s="38" t="s">
        <v>304</v>
      </c>
      <c r="N30" s="6"/>
      <c r="P30" s="3"/>
    </row>
    <row r="31" spans="1:16" x14ac:dyDescent="0.35">
      <c r="A31" t="s">
        <v>240</v>
      </c>
      <c r="B31" s="23">
        <v>28880</v>
      </c>
      <c r="C31" s="6"/>
      <c r="E31" t="s">
        <v>15</v>
      </c>
      <c r="F31" s="23">
        <v>5067</v>
      </c>
      <c r="G31" s="6"/>
      <c r="H31" t="s">
        <v>117</v>
      </c>
      <c r="I31" t="s">
        <v>192</v>
      </c>
      <c r="J31" s="23">
        <v>33690000</v>
      </c>
      <c r="K31" s="4">
        <f>'Ship Component Reqs'!S43</f>
        <v>-1845895.8158600032</v>
      </c>
      <c r="L31" s="26">
        <f>'Ship Component Reqs'!S44</f>
        <v>-5.4790614896408525E-2</v>
      </c>
      <c r="M31" s="38" t="s">
        <v>304</v>
      </c>
      <c r="N31" s="6"/>
      <c r="P31" s="3"/>
    </row>
    <row r="32" spans="1:16" x14ac:dyDescent="0.35">
      <c r="A32" t="s">
        <v>246</v>
      </c>
      <c r="B32" s="23">
        <v>17490</v>
      </c>
      <c r="C32" s="6"/>
      <c r="E32" t="s">
        <v>16</v>
      </c>
      <c r="F32" s="23">
        <v>502</v>
      </c>
      <c r="G32" s="6"/>
      <c r="H32" t="s">
        <v>117</v>
      </c>
      <c r="I32" t="s">
        <v>193</v>
      </c>
      <c r="J32" s="23">
        <v>15590000</v>
      </c>
      <c r="K32" s="4">
        <f>'Ship Component Reqs'!S28</f>
        <v>29738814.567570031</v>
      </c>
      <c r="L32" s="26">
        <f>'Ship Component Reqs'!S29</f>
        <v>0.11922231625869961</v>
      </c>
      <c r="M32" s="38" t="s">
        <v>304</v>
      </c>
      <c r="N32" s="6"/>
      <c r="P32" s="3"/>
    </row>
    <row r="33" spans="1:16" x14ac:dyDescent="0.35">
      <c r="A33" t="s">
        <v>243</v>
      </c>
      <c r="B33" s="23">
        <v>27920</v>
      </c>
      <c r="C33" s="6"/>
      <c r="G33" s="6"/>
      <c r="H33" t="s">
        <v>117</v>
      </c>
      <c r="I33" t="s">
        <v>334</v>
      </c>
      <c r="J33" s="23">
        <v>22730000</v>
      </c>
      <c r="K33" s="4">
        <f>'Ship Component Reqs'!S57</f>
        <v>76219941.127759993</v>
      </c>
      <c r="L33" s="26">
        <f>'Ship Component Reqs'!S58</f>
        <v>0.20957968853871534</v>
      </c>
      <c r="M33" s="38" t="s">
        <v>304</v>
      </c>
      <c r="N33" s="6"/>
      <c r="P33" s="3"/>
    </row>
    <row r="34" spans="1:16" x14ac:dyDescent="0.35">
      <c r="A34" t="s">
        <v>244</v>
      </c>
      <c r="B34" s="23">
        <v>28580</v>
      </c>
      <c r="C34" s="6"/>
      <c r="G34" s="6"/>
      <c r="N34" s="6"/>
      <c r="P34" s="3"/>
    </row>
    <row r="35" spans="1:16" x14ac:dyDescent="0.35">
      <c r="A35" t="s">
        <v>245</v>
      </c>
      <c r="B35" s="23">
        <v>30840</v>
      </c>
      <c r="C35" s="6"/>
      <c r="G35" s="6"/>
      <c r="H35" t="s">
        <v>160</v>
      </c>
      <c r="I35" t="s">
        <v>280</v>
      </c>
      <c r="J35" s="23">
        <v>38220000</v>
      </c>
      <c r="K35" s="4">
        <f>'Ship Component Reqs'!S102</f>
        <v>12996776.546240002</v>
      </c>
      <c r="L35" s="26">
        <f>'Ship Component Reqs'!R103</f>
        <v>0.11335057165742196</v>
      </c>
      <c r="M35" s="38"/>
      <c r="N35" s="6"/>
      <c r="P35" s="3"/>
    </row>
    <row r="36" spans="1:16" x14ac:dyDescent="0.35">
      <c r="A36" s="69"/>
      <c r="F36" s="4"/>
      <c r="H36" t="s">
        <v>160</v>
      </c>
      <c r="I36" t="s">
        <v>161</v>
      </c>
      <c r="J36" s="23">
        <v>35240000</v>
      </c>
      <c r="K36" s="4">
        <f>'Ship Component Reqs'!S72</f>
        <v>-137370.26535999775</v>
      </c>
      <c r="L36" s="26">
        <f>'Ship Component Reqs'!S73</f>
        <v>-1.2993782194475761E-3</v>
      </c>
      <c r="M36" s="38"/>
      <c r="P36" s="3"/>
    </row>
    <row r="37" spans="1:16" x14ac:dyDescent="0.35">
      <c r="A37" s="69" t="s">
        <v>207</v>
      </c>
      <c r="B37" s="23">
        <v>517700</v>
      </c>
      <c r="E37">
        <f>118*5</f>
        <v>590</v>
      </c>
      <c r="F37" s="4"/>
      <c r="H37" t="s">
        <v>160</v>
      </c>
      <c r="I37" t="s">
        <v>170</v>
      </c>
      <c r="J37" s="23">
        <v>17310000</v>
      </c>
      <c r="K37" s="4">
        <f>'Ship Component Reqs'!S87</f>
        <v>65497815.825969994</v>
      </c>
      <c r="L37" s="26">
        <f>'Ship Component Reqs'!R88</f>
        <v>0.23648835870150922</v>
      </c>
      <c r="M37" s="38" t="s">
        <v>304</v>
      </c>
      <c r="P37" s="3"/>
    </row>
    <row r="38" spans="1:16" x14ac:dyDescent="0.35">
      <c r="A38" t="s">
        <v>208</v>
      </c>
      <c r="B38" s="23">
        <v>990</v>
      </c>
      <c r="E38">
        <f>E37/60</f>
        <v>9.8333333333333339</v>
      </c>
      <c r="F38" s="4"/>
      <c r="H38" t="s">
        <v>160</v>
      </c>
      <c r="I38" t="s">
        <v>291</v>
      </c>
      <c r="J38" s="23">
        <v>15330000</v>
      </c>
      <c r="K38" s="4">
        <f>'Ship Component Reqs'!S117</f>
        <v>364922.46271999925</v>
      </c>
      <c r="L38" s="26">
        <f>'Ship Component Reqs'!R118</f>
        <v>2.3804465930854484E-2</v>
      </c>
      <c r="P38" s="3"/>
    </row>
    <row r="39" spans="1:16" x14ac:dyDescent="0.35">
      <c r="A39" t="s">
        <v>209</v>
      </c>
      <c r="B39" s="23">
        <v>2398</v>
      </c>
      <c r="F39" s="4"/>
      <c r="H39" t="s">
        <v>182</v>
      </c>
      <c r="I39" t="s">
        <v>185</v>
      </c>
      <c r="J39" s="23">
        <v>36130000</v>
      </c>
      <c r="K39" s="4">
        <f>'Ship Component Reqs'!S132</f>
        <v>7694925.2242600024</v>
      </c>
      <c r="L39" s="26">
        <f>'Ship Component Reqs'!R150</f>
        <v>0.10648941633351788</v>
      </c>
      <c r="P39" s="3"/>
    </row>
    <row r="40" spans="1:16" x14ac:dyDescent="0.35">
      <c r="A40" t="s">
        <v>210</v>
      </c>
      <c r="B40" s="23">
        <v>15780</v>
      </c>
      <c r="F40" s="4"/>
      <c r="H40" t="s">
        <v>182</v>
      </c>
      <c r="I40" t="s">
        <v>302</v>
      </c>
      <c r="J40" s="23">
        <v>16660000</v>
      </c>
      <c r="K40" s="4">
        <f>'Ship Component Reqs'!S149</f>
        <v>217736429.05791998</v>
      </c>
      <c r="L40" s="26">
        <f>'Ship Component Reqs'!S148</f>
        <v>0.14716165569507811</v>
      </c>
      <c r="M40" s="38" t="s">
        <v>304</v>
      </c>
      <c r="P40" s="3"/>
    </row>
    <row r="41" spans="1:16" x14ac:dyDescent="0.35">
      <c r="A41" s="69" t="s">
        <v>220</v>
      </c>
      <c r="H41" t="s">
        <v>194</v>
      </c>
      <c r="I41" t="s">
        <v>238</v>
      </c>
      <c r="J41" s="23">
        <v>15010000</v>
      </c>
      <c r="K41" s="4">
        <f>'Ship Component Reqs'!S162</f>
        <v>84425027.367329985</v>
      </c>
      <c r="L41" s="26">
        <f>'Ship Component Reqs'!S163</f>
        <v>0.35153658963744999</v>
      </c>
      <c r="M41" s="38" t="s">
        <v>304</v>
      </c>
      <c r="P41" s="3"/>
    </row>
    <row r="42" spans="1:16" x14ac:dyDescent="0.35">
      <c r="A42" s="51" t="s">
        <v>216</v>
      </c>
      <c r="B42" s="23">
        <v>25000</v>
      </c>
      <c r="H42" t="s">
        <v>194</v>
      </c>
      <c r="I42" t="s">
        <v>299</v>
      </c>
      <c r="J42" s="23">
        <v>19370000</v>
      </c>
      <c r="K42" s="4">
        <f>'Ship Component Reqs'!S177</f>
        <v>136459012.73177001</v>
      </c>
      <c r="L42" s="26">
        <f>'Ship Component Reqs'!S178</f>
        <v>0.44030399048712576</v>
      </c>
      <c r="M42" s="38" t="s">
        <v>304</v>
      </c>
      <c r="P42" s="3"/>
    </row>
    <row r="43" spans="1:16" x14ac:dyDescent="0.35">
      <c r="A43" s="51" t="s">
        <v>217</v>
      </c>
      <c r="B43" s="23">
        <v>37010</v>
      </c>
      <c r="H43" t="s">
        <v>194</v>
      </c>
      <c r="I43" t="s">
        <v>301</v>
      </c>
      <c r="J43" s="23">
        <v>13310000</v>
      </c>
      <c r="K43" s="4">
        <f>'Ship Component Reqs'!S192</f>
        <v>15414793.952280015</v>
      </c>
      <c r="L43" s="26">
        <f>'Ship Component Reqs'!S193</f>
        <v>9.6511357076634205E-2</v>
      </c>
      <c r="M43" s="38" t="s">
        <v>304</v>
      </c>
      <c r="P43" s="3"/>
    </row>
    <row r="44" spans="1:16" x14ac:dyDescent="0.35">
      <c r="A44" s="51" t="s">
        <v>218</v>
      </c>
      <c r="B44" s="23">
        <v>355400</v>
      </c>
      <c r="H44" t="s">
        <v>160</v>
      </c>
      <c r="I44" t="s">
        <v>306</v>
      </c>
      <c r="J44" s="23">
        <v>6100000</v>
      </c>
      <c r="K44" s="4">
        <f>'BP Tech 2 Manufacture Nonship'!S26</f>
        <v>5495079.2172400001</v>
      </c>
      <c r="L44" s="26">
        <f>'BP Tech 2 Manufacture Nonship'!S27</f>
        <v>0.3002775528546448</v>
      </c>
      <c r="P44" s="3"/>
    </row>
    <row r="45" spans="1:16" x14ac:dyDescent="0.35">
      <c r="A45" s="51" t="s">
        <v>219</v>
      </c>
      <c r="B45" s="23">
        <v>15440</v>
      </c>
      <c r="H45" t="s">
        <v>257</v>
      </c>
      <c r="P45" s="3"/>
    </row>
    <row r="46" spans="1:16" x14ac:dyDescent="0.35">
      <c r="A46" s="42" t="s">
        <v>220</v>
      </c>
      <c r="B46" s="23">
        <v>202000</v>
      </c>
      <c r="H46" t="str">
        <f>'BP Tech 1 Manufacture'!A71</f>
        <v>Sense-Heuristic Neurolink Enhancer (Reaction)</v>
      </c>
      <c r="J46" s="23">
        <f>B46</f>
        <v>202000</v>
      </c>
      <c r="K46" s="4">
        <f>'BP Tech 1 Manufacture'!C83</f>
        <v>42210000</v>
      </c>
      <c r="L46" s="26">
        <f>'BP Tech 1 Manufacture'!D83</f>
        <v>0.20896039603960395</v>
      </c>
      <c r="M46" s="38" t="s">
        <v>304</v>
      </c>
      <c r="P46" s="3"/>
    </row>
    <row r="47" spans="1:16" x14ac:dyDescent="0.35">
      <c r="A47" s="68" t="s">
        <v>307</v>
      </c>
      <c r="H47" t="str">
        <f>'BP Tech 1 Manufacture'!A35</f>
        <v>Helium Fuel Block</v>
      </c>
      <c r="J47" s="23">
        <f>J24</f>
        <v>13900</v>
      </c>
      <c r="K47" s="4">
        <f>'BP Tech 1 Manufacture'!G55</f>
        <v>-610879.40000000596</v>
      </c>
      <c r="L47" s="26">
        <f>'BP Tech 1 Manufacture'!G56</f>
        <v>-3.9239427029805112E-3</v>
      </c>
      <c r="M47" s="38" t="s">
        <v>304</v>
      </c>
    </row>
    <row r="48" spans="1:16" x14ac:dyDescent="0.35">
      <c r="A48" t="s">
        <v>282</v>
      </c>
      <c r="B48" s="23">
        <v>62260</v>
      </c>
      <c r="C48" t="s">
        <v>347</v>
      </c>
      <c r="H48" t="str">
        <f>A61</f>
        <v>Ubiquitous Moon Mining Crystal Type A Tech 2</v>
      </c>
      <c r="J48" s="23">
        <f>B62</f>
        <v>1114000</v>
      </c>
      <c r="K48" s="4">
        <f>'BP Tech 2 Manufacture Nonship'!I8</f>
        <v>19484885</v>
      </c>
      <c r="L48" s="26">
        <f>'BP Tech 2 Manufacture Nonship'!I9</f>
        <v>0.34981840215439858</v>
      </c>
    </row>
    <row r="49" spans="1:13" x14ac:dyDescent="0.35">
      <c r="A49" t="s">
        <v>201</v>
      </c>
      <c r="B49" s="23">
        <v>65730</v>
      </c>
      <c r="H49" t="s">
        <v>117</v>
      </c>
      <c r="I49" t="s">
        <v>281</v>
      </c>
      <c r="J49" s="23">
        <v>1275000</v>
      </c>
      <c r="K49" s="4">
        <f>'BP Tech 2 Manufacture Nonship'!J39</f>
        <v>21958457.740000002</v>
      </c>
      <c r="L49" s="26">
        <f>'BP Tech 2 Manufacture Nonship'!J40</f>
        <v>0.17396282622301443</v>
      </c>
      <c r="M49" s="38" t="s">
        <v>304</v>
      </c>
    </row>
    <row r="50" spans="1:13" x14ac:dyDescent="0.35">
      <c r="A50" t="s">
        <v>283</v>
      </c>
      <c r="B50" s="23">
        <v>25800</v>
      </c>
    </row>
    <row r="51" spans="1:13" x14ac:dyDescent="0.35">
      <c r="A51" t="s">
        <v>284</v>
      </c>
      <c r="B51" s="23">
        <v>111100</v>
      </c>
    </row>
    <row r="52" spans="1:13" x14ac:dyDescent="0.35">
      <c r="A52" t="s">
        <v>281</v>
      </c>
      <c r="B52" s="23">
        <v>1300000</v>
      </c>
    </row>
    <row r="53" spans="1:13" x14ac:dyDescent="0.35">
      <c r="A53" s="69" t="s">
        <v>306</v>
      </c>
    </row>
    <row r="54" spans="1:13" x14ac:dyDescent="0.35">
      <c r="A54" t="s">
        <v>308</v>
      </c>
      <c r="B54" s="23">
        <v>7700</v>
      </c>
    </row>
    <row r="55" spans="1:13" x14ac:dyDescent="0.35">
      <c r="A55" t="s">
        <v>311</v>
      </c>
      <c r="B55" s="23">
        <v>9490</v>
      </c>
    </row>
    <row r="56" spans="1:13" x14ac:dyDescent="0.35">
      <c r="A56" t="s">
        <v>312</v>
      </c>
      <c r="B56" s="23">
        <v>75460</v>
      </c>
    </row>
    <row r="57" spans="1:13" x14ac:dyDescent="0.35">
      <c r="A57" t="s">
        <v>313</v>
      </c>
      <c r="B57" s="23">
        <v>78990</v>
      </c>
    </row>
    <row r="58" spans="1:13" x14ac:dyDescent="0.35">
      <c r="A58" t="s">
        <v>309</v>
      </c>
      <c r="B58" s="23">
        <v>26230</v>
      </c>
    </row>
    <row r="59" spans="1:13" x14ac:dyDescent="0.35">
      <c r="A59" t="s">
        <v>244</v>
      </c>
      <c r="B59" s="23">
        <v>40000</v>
      </c>
    </row>
    <row r="60" spans="1:13" x14ac:dyDescent="0.35">
      <c r="A60" t="s">
        <v>310</v>
      </c>
      <c r="B60" s="23">
        <v>2079000</v>
      </c>
    </row>
    <row r="61" spans="1:13" x14ac:dyDescent="0.35">
      <c r="A61" s="68" t="s">
        <v>316</v>
      </c>
    </row>
    <row r="62" spans="1:13" x14ac:dyDescent="0.35">
      <c r="A62" s="74" t="s">
        <v>316</v>
      </c>
      <c r="B62" s="23">
        <v>1114000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6656-33A7-4D2C-AC61-0C4AFB4FC105}">
  <sheetPr>
    <tabColor theme="4"/>
  </sheetPr>
  <dimension ref="A1:Q92"/>
  <sheetViews>
    <sheetView topLeftCell="C1" workbookViewId="0">
      <selection activeCell="G57" sqref="G57"/>
    </sheetView>
  </sheetViews>
  <sheetFormatPr defaultRowHeight="14.5" x14ac:dyDescent="0.35"/>
  <cols>
    <col min="1" max="1" width="18.1796875" bestFit="1" customWidth="1"/>
    <col min="2" max="2" width="11.54296875" bestFit="1" customWidth="1"/>
    <col min="3" max="4" width="15.26953125" bestFit="1" customWidth="1"/>
    <col min="5" max="5" width="12.54296875" bestFit="1" customWidth="1"/>
    <col min="6" max="6" width="14.26953125" bestFit="1" customWidth="1"/>
    <col min="7" max="9" width="15.26953125" bestFit="1" customWidth="1"/>
    <col min="10" max="10" width="18.453125" style="2" bestFit="1" customWidth="1"/>
    <col min="11" max="11" width="10.54296875" bestFit="1" customWidth="1"/>
    <col min="15" max="15" width="14" bestFit="1" customWidth="1"/>
  </cols>
  <sheetData>
    <row r="1" spans="1:17" x14ac:dyDescent="0.35">
      <c r="A1" t="s">
        <v>266</v>
      </c>
    </row>
    <row r="2" spans="1:17" x14ac:dyDescent="0.35">
      <c r="A2" t="s">
        <v>49</v>
      </c>
      <c r="B2" t="s">
        <v>17</v>
      </c>
      <c r="C2" t="s">
        <v>18</v>
      </c>
      <c r="D2" t="s">
        <v>50</v>
      </c>
      <c r="E2" t="s">
        <v>26</v>
      </c>
      <c r="F2" t="s">
        <v>83</v>
      </c>
      <c r="M2" t="s">
        <v>51</v>
      </c>
      <c r="N2" t="s">
        <v>52</v>
      </c>
      <c r="O2" s="25">
        <v>-131760</v>
      </c>
      <c r="P2" s="25">
        <v>2109952088</v>
      </c>
      <c r="Q2" t="s">
        <v>53</v>
      </c>
    </row>
    <row r="3" spans="1:17" x14ac:dyDescent="0.35">
      <c r="A3" t="s">
        <v>63</v>
      </c>
      <c r="B3" s="5">
        <v>995</v>
      </c>
      <c r="C3">
        <v>357</v>
      </c>
      <c r="D3" s="28">
        <f t="shared" ref="D3:D8" si="0">C3-B3</f>
        <v>-638</v>
      </c>
      <c r="E3" s="5">
        <v>10597.9</v>
      </c>
      <c r="F3" s="2">
        <f t="shared" ref="F3:F8" si="1">IF(D3&lt;0,0,D3*E3)</f>
        <v>0</v>
      </c>
      <c r="M3" t="s">
        <v>51</v>
      </c>
      <c r="N3" t="s">
        <v>52</v>
      </c>
      <c r="O3" s="25">
        <v>-109800</v>
      </c>
      <c r="P3" s="25">
        <v>2110083848</v>
      </c>
      <c r="Q3" t="s">
        <v>53</v>
      </c>
    </row>
    <row r="4" spans="1:17" x14ac:dyDescent="0.35">
      <c r="A4" t="s">
        <v>64</v>
      </c>
      <c r="B4" s="5">
        <v>515</v>
      </c>
      <c r="C4">
        <v>802</v>
      </c>
      <c r="D4" s="28">
        <f t="shared" si="0"/>
        <v>287</v>
      </c>
      <c r="E4" s="5">
        <v>11150</v>
      </c>
      <c r="F4" s="2">
        <f t="shared" si="1"/>
        <v>3200050</v>
      </c>
      <c r="M4" t="s">
        <v>56</v>
      </c>
      <c r="N4" t="s">
        <v>57</v>
      </c>
      <c r="O4" s="25">
        <v>-170640</v>
      </c>
      <c r="P4" s="25">
        <v>2110193648</v>
      </c>
      <c r="Q4" t="s">
        <v>58</v>
      </c>
    </row>
    <row r="5" spans="1:17" x14ac:dyDescent="0.35">
      <c r="A5" t="s">
        <v>59</v>
      </c>
      <c r="B5" s="5">
        <v>3712</v>
      </c>
      <c r="C5">
        <v>31185</v>
      </c>
      <c r="D5" s="28">
        <f t="shared" si="0"/>
        <v>27473</v>
      </c>
      <c r="E5" s="5">
        <v>266.38</v>
      </c>
      <c r="F5" s="2">
        <f t="shared" si="1"/>
        <v>7318257.7400000002</v>
      </c>
      <c r="H5">
        <f>D5-11120</f>
        <v>16353</v>
      </c>
      <c r="I5">
        <v>190.01</v>
      </c>
      <c r="J5" s="2">
        <f>0</f>
        <v>0</v>
      </c>
      <c r="M5" t="s">
        <v>56</v>
      </c>
      <c r="N5" t="s">
        <v>57</v>
      </c>
      <c r="O5" s="25">
        <v>-142200</v>
      </c>
      <c r="P5" s="25">
        <v>2110364288</v>
      </c>
      <c r="Q5" t="s">
        <v>58</v>
      </c>
    </row>
    <row r="6" spans="1:17" x14ac:dyDescent="0.35">
      <c r="A6" t="s">
        <v>55</v>
      </c>
      <c r="B6" s="5">
        <v>7318</v>
      </c>
      <c r="C6">
        <v>15147</v>
      </c>
      <c r="D6" s="28">
        <f t="shared" si="0"/>
        <v>7829</v>
      </c>
      <c r="E6" s="5">
        <v>187.62</v>
      </c>
      <c r="F6" s="2">
        <f t="shared" si="1"/>
        <v>1468876.98</v>
      </c>
      <c r="M6" t="s">
        <v>61</v>
      </c>
      <c r="N6" t="s">
        <v>57</v>
      </c>
      <c r="O6" s="25">
        <v>-261360</v>
      </c>
      <c r="P6" s="25">
        <v>2110506488</v>
      </c>
      <c r="Q6" t="s">
        <v>62</v>
      </c>
    </row>
    <row r="7" spans="1:17" x14ac:dyDescent="0.35">
      <c r="A7" t="s">
        <v>60</v>
      </c>
      <c r="B7" s="5">
        <v>69784</v>
      </c>
      <c r="C7">
        <v>40095</v>
      </c>
      <c r="D7" s="28">
        <f t="shared" si="0"/>
        <v>-29689</v>
      </c>
      <c r="E7" s="5">
        <v>639.99</v>
      </c>
      <c r="F7" s="2">
        <f t="shared" si="1"/>
        <v>0</v>
      </c>
      <c r="G7" s="2">
        <f>D7*E7</f>
        <v>-19000663.109999999</v>
      </c>
      <c r="M7" t="s">
        <v>61</v>
      </c>
      <c r="N7" t="s">
        <v>57</v>
      </c>
      <c r="O7" s="25">
        <v>-217800</v>
      </c>
      <c r="P7" s="25">
        <v>2110767848</v>
      </c>
      <c r="Q7" t="s">
        <v>62</v>
      </c>
    </row>
    <row r="8" spans="1:17" x14ac:dyDescent="0.35">
      <c r="A8" t="s">
        <v>54</v>
      </c>
      <c r="B8" s="5">
        <f>157</f>
        <v>157</v>
      </c>
      <c r="C8">
        <v>1782</v>
      </c>
      <c r="D8" s="28">
        <f t="shared" si="0"/>
        <v>1625</v>
      </c>
      <c r="E8" s="5">
        <v>4399.9799999999996</v>
      </c>
      <c r="F8" s="2">
        <f t="shared" si="1"/>
        <v>7149967.4999999991</v>
      </c>
      <c r="M8" t="s">
        <v>65</v>
      </c>
      <c r="N8" t="s">
        <v>57</v>
      </c>
      <c r="O8" s="25">
        <v>-263520</v>
      </c>
      <c r="P8" s="25">
        <v>2110985648</v>
      </c>
      <c r="Q8" t="s">
        <v>66</v>
      </c>
    </row>
    <row r="9" spans="1:17" x14ac:dyDescent="0.35">
      <c r="D9" s="28">
        <f>D8-44</f>
        <v>1581</v>
      </c>
      <c r="E9" t="s">
        <v>22</v>
      </c>
      <c r="F9" s="2">
        <f>IF(J9&lt;&gt;0,SUM(F3:F8)+J9,SUM(F3:F8))</f>
        <v>19137152.219999999</v>
      </c>
      <c r="J9" s="2">
        <f>IF(SUM(J2:J8)&lt;&gt;0,SUM(J2:J8),0)</f>
        <v>0</v>
      </c>
      <c r="M9" t="s">
        <v>65</v>
      </c>
      <c r="N9" t="s">
        <v>57</v>
      </c>
      <c r="O9" s="25">
        <v>-219600</v>
      </c>
      <c r="P9" s="25">
        <v>2111249168</v>
      </c>
      <c r="Q9" t="s">
        <v>66</v>
      </c>
    </row>
    <row r="10" spans="1:17" x14ac:dyDescent="0.35">
      <c r="M10" t="s">
        <v>67</v>
      </c>
      <c r="N10" t="s">
        <v>57</v>
      </c>
      <c r="O10" s="25">
        <v>-599280</v>
      </c>
      <c r="P10" s="25">
        <v>2111468768</v>
      </c>
      <c r="Q10" t="s">
        <v>68</v>
      </c>
    </row>
    <row r="11" spans="1:17" x14ac:dyDescent="0.35">
      <c r="M11" t="s">
        <v>67</v>
      </c>
      <c r="N11" t="s">
        <v>57</v>
      </c>
      <c r="O11" s="25">
        <v>-499400</v>
      </c>
      <c r="P11" s="25">
        <v>2112068048</v>
      </c>
      <c r="Q11" t="s">
        <v>68</v>
      </c>
    </row>
    <row r="12" spans="1:17" x14ac:dyDescent="0.35">
      <c r="A12">
        <v>4000</v>
      </c>
      <c r="B12">
        <v>19988.86</v>
      </c>
      <c r="C12" s="2">
        <f>A12*B12</f>
        <v>79955440</v>
      </c>
      <c r="D12" s="4">
        <f>C12-F9</f>
        <v>60818287.780000001</v>
      </c>
      <c r="M12" t="s">
        <v>69</v>
      </c>
      <c r="N12" t="s">
        <v>57</v>
      </c>
      <c r="O12" s="25">
        <v>-179280</v>
      </c>
      <c r="P12" s="25">
        <v>2112567448</v>
      </c>
      <c r="Q12" t="s">
        <v>70</v>
      </c>
    </row>
    <row r="13" spans="1:17" x14ac:dyDescent="0.35">
      <c r="A13" t="s">
        <v>71</v>
      </c>
      <c r="D13">
        <v>759699</v>
      </c>
      <c r="G13" s="9">
        <f>D17/(F9+D13+D15+D16)</f>
        <v>2.4675406194163481</v>
      </c>
      <c r="M13" t="s">
        <v>69</v>
      </c>
      <c r="N13" t="s">
        <v>57</v>
      </c>
      <c r="O13" s="25">
        <v>-149400</v>
      </c>
      <c r="P13" s="25">
        <v>2112746728</v>
      </c>
      <c r="Q13" t="s">
        <v>70</v>
      </c>
    </row>
    <row r="14" spans="1:17" x14ac:dyDescent="0.35">
      <c r="A14" t="s">
        <v>72</v>
      </c>
      <c r="D14">
        <v>5864</v>
      </c>
      <c r="E14" t="s">
        <v>73</v>
      </c>
      <c r="F14" s="4">
        <f>C12-F9-D13-D14</f>
        <v>60052724.780000001</v>
      </c>
      <c r="M14" t="s">
        <v>74</v>
      </c>
      <c r="N14" t="s">
        <v>57</v>
      </c>
      <c r="O14" s="25">
        <v>-131760</v>
      </c>
      <c r="P14" s="25">
        <v>2112896128</v>
      </c>
      <c r="Q14" t="s">
        <v>75</v>
      </c>
    </row>
    <row r="15" spans="1:17" x14ac:dyDescent="0.35">
      <c r="A15" t="s">
        <v>76</v>
      </c>
      <c r="C15" s="26">
        <v>2.9399999999999999E-2</v>
      </c>
      <c r="D15" s="4">
        <f>C12*C15</f>
        <v>2350689.9359999998</v>
      </c>
      <c r="H15" s="2"/>
      <c r="M15" t="s">
        <v>74</v>
      </c>
      <c r="N15" t="s">
        <v>57</v>
      </c>
      <c r="O15" s="25">
        <v>-109800</v>
      </c>
      <c r="P15" s="25">
        <v>2113027888</v>
      </c>
      <c r="Q15" t="s">
        <v>75</v>
      </c>
    </row>
    <row r="16" spans="1:17" x14ac:dyDescent="0.35">
      <c r="A16" t="s">
        <v>77</v>
      </c>
      <c r="C16" s="26">
        <v>0.01</v>
      </c>
      <c r="D16" s="27">
        <f>C12*C16</f>
        <v>799554.4</v>
      </c>
      <c r="M16" t="s">
        <v>78</v>
      </c>
      <c r="N16" t="s">
        <v>79</v>
      </c>
      <c r="O16" s="25">
        <v>-98000</v>
      </c>
      <c r="P16" s="25">
        <v>2113137688</v>
      </c>
      <c r="Q16" t="s">
        <v>80</v>
      </c>
    </row>
    <row r="17" spans="1:15" x14ac:dyDescent="0.35">
      <c r="D17" s="4">
        <f>D12-(SUM(D13:D16))+(O17*1%)</f>
        <v>56869644.443999998</v>
      </c>
      <c r="E17" t="s">
        <v>81</v>
      </c>
      <c r="O17" s="2">
        <f>SUM(O2:O16)</f>
        <v>-3283600</v>
      </c>
    </row>
    <row r="18" spans="1:15" s="18" customFormat="1" x14ac:dyDescent="0.35">
      <c r="J18" s="31"/>
      <c r="O18" s="18" t="s">
        <v>82</v>
      </c>
    </row>
    <row r="19" spans="1:15" x14ac:dyDescent="0.35">
      <c r="A19" t="s">
        <v>105</v>
      </c>
      <c r="C19" t="s">
        <v>106</v>
      </c>
      <c r="D19">
        <v>50</v>
      </c>
    </row>
    <row r="20" spans="1:15" x14ac:dyDescent="0.35">
      <c r="A20" t="s">
        <v>108</v>
      </c>
      <c r="B20" t="s">
        <v>103</v>
      </c>
      <c r="C20" t="s">
        <v>17</v>
      </c>
      <c r="D20" t="s">
        <v>18</v>
      </c>
      <c r="E20" t="s">
        <v>50</v>
      </c>
      <c r="H20" t="s">
        <v>48</v>
      </c>
      <c r="I20" t="s">
        <v>83</v>
      </c>
    </row>
    <row r="21" spans="1:15" x14ac:dyDescent="0.35">
      <c r="A21" t="s">
        <v>107</v>
      </c>
      <c r="B21">
        <v>12011</v>
      </c>
      <c r="C21">
        <v>9575792</v>
      </c>
      <c r="D21" s="3">
        <f>_xlfn.CEILING.MATH(ROUNDUP(B21*$D$19*((1-10%)*(1-1%)),2))</f>
        <v>535091</v>
      </c>
      <c r="E21" s="3">
        <f>IF(C21&gt;D21,0,D21-C21)</f>
        <v>0</v>
      </c>
      <c r="F21" s="17"/>
      <c r="G21" t="s">
        <v>107</v>
      </c>
      <c r="H21">
        <v>5.29</v>
      </c>
      <c r="I21" s="4">
        <f>D21*H21</f>
        <v>2830631.39</v>
      </c>
      <c r="J21" s="8"/>
    </row>
    <row r="22" spans="1:15" x14ac:dyDescent="0.35">
      <c r="A22" t="s">
        <v>109</v>
      </c>
      <c r="B22">
        <v>9764</v>
      </c>
      <c r="C22">
        <v>3149636</v>
      </c>
      <c r="D22" s="3">
        <f t="shared" ref="D22:D27" si="2">_xlfn.CEILING.MATH(ROUNDUP(B22*$D$19*((1-10%)*(1-1%)),2))</f>
        <v>434987</v>
      </c>
      <c r="E22" s="3">
        <f>IF(C22&gt;D22,0,D22-C22)</f>
        <v>0</v>
      </c>
      <c r="F22" s="17"/>
      <c r="G22" t="s">
        <v>109</v>
      </c>
      <c r="H22">
        <v>4.26</v>
      </c>
      <c r="I22" s="4">
        <f t="shared" ref="I22:I27" si="3">D22*H22</f>
        <v>1853044.6199999999</v>
      </c>
    </row>
    <row r="23" spans="1:15" x14ac:dyDescent="0.35">
      <c r="A23" t="s">
        <v>110</v>
      </c>
      <c r="B23">
        <v>2863</v>
      </c>
      <c r="C23">
        <v>1212290</v>
      </c>
      <c r="D23" s="3">
        <f t="shared" si="2"/>
        <v>127547</v>
      </c>
      <c r="E23" s="3">
        <f>IF(C23&gt;D23,0,D23-C23)</f>
        <v>0</v>
      </c>
      <c r="F23" s="17"/>
      <c r="G23" t="s">
        <v>110</v>
      </c>
      <c r="H23">
        <v>64.709999999999994</v>
      </c>
      <c r="I23" s="4">
        <f t="shared" si="3"/>
        <v>8253566.3699999992</v>
      </c>
    </row>
    <row r="24" spans="1:15" x14ac:dyDescent="0.35">
      <c r="A24" t="s">
        <v>111</v>
      </c>
      <c r="B24">
        <v>1097</v>
      </c>
      <c r="C24">
        <v>324343</v>
      </c>
      <c r="D24" s="3">
        <f t="shared" si="2"/>
        <v>48872</v>
      </c>
      <c r="E24" s="3">
        <f>IF(C24&gt;D24,0,D24-C24)</f>
        <v>0</v>
      </c>
      <c r="F24" s="17"/>
      <c r="G24" t="s">
        <v>111</v>
      </c>
      <c r="H24">
        <v>16</v>
      </c>
      <c r="I24" s="4">
        <f t="shared" si="3"/>
        <v>781952</v>
      </c>
    </row>
    <row r="25" spans="1:15" x14ac:dyDescent="0.35">
      <c r="A25" t="s">
        <v>112</v>
      </c>
      <c r="B25">
        <v>553</v>
      </c>
      <c r="C25">
        <v>155378</v>
      </c>
      <c r="D25" s="3">
        <f t="shared" si="2"/>
        <v>24637</v>
      </c>
      <c r="E25" s="3">
        <f>IF(C25&gt;D25,0,D25-C25)</f>
        <v>0</v>
      </c>
      <c r="F25" s="17"/>
      <c r="G25" t="s">
        <v>112</v>
      </c>
      <c r="H25">
        <v>310</v>
      </c>
      <c r="I25" s="4">
        <f t="shared" si="3"/>
        <v>7637470</v>
      </c>
    </row>
    <row r="26" spans="1:15" x14ac:dyDescent="0.35">
      <c r="A26" t="s">
        <v>113</v>
      </c>
      <c r="B26">
        <v>378</v>
      </c>
      <c r="C26">
        <v>5985</v>
      </c>
      <c r="D26" s="3">
        <f t="shared" si="2"/>
        <v>16840</v>
      </c>
      <c r="E26" s="3">
        <f>IF(C26&gt;D26,0,D26)</f>
        <v>16840</v>
      </c>
      <c r="F26" s="17"/>
      <c r="G26" t="s">
        <v>113</v>
      </c>
      <c r="H26">
        <v>519.95000000000005</v>
      </c>
      <c r="I26" s="4">
        <f t="shared" si="3"/>
        <v>8755958</v>
      </c>
      <c r="J26" s="2">
        <f>SUM(I26:I27)</f>
        <v>13311821</v>
      </c>
    </row>
    <row r="27" spans="1:15" x14ac:dyDescent="0.35">
      <c r="A27" t="s">
        <v>114</v>
      </c>
      <c r="B27">
        <v>228</v>
      </c>
      <c r="C27">
        <v>454</v>
      </c>
      <c r="D27" s="3">
        <f t="shared" si="2"/>
        <v>10158</v>
      </c>
      <c r="E27" s="3">
        <f>IF(C27&gt;D27,0,D27)</f>
        <v>10158</v>
      </c>
      <c r="F27" s="17"/>
      <c r="G27" t="s">
        <v>114</v>
      </c>
      <c r="H27">
        <v>448.5</v>
      </c>
      <c r="I27" s="4">
        <f t="shared" si="3"/>
        <v>4555863</v>
      </c>
    </row>
    <row r="28" spans="1:15" x14ac:dyDescent="0.35">
      <c r="C28" t="s">
        <v>48</v>
      </c>
      <c r="D28" t="s">
        <v>83</v>
      </c>
      <c r="I28" s="4">
        <f>SUM(I21:I27)</f>
        <v>34668485.379999995</v>
      </c>
    </row>
    <row r="29" spans="1:15" x14ac:dyDescent="0.35">
      <c r="A29" t="s">
        <v>105</v>
      </c>
      <c r="C29" s="2">
        <v>849990.19</v>
      </c>
      <c r="D29" s="4">
        <f>C29*D19</f>
        <v>42499509.5</v>
      </c>
    </row>
    <row r="30" spans="1:15" x14ac:dyDescent="0.35">
      <c r="D30" t="s">
        <v>115</v>
      </c>
    </row>
    <row r="31" spans="1:15" x14ac:dyDescent="0.35">
      <c r="C31" t="s">
        <v>116</v>
      </c>
      <c r="D31" s="4">
        <f>D29</f>
        <v>42499509.5</v>
      </c>
      <c r="F31" t="s">
        <v>45</v>
      </c>
    </row>
    <row r="32" spans="1:15" x14ac:dyDescent="0.35">
      <c r="C32" t="s">
        <v>108</v>
      </c>
      <c r="D32" s="2">
        <f>I28</f>
        <v>34668485.379999995</v>
      </c>
      <c r="F32" s="9">
        <f>1-(D32/D31)</f>
        <v>0.18426151765351562</v>
      </c>
    </row>
    <row r="34" spans="1:15" s="18" customFormat="1" x14ac:dyDescent="0.35">
      <c r="J34" s="31"/>
      <c r="O34" s="18" t="s">
        <v>82</v>
      </c>
    </row>
    <row r="35" spans="1:15" x14ac:dyDescent="0.35">
      <c r="A35" t="s">
        <v>204</v>
      </c>
      <c r="B35" s="22" t="s">
        <v>17</v>
      </c>
      <c r="C35" s="22" t="s">
        <v>103</v>
      </c>
      <c r="D35" s="22" t="s">
        <v>18</v>
      </c>
      <c r="E35" s="22" t="s">
        <v>50</v>
      </c>
      <c r="F35" s="22" t="s">
        <v>360</v>
      </c>
      <c r="G35" s="22" t="s">
        <v>361</v>
      </c>
      <c r="H35" s="22" t="s">
        <v>268</v>
      </c>
      <c r="I35" t="s">
        <v>338</v>
      </c>
      <c r="J35" s="2">
        <v>40</v>
      </c>
    </row>
    <row r="36" spans="1:15" x14ac:dyDescent="0.35">
      <c r="A36" t="s">
        <v>201</v>
      </c>
      <c r="B36" s="91">
        <f>301+132</f>
        <v>433</v>
      </c>
      <c r="C36">
        <v>1</v>
      </c>
      <c r="D36" s="48">
        <f>_xlfn.CEILING.MATH(ROUNDUP(C36*$J$36*((1-10%)*(1-1%)),2))</f>
        <v>250</v>
      </c>
      <c r="E36" s="89">
        <f>D36-B36</f>
        <v>-183</v>
      </c>
      <c r="F36" s="4">
        <f>Pricing!J19</f>
        <v>79870</v>
      </c>
      <c r="G36" s="4">
        <f t="shared" ref="G36:G46" si="4">D36*F36</f>
        <v>19967500</v>
      </c>
      <c r="H36" s="2">
        <f t="shared" ref="H36:H39" si="5">IF(E36&lt;0,0,E36*F36)</f>
        <v>0</v>
      </c>
      <c r="I36" t="s">
        <v>339</v>
      </c>
      <c r="J36" s="2">
        <v>280</v>
      </c>
    </row>
    <row r="37" spans="1:15" x14ac:dyDescent="0.35">
      <c r="A37" t="s">
        <v>202</v>
      </c>
      <c r="B37" s="91">
        <v>4709</v>
      </c>
      <c r="C37">
        <v>4</v>
      </c>
      <c r="D37" s="48">
        <f>_xlfn.CEILING.MATH(ROUNDUP(C37*$J$36*((1-10%)*(1-1%)),2))</f>
        <v>998</v>
      </c>
      <c r="E37" s="89">
        <f t="shared" ref="E37:E40" si="6">D37-B37</f>
        <v>-3711</v>
      </c>
      <c r="F37" s="4">
        <f>Pricing!J20</f>
        <v>10950</v>
      </c>
      <c r="G37" s="4">
        <f t="shared" si="4"/>
        <v>10928100</v>
      </c>
      <c r="H37" s="2">
        <f t="shared" si="5"/>
        <v>0</v>
      </c>
      <c r="J37" s="2">
        <f>J36*J35</f>
        <v>11200</v>
      </c>
    </row>
    <row r="38" spans="1:15" x14ac:dyDescent="0.35">
      <c r="A38" t="s">
        <v>63</v>
      </c>
      <c r="B38" s="91">
        <v>350</v>
      </c>
      <c r="C38">
        <v>4</v>
      </c>
      <c r="D38" s="48">
        <f>_xlfn.CEILING.MATH(ROUNDUP(C38*$J$36*((1-10%)*(1-1%)),2))</f>
        <v>998</v>
      </c>
      <c r="E38" s="89">
        <f t="shared" si="6"/>
        <v>648</v>
      </c>
      <c r="F38" s="47">
        <f>Pricing!J21</f>
        <v>10990</v>
      </c>
      <c r="G38" s="4">
        <f t="shared" si="4"/>
        <v>10968020</v>
      </c>
      <c r="H38" s="2">
        <f t="shared" si="5"/>
        <v>7121520</v>
      </c>
      <c r="I38" s="4">
        <f>Pricing!K21</f>
        <v>0</v>
      </c>
    </row>
    <row r="39" spans="1:15" x14ac:dyDescent="0.35">
      <c r="A39" t="s">
        <v>64</v>
      </c>
      <c r="B39" s="91">
        <v>515</v>
      </c>
      <c r="C39">
        <v>9</v>
      </c>
      <c r="D39" s="48">
        <f>_xlfn.CEILING.MATH(ROUNDUP(C39*$J$36*((1-10%)*(1-1%)),2))</f>
        <v>2246</v>
      </c>
      <c r="E39" s="89">
        <f t="shared" si="6"/>
        <v>1731</v>
      </c>
      <c r="F39" s="47">
        <f>Pricing!J22</f>
        <v>10880</v>
      </c>
      <c r="G39" s="4">
        <f t="shared" si="4"/>
        <v>24436480</v>
      </c>
      <c r="H39" s="2">
        <f t="shared" si="5"/>
        <v>18833280</v>
      </c>
      <c r="I39" s="4">
        <f>Pricing!K22</f>
        <v>0</v>
      </c>
    </row>
    <row r="40" spans="1:15" x14ac:dyDescent="0.35">
      <c r="A40" t="s">
        <v>203</v>
      </c>
      <c r="B40" s="91">
        <v>5489</v>
      </c>
      <c r="C40">
        <v>22</v>
      </c>
      <c r="D40" s="48">
        <f>_xlfn.CEILING.MATH(ROUNDUP(C40*$J$36*((1-10%)*(1-1%)),2))</f>
        <v>5489</v>
      </c>
      <c r="E40" s="89">
        <f t="shared" si="6"/>
        <v>0</v>
      </c>
      <c r="F40" s="47">
        <f>Pricing!J23</f>
        <v>592.79999999999995</v>
      </c>
      <c r="G40" s="4">
        <f t="shared" si="4"/>
        <v>3253879.1999999997</v>
      </c>
      <c r="H40" s="2">
        <f t="shared" ref="H40" si="7">IF(E40&lt;0,0,E40*F40)</f>
        <v>0</v>
      </c>
      <c r="I40" s="4"/>
      <c r="J40" s="62"/>
    </row>
    <row r="41" spans="1:15" x14ac:dyDescent="0.35">
      <c r="B41" s="41"/>
      <c r="D41" s="3"/>
      <c r="E41" s="89"/>
      <c r="F41" s="47"/>
      <c r="G41" s="4">
        <f t="shared" si="4"/>
        <v>0</v>
      </c>
      <c r="H41" s="2">
        <f t="shared" ref="H41:H46" si="8">IF(E41&lt;0,0,E41*F41)</f>
        <v>0</v>
      </c>
      <c r="I41" s="4"/>
      <c r="J41" s="9"/>
    </row>
    <row r="42" spans="1:15" x14ac:dyDescent="0.35">
      <c r="B42" s="91"/>
      <c r="D42" s="3"/>
      <c r="E42" s="90"/>
      <c r="F42" s="47"/>
      <c r="G42" s="4">
        <f t="shared" si="4"/>
        <v>0</v>
      </c>
      <c r="H42" s="2">
        <f t="shared" si="8"/>
        <v>0</v>
      </c>
      <c r="I42" s="4"/>
      <c r="J42"/>
    </row>
    <row r="43" spans="1:15" x14ac:dyDescent="0.35">
      <c r="A43" t="s">
        <v>59</v>
      </c>
      <c r="B43" s="91">
        <v>14848</v>
      </c>
      <c r="C43">
        <v>350</v>
      </c>
      <c r="D43" s="48">
        <f>_xlfn.CEILING.MATH(ROUNDUP(C43*$J$36*((1-10%)*(1-1%)),2))</f>
        <v>87318</v>
      </c>
      <c r="E43" s="89">
        <f t="shared" ref="E43:E46" si="9">D43-B43</f>
        <v>72470</v>
      </c>
      <c r="F43" s="47">
        <f>Pricing!J15</f>
        <v>85</v>
      </c>
      <c r="G43" s="4">
        <f t="shared" si="4"/>
        <v>7422030</v>
      </c>
      <c r="H43" s="2">
        <f t="shared" si="8"/>
        <v>6159950</v>
      </c>
    </row>
    <row r="44" spans="1:15" x14ac:dyDescent="0.35">
      <c r="A44" t="s">
        <v>55</v>
      </c>
      <c r="B44" s="91">
        <v>14145</v>
      </c>
      <c r="C44">
        <v>170</v>
      </c>
      <c r="D44" s="48">
        <f>_xlfn.CEILING.MATH(ROUNDUP(C44*$J$36*((1-10%)*(1-1%)),2))</f>
        <v>42412</v>
      </c>
      <c r="E44" s="89">
        <f t="shared" si="9"/>
        <v>28267</v>
      </c>
      <c r="F44" s="47">
        <f>Pricing!J14</f>
        <v>167.4</v>
      </c>
      <c r="G44" s="4">
        <f t="shared" si="4"/>
        <v>7099768.7999999998</v>
      </c>
      <c r="H44" s="2">
        <f t="shared" si="8"/>
        <v>4731895.8</v>
      </c>
    </row>
    <row r="45" spans="1:15" x14ac:dyDescent="0.35">
      <c r="A45" t="s">
        <v>200</v>
      </c>
      <c r="B45" s="91">
        <v>112266</v>
      </c>
      <c r="C45">
        <v>450</v>
      </c>
      <c r="D45" s="48">
        <f>_xlfn.CEILING.MATH(ROUNDUP(C45*$J$36*((1-10%)*(1-1%)),2))</f>
        <v>112266</v>
      </c>
      <c r="E45" s="89">
        <f t="shared" si="9"/>
        <v>0</v>
      </c>
      <c r="F45" s="47">
        <f>Pricing!J17</f>
        <v>517.9</v>
      </c>
      <c r="G45" s="4">
        <f t="shared" si="4"/>
        <v>58142561.399999999</v>
      </c>
      <c r="H45" s="2">
        <f t="shared" si="8"/>
        <v>0</v>
      </c>
    </row>
    <row r="46" spans="1:15" x14ac:dyDescent="0.35">
      <c r="A46" t="s">
        <v>54</v>
      </c>
      <c r="B46" s="91">
        <v>423</v>
      </c>
      <c r="C46">
        <v>20</v>
      </c>
      <c r="D46" s="48">
        <f>_xlfn.CEILING.MATH(ROUNDUP(C46*$J$36*((1-10%)*(1-1%)),2))</f>
        <v>4990</v>
      </c>
      <c r="E46" s="89">
        <f t="shared" si="9"/>
        <v>4567</v>
      </c>
      <c r="F46" s="47">
        <f>Pricing!J18</f>
        <v>1694</v>
      </c>
      <c r="G46" s="27">
        <f t="shared" si="4"/>
        <v>8453060</v>
      </c>
      <c r="H46" s="29">
        <f t="shared" si="8"/>
        <v>7736498</v>
      </c>
    </row>
    <row r="47" spans="1:15" x14ac:dyDescent="0.35">
      <c r="D47" s="6">
        <f>D43-72470</f>
        <v>14848</v>
      </c>
      <c r="E47" s="28"/>
      <c r="F47" t="s">
        <v>22</v>
      </c>
      <c r="G47" s="2">
        <f>SUM(G36:G46)</f>
        <v>150671399.40000001</v>
      </c>
      <c r="H47" s="2">
        <f>SUM(H36:H46)</f>
        <v>44583143.799999997</v>
      </c>
    </row>
    <row r="48" spans="1:15" x14ac:dyDescent="0.35">
      <c r="B48" t="s">
        <v>138</v>
      </c>
      <c r="C48" t="s">
        <v>229</v>
      </c>
    </row>
    <row r="49" spans="1:15" x14ac:dyDescent="0.35">
      <c r="A49" t="s">
        <v>204</v>
      </c>
      <c r="B49" s="4">
        <f>J37</f>
        <v>11200</v>
      </c>
      <c r="C49" s="4">
        <f>Pricing!J24</f>
        <v>13900</v>
      </c>
      <c r="F49" s="1" t="s">
        <v>342</v>
      </c>
      <c r="G49" s="29">
        <f>B49*C49</f>
        <v>155680000</v>
      </c>
      <c r="H49" s="27">
        <f>G49</f>
        <v>155680000</v>
      </c>
    </row>
    <row r="50" spans="1:15" x14ac:dyDescent="0.35">
      <c r="B50" s="4"/>
      <c r="C50" s="4"/>
      <c r="F50" s="1" t="s">
        <v>343</v>
      </c>
      <c r="G50" s="2">
        <f>G47</f>
        <v>150671399.40000001</v>
      </c>
      <c r="H50" s="4">
        <f>H47</f>
        <v>44583143.799999997</v>
      </c>
      <c r="I50" t="s">
        <v>345</v>
      </c>
      <c r="K50" s="9">
        <f>H50/G50</f>
        <v>0.29589652699542124</v>
      </c>
    </row>
    <row r="51" spans="1:15" x14ac:dyDescent="0.35">
      <c r="F51" s="1" t="s">
        <v>340</v>
      </c>
      <c r="G51" s="2">
        <v>15000</v>
      </c>
      <c r="H51" s="2">
        <v>15000</v>
      </c>
      <c r="I51" s="9"/>
      <c r="J51" s="2">
        <f>G50+G51</f>
        <v>150686399.40000001</v>
      </c>
    </row>
    <row r="52" spans="1:15" x14ac:dyDescent="0.35">
      <c r="B52" s="4"/>
      <c r="C52" s="2"/>
      <c r="D52" s="4"/>
      <c r="E52" s="26">
        <v>3.5999999999999997E-2</v>
      </c>
      <c r="F52" s="1" t="s">
        <v>77</v>
      </c>
      <c r="G52" s="4">
        <f>G49*E52</f>
        <v>5604480</v>
      </c>
      <c r="H52" s="4">
        <f>H49*E52</f>
        <v>5604480</v>
      </c>
    </row>
    <row r="53" spans="1:15" x14ac:dyDescent="0.35">
      <c r="D53" s="2"/>
      <c r="E53" s="26">
        <v>0.03</v>
      </c>
      <c r="F53" s="1" t="s">
        <v>296</v>
      </c>
      <c r="G53" s="27">
        <v>0</v>
      </c>
      <c r="H53" s="27">
        <v>0</v>
      </c>
      <c r="J53" s="2" t="s">
        <v>358</v>
      </c>
      <c r="K53" t="s">
        <v>359</v>
      </c>
    </row>
    <row r="54" spans="1:15" x14ac:dyDescent="0.35">
      <c r="D54" s="2"/>
      <c r="F54" s="1" t="s">
        <v>341</v>
      </c>
      <c r="G54" s="27">
        <f>SUM(G50:G53)</f>
        <v>156290879.40000001</v>
      </c>
      <c r="H54" s="27">
        <f>SUM(H50:H53)</f>
        <v>50202623.799999997</v>
      </c>
      <c r="I54" t="s">
        <v>356</v>
      </c>
      <c r="J54" s="4">
        <f>H54*110%</f>
        <v>55222886.18</v>
      </c>
      <c r="K54" s="2">
        <f>J54/J37</f>
        <v>4930.6148375000002</v>
      </c>
    </row>
    <row r="55" spans="1:15" x14ac:dyDescent="0.35">
      <c r="C55" s="26"/>
      <c r="D55" s="27"/>
      <c r="F55" s="1" t="s">
        <v>344</v>
      </c>
      <c r="G55" s="4">
        <f>G49-G54</f>
        <v>-610879.40000000596</v>
      </c>
      <c r="H55" s="4">
        <f>H49-H54</f>
        <v>105477376.2</v>
      </c>
      <c r="I55" t="s">
        <v>357</v>
      </c>
      <c r="J55" s="4">
        <f>G54*110%</f>
        <v>171919967.34000003</v>
      </c>
      <c r="K55" s="2">
        <f>J55/J37</f>
        <v>15349.997083928574</v>
      </c>
    </row>
    <row r="56" spans="1:15" x14ac:dyDescent="0.35">
      <c r="D56" s="4"/>
      <c r="F56" s="1" t="s">
        <v>45</v>
      </c>
      <c r="G56" s="9">
        <f>G55/G49</f>
        <v>-3.9239427029805112E-3</v>
      </c>
      <c r="H56" s="9">
        <f>H55/H49</f>
        <v>0.67752682553956833</v>
      </c>
    </row>
    <row r="57" spans="1:15" s="18" customFormat="1" x14ac:dyDescent="0.35">
      <c r="J57" s="31"/>
      <c r="O57" s="18" t="s">
        <v>82</v>
      </c>
    </row>
    <row r="58" spans="1:15" x14ac:dyDescent="0.35">
      <c r="A58" t="s">
        <v>207</v>
      </c>
      <c r="C58" t="s">
        <v>19</v>
      </c>
      <c r="D58">
        <v>150</v>
      </c>
      <c r="E58" t="s">
        <v>211</v>
      </c>
      <c r="F58" s="30">
        <v>0.1</v>
      </c>
    </row>
    <row r="59" spans="1:15" x14ac:dyDescent="0.35">
      <c r="C59" t="s">
        <v>103</v>
      </c>
      <c r="D59" t="s">
        <v>18</v>
      </c>
      <c r="E59" t="s">
        <v>17</v>
      </c>
      <c r="F59" t="s">
        <v>26</v>
      </c>
    </row>
    <row r="60" spans="1:15" x14ac:dyDescent="0.35">
      <c r="A60" t="str">
        <f>Pricing!A38</f>
        <v>Bacteria</v>
      </c>
      <c r="B60" s="55">
        <f>Pricing!B38</f>
        <v>990</v>
      </c>
      <c r="C60" s="6">
        <v>80</v>
      </c>
      <c r="D60" s="6">
        <f>_xlfn.CEILING.MATH(ROUNDUP(C60*$D$58*((1-10%)*(1-1%)),2))</f>
        <v>10692</v>
      </c>
      <c r="E60" s="45">
        <v>0</v>
      </c>
      <c r="F60" s="48">
        <f>IF(E60&gt;=D60,0,(D60-E60)*B60)</f>
        <v>10585080</v>
      </c>
    </row>
    <row r="61" spans="1:15" x14ac:dyDescent="0.35">
      <c r="A61" t="str">
        <f>Pricing!A39</f>
        <v>Proteins</v>
      </c>
      <c r="B61" s="55">
        <f>Pricing!B39</f>
        <v>2398</v>
      </c>
      <c r="C61" s="6">
        <v>40</v>
      </c>
      <c r="D61" s="6">
        <f>_xlfn.CEILING.MATH(ROUNDUP(C61*$D$58*((1-10%)*(1-1%)),2))</f>
        <v>5346</v>
      </c>
      <c r="E61" s="45">
        <v>0</v>
      </c>
      <c r="F61" s="48">
        <f>IF(E61&gt;=D61,0,(D61-E61)*B61)</f>
        <v>12819708</v>
      </c>
    </row>
    <row r="62" spans="1:15" x14ac:dyDescent="0.35">
      <c r="A62" t="str">
        <f>Pricing!A40</f>
        <v>Reinforced Carbon Fiber</v>
      </c>
      <c r="B62" s="55">
        <f>Pricing!B40</f>
        <v>15780</v>
      </c>
      <c r="C62" s="6">
        <v>10</v>
      </c>
      <c r="D62" s="6">
        <f>_xlfn.CEILING.MATH(ROUNDUP(C62*$D$58*((1-10%)*(1-1%)),2))</f>
        <v>1337</v>
      </c>
      <c r="E62" s="45">
        <v>0</v>
      </c>
      <c r="F62" s="49">
        <f>IF(E62&gt;=D62,0,(D62-E62)*B62)</f>
        <v>21097860</v>
      </c>
    </row>
    <row r="63" spans="1:15" x14ac:dyDescent="0.35">
      <c r="A63" t="str">
        <f>A58</f>
        <v>Auto-Integrity Preservation Seal</v>
      </c>
      <c r="C63" s="6"/>
      <c r="D63" s="47"/>
      <c r="E63" s="38"/>
      <c r="F63" s="48">
        <f>SUM(F60:F62)</f>
        <v>44502648</v>
      </c>
    </row>
    <row r="64" spans="1:15" x14ac:dyDescent="0.35">
      <c r="A64" s="4">
        <v>539500</v>
      </c>
      <c r="B64">
        <f>D58</f>
        <v>150</v>
      </c>
      <c r="C64" s="47">
        <f>A64*B64</f>
        <v>80925000</v>
      </c>
      <c r="D64" s="46"/>
      <c r="E64" s="47"/>
      <c r="F64" s="38"/>
      <c r="G64" s="6"/>
    </row>
    <row r="65" spans="1:15" x14ac:dyDescent="0.35">
      <c r="B65" t="s">
        <v>212</v>
      </c>
      <c r="C65" s="50">
        <f>F63</f>
        <v>44502648</v>
      </c>
      <c r="D65" s="46"/>
      <c r="E65" s="47"/>
      <c r="F65" s="38"/>
      <c r="G65" s="6"/>
    </row>
    <row r="66" spans="1:15" x14ac:dyDescent="0.35">
      <c r="C66" s="47">
        <f>C64-C65</f>
        <v>36422352</v>
      </c>
      <c r="D66" s="46"/>
      <c r="E66" s="6"/>
      <c r="F66" s="38"/>
      <c r="G66" s="6"/>
    </row>
    <row r="67" spans="1:15" x14ac:dyDescent="0.35">
      <c r="A67" t="s">
        <v>213</v>
      </c>
      <c r="C67" s="27">
        <f>C64*7%</f>
        <v>5664750.0000000009</v>
      </c>
    </row>
    <row r="68" spans="1:15" x14ac:dyDescent="0.35">
      <c r="A68" t="s">
        <v>214</v>
      </c>
      <c r="C68" s="4">
        <f>C66-C67</f>
        <v>30757602</v>
      </c>
      <c r="D68" s="9">
        <f>C68/C64</f>
        <v>0.3800754031510658</v>
      </c>
    </row>
    <row r="69" spans="1:15" x14ac:dyDescent="0.35">
      <c r="A69" s="42"/>
      <c r="B69" s="43"/>
      <c r="C69" s="44"/>
      <c r="D69" s="43"/>
      <c r="E69" s="42"/>
      <c r="F69" s="42"/>
      <c r="G69" s="42"/>
    </row>
    <row r="70" spans="1:15" s="18" customFormat="1" x14ac:dyDescent="0.35">
      <c r="J70" s="31"/>
      <c r="O70" s="18" t="s">
        <v>82</v>
      </c>
    </row>
    <row r="71" spans="1:15" x14ac:dyDescent="0.35">
      <c r="A71" s="42" t="s">
        <v>215</v>
      </c>
      <c r="B71" s="42"/>
      <c r="C71" s="42"/>
      <c r="D71" s="42" t="s">
        <v>19</v>
      </c>
      <c r="E71" s="42">
        <v>50</v>
      </c>
      <c r="F71" s="42" t="s">
        <v>228</v>
      </c>
      <c r="G71" s="42"/>
    </row>
    <row r="72" spans="1:15" x14ac:dyDescent="0.35">
      <c r="A72" s="51" t="s">
        <v>222</v>
      </c>
      <c r="B72" s="42" t="s">
        <v>223</v>
      </c>
      <c r="C72" s="42" t="s">
        <v>226</v>
      </c>
      <c r="D72" s="42" t="s">
        <v>224</v>
      </c>
      <c r="E72" t="s">
        <v>225</v>
      </c>
      <c r="F72" s="43" t="s">
        <v>227</v>
      </c>
    </row>
    <row r="73" spans="1:15" x14ac:dyDescent="0.35">
      <c r="A73" s="51" t="s">
        <v>216</v>
      </c>
      <c r="B73" s="55">
        <f>Pricing!B42</f>
        <v>25000</v>
      </c>
      <c r="C73" s="6">
        <v>40</v>
      </c>
      <c r="D73" s="6">
        <f>C73*$E$71</f>
        <v>2000</v>
      </c>
      <c r="E73" s="45">
        <v>0</v>
      </c>
      <c r="F73" s="48">
        <f>IF(E73&gt;=D73,0,(D73-E73)*B73)</f>
        <v>50000000</v>
      </c>
      <c r="G73" s="2" t="s">
        <v>337</v>
      </c>
      <c r="H73" s="48"/>
    </row>
    <row r="74" spans="1:15" x14ac:dyDescent="0.35">
      <c r="A74" s="51" t="s">
        <v>217</v>
      </c>
      <c r="B74" s="55">
        <f>Pricing!B43</f>
        <v>37010</v>
      </c>
      <c r="C74" s="6">
        <v>40</v>
      </c>
      <c r="D74" s="6">
        <f>C74*$E$71</f>
        <v>2000</v>
      </c>
      <c r="E74" s="45">
        <v>0</v>
      </c>
      <c r="F74" s="48">
        <f>IF(E74&gt;=D74,0,(D74-E74)*B74)</f>
        <v>74020000</v>
      </c>
      <c r="G74" s="2" t="s">
        <v>336</v>
      </c>
      <c r="H74" s="48"/>
    </row>
    <row r="75" spans="1:15" x14ac:dyDescent="0.35">
      <c r="A75" s="51" t="s">
        <v>218</v>
      </c>
      <c r="B75" s="55">
        <f>Pricing!B44</f>
        <v>355400</v>
      </c>
      <c r="C75" s="6">
        <v>1</v>
      </c>
      <c r="D75" s="6">
        <f>C75*$E$71</f>
        <v>50</v>
      </c>
      <c r="E75" s="45">
        <v>0</v>
      </c>
      <c r="F75" s="48">
        <f>IF(E75&gt;=D75,0,(D75-E75)*B75)</f>
        <v>17770000</v>
      </c>
      <c r="G75" s="44" t="s">
        <v>337</v>
      </c>
      <c r="H75" s="48"/>
    </row>
    <row r="76" spans="1:15" x14ac:dyDescent="0.35">
      <c r="A76" s="51" t="s">
        <v>219</v>
      </c>
      <c r="B76" s="55">
        <f>Pricing!B45</f>
        <v>15440</v>
      </c>
      <c r="C76" s="6">
        <v>5</v>
      </c>
      <c r="D76" s="6">
        <f>C76*$E$71</f>
        <v>250</v>
      </c>
      <c r="E76" s="45">
        <v>0</v>
      </c>
      <c r="F76" s="49">
        <f>IF(E76&gt;=D76,0,(D76-E76)*B76)</f>
        <v>3860000</v>
      </c>
      <c r="G76" s="2" t="s">
        <v>337</v>
      </c>
      <c r="H76" s="80"/>
    </row>
    <row r="77" spans="1:15" x14ac:dyDescent="0.35">
      <c r="C77" s="6"/>
      <c r="D77" s="6"/>
      <c r="E77" s="6"/>
      <c r="F77" s="48">
        <f>SUM(F73:F76)</f>
        <v>145650000</v>
      </c>
      <c r="H77" s="48"/>
    </row>
    <row r="78" spans="1:15" x14ac:dyDescent="0.35">
      <c r="A78" t="s">
        <v>221</v>
      </c>
      <c r="C78" s="6"/>
      <c r="D78" s="6"/>
      <c r="E78" s="6"/>
    </row>
    <row r="79" spans="1:15" x14ac:dyDescent="0.35">
      <c r="A79" s="4">
        <f>Pricing!B46</f>
        <v>202000</v>
      </c>
      <c r="B79">
        <f>20*E71</f>
        <v>1000</v>
      </c>
      <c r="C79" s="47">
        <f>A79*B79</f>
        <v>202000000</v>
      </c>
      <c r="D79" s="6"/>
      <c r="E79" s="6"/>
      <c r="F79" s="4">
        <v>150000</v>
      </c>
      <c r="G79" s="4">
        <f>F79*B79</f>
        <v>150000000</v>
      </c>
    </row>
    <row r="80" spans="1:15" x14ac:dyDescent="0.35">
      <c r="B80" t="s">
        <v>212</v>
      </c>
      <c r="C80" s="52">
        <f>F77</f>
        <v>145650000</v>
      </c>
      <c r="D80" s="4">
        <f>C80*1.07</f>
        <v>155845500</v>
      </c>
      <c r="E80" s="6"/>
      <c r="G80" s="54">
        <f>F77</f>
        <v>145650000</v>
      </c>
      <c r="H80" s="4">
        <f>G80+G82</f>
        <v>159790000</v>
      </c>
    </row>
    <row r="81" spans="1:10" x14ac:dyDescent="0.35">
      <c r="C81" s="47">
        <f>C79-C80</f>
        <v>56350000</v>
      </c>
      <c r="D81" s="6"/>
      <c r="E81" s="6"/>
      <c r="G81" s="47">
        <f>G79-G80</f>
        <v>4350000</v>
      </c>
    </row>
    <row r="82" spans="1:10" x14ac:dyDescent="0.35">
      <c r="A82" t="s">
        <v>213</v>
      </c>
      <c r="C82" s="52">
        <f>(C79*7%)</f>
        <v>14140000.000000002</v>
      </c>
      <c r="D82" s="6"/>
      <c r="E82" s="6"/>
      <c r="G82" s="52">
        <f>C82</f>
        <v>14140000.000000002</v>
      </c>
      <c r="H82" s="6"/>
    </row>
    <row r="83" spans="1:10" x14ac:dyDescent="0.35">
      <c r="A83" t="s">
        <v>214</v>
      </c>
      <c r="C83" s="47">
        <f>C81-C82</f>
        <v>42210000</v>
      </c>
      <c r="D83" s="53">
        <f>C83/C79</f>
        <v>0.20896039603960395</v>
      </c>
      <c r="E83" s="6"/>
      <c r="G83" s="47">
        <f>G81-G82</f>
        <v>-9790000.0000000019</v>
      </c>
      <c r="H83" s="53">
        <f>G83/G79</f>
        <v>-6.5266666666666681E-2</v>
      </c>
    </row>
    <row r="84" spans="1:10" x14ac:dyDescent="0.35">
      <c r="C84" s="6"/>
      <c r="D84" s="6"/>
      <c r="E84" s="6"/>
    </row>
    <row r="85" spans="1:10" s="18" customFormat="1" x14ac:dyDescent="0.35">
      <c r="J85" s="31"/>
    </row>
    <row r="86" spans="1:10" x14ac:dyDescent="0.35">
      <c r="A86" s="74" t="s">
        <v>315</v>
      </c>
      <c r="C86" s="6"/>
      <c r="D86" s="6"/>
      <c r="E86" s="6"/>
    </row>
    <row r="87" spans="1:10" x14ac:dyDescent="0.35">
      <c r="A87" s="74" t="s">
        <v>19</v>
      </c>
      <c r="B87">
        <v>50</v>
      </c>
      <c r="C87" s="6" t="s">
        <v>97</v>
      </c>
      <c r="D87" s="6"/>
      <c r="E87" s="6"/>
    </row>
    <row r="88" spans="1:10" x14ac:dyDescent="0.35">
      <c r="B88" t="s">
        <v>103</v>
      </c>
      <c r="C88" t="s">
        <v>18</v>
      </c>
      <c r="D88" s="4" t="s">
        <v>17</v>
      </c>
      <c r="E88" t="s">
        <v>26</v>
      </c>
      <c r="F88" t="s">
        <v>317</v>
      </c>
    </row>
    <row r="89" spans="1:10" x14ac:dyDescent="0.35">
      <c r="A89" s="74" t="s">
        <v>112</v>
      </c>
      <c r="B89" s="4">
        <v>445</v>
      </c>
      <c r="C89" s="3">
        <f>_xlfn.CEILING.MATH(ROUNDUP(B89*$B$87*((1-10%)*(1-1%)),2))</f>
        <v>19825</v>
      </c>
      <c r="D89" s="4">
        <v>0</v>
      </c>
      <c r="E89" s="4">
        <f>Pricing!J6</f>
        <v>1341</v>
      </c>
      <c r="F89" s="2">
        <f>E89*(C89-D89)</f>
        <v>26585325</v>
      </c>
    </row>
    <row r="90" spans="1:10" x14ac:dyDescent="0.35">
      <c r="B90" s="4"/>
      <c r="D90" s="4"/>
      <c r="F90" s="29">
        <f>(C89*E89)*0.02</f>
        <v>531706.5</v>
      </c>
      <c r="G90" t="s">
        <v>324</v>
      </c>
    </row>
    <row r="91" spans="1:10" x14ac:dyDescent="0.35">
      <c r="B91" s="4"/>
      <c r="D91" s="4"/>
      <c r="F91" s="4">
        <f>SUM(F89:F90)</f>
        <v>27117031.5</v>
      </c>
      <c r="G91" t="s">
        <v>325</v>
      </c>
    </row>
    <row r="92" spans="1:10" s="18" customFormat="1" x14ac:dyDescent="0.35">
      <c r="D92" s="64"/>
      <c r="J92" s="31"/>
    </row>
  </sheetData>
  <sortState xmlns:xlrd2="http://schemas.microsoft.com/office/spreadsheetml/2017/richdata2" ref="A3:J8">
    <sortCondition ref="A3:A8"/>
  </sortState>
  <conditionalFormatting sqref="E36:E46">
    <cfRule type="cellIs" dxfId="59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EA55-2A16-4F1E-8AC3-ACB4D1D95448}">
  <sheetPr>
    <tabColor theme="5" tint="-0.249977111117893"/>
  </sheetPr>
  <dimension ref="A1:U90"/>
  <sheetViews>
    <sheetView topLeftCell="A13" workbookViewId="0">
      <selection activeCell="J37" sqref="J37"/>
    </sheetView>
  </sheetViews>
  <sheetFormatPr defaultColWidth="9.1796875" defaultRowHeight="14.5" x14ac:dyDescent="0.35"/>
  <cols>
    <col min="1" max="1" width="18.1796875" style="74" bestFit="1" customWidth="1"/>
    <col min="2" max="2" width="13.26953125" style="74" bestFit="1" customWidth="1"/>
    <col min="3" max="4" width="15.26953125" style="74" bestFit="1" customWidth="1"/>
    <col min="5" max="5" width="13.26953125" style="74" bestFit="1" customWidth="1"/>
    <col min="6" max="6" width="14.26953125" style="74" bestFit="1" customWidth="1"/>
    <col min="7" max="8" width="15.26953125" style="74" bestFit="1" customWidth="1"/>
    <col min="9" max="9" width="14.26953125" style="74" bestFit="1" customWidth="1"/>
    <col min="10" max="10" width="15.81640625" style="59" bestFit="1" customWidth="1"/>
    <col min="11" max="11" width="9.1796875" style="74"/>
    <col min="12" max="12" width="16.54296875" style="74" customWidth="1"/>
    <col min="13" max="13" width="14.7265625" style="74" customWidth="1"/>
    <col min="14" max="14" width="9.1796875" style="74"/>
    <col min="15" max="15" width="14" style="74" bestFit="1" customWidth="1"/>
    <col min="16" max="16" width="12" style="74" customWidth="1"/>
    <col min="17" max="17" width="13.26953125" style="74" bestFit="1" customWidth="1"/>
    <col min="18" max="18" width="15.1796875" style="74" customWidth="1"/>
    <col min="19" max="19" width="16.1796875" style="74" customWidth="1"/>
    <col min="20" max="20" width="13" style="74" customWidth="1"/>
    <col min="21" max="16384" width="9.1796875" style="74"/>
  </cols>
  <sheetData>
    <row r="1" spans="1:21" x14ac:dyDescent="0.35">
      <c r="A1" s="74" t="s">
        <v>316</v>
      </c>
      <c r="O1" s="76"/>
      <c r="P1" s="76"/>
    </row>
    <row r="2" spans="1:21" x14ac:dyDescent="0.35">
      <c r="A2" s="74" t="s">
        <v>19</v>
      </c>
      <c r="B2">
        <v>50</v>
      </c>
      <c r="C2" s="6" t="s">
        <v>346</v>
      </c>
      <c r="D2" s="6">
        <f>B2*1</f>
        <v>50</v>
      </c>
      <c r="F2"/>
      <c r="O2" s="76"/>
      <c r="P2" s="76"/>
    </row>
    <row r="3" spans="1:21" x14ac:dyDescent="0.35">
      <c r="A3"/>
      <c r="B3" t="s">
        <v>103</v>
      </c>
      <c r="C3" t="s">
        <v>18</v>
      </c>
      <c r="D3" s="4" t="s">
        <v>17</v>
      </c>
      <c r="E3" t="s">
        <v>26</v>
      </c>
      <c r="F3" t="s">
        <v>317</v>
      </c>
      <c r="O3" s="76"/>
      <c r="P3" s="76"/>
    </row>
    <row r="4" spans="1:21" x14ac:dyDescent="0.35">
      <c r="A4" s="74" t="s">
        <v>314</v>
      </c>
      <c r="B4" s="74">
        <v>1</v>
      </c>
      <c r="C4" s="3">
        <f>_xlfn.CEILING.MATH(ROUNDUP(B4*$B$2*((1-$B$9)*(1-1%)),2))</f>
        <v>49</v>
      </c>
      <c r="D4" s="4">
        <v>0</v>
      </c>
      <c r="E4" s="4">
        <f>50000</f>
        <v>50000</v>
      </c>
      <c r="F4" s="3">
        <f>E4*(C4-D4)</f>
        <v>2450000</v>
      </c>
      <c r="G4" s="6" t="s">
        <v>318</v>
      </c>
      <c r="H4" s="74" t="s">
        <v>319</v>
      </c>
      <c r="I4" s="74" t="s">
        <v>320</v>
      </c>
      <c r="J4" s="59" t="s">
        <v>321</v>
      </c>
      <c r="O4" s="76"/>
      <c r="P4" s="76"/>
    </row>
    <row r="5" spans="1:21" x14ac:dyDescent="0.35">
      <c r="A5" s="74" t="s">
        <v>315</v>
      </c>
      <c r="B5" s="74">
        <v>1</v>
      </c>
      <c r="C5" s="3">
        <f>_xlfn.CEILING.MATH(ROUNDUP(B5*$B$2*((1-$B$9)*(1-1%)),2))</f>
        <v>49</v>
      </c>
      <c r="D5" s="4">
        <v>0</v>
      </c>
      <c r="E5" s="74" t="s">
        <v>322</v>
      </c>
      <c r="F5" s="59">
        <f>SMALL(H5:J5,1)</f>
        <v>26950000</v>
      </c>
      <c r="H5" s="74">
        <f>Pricing!J26*C5</f>
        <v>26950000</v>
      </c>
      <c r="J5" s="59">
        <f>'BP Tech 1 Manufacture'!F91</f>
        <v>27117031.5</v>
      </c>
      <c r="O5" s="76"/>
      <c r="P5" s="76"/>
    </row>
    <row r="6" spans="1:21" x14ac:dyDescent="0.35">
      <c r="A6" s="74" t="s">
        <v>15</v>
      </c>
      <c r="B6" s="74">
        <v>28</v>
      </c>
      <c r="C6" s="3">
        <f>_xlfn.CEILING.MATH(ROUNDUP(B6*$B$2*((1-$B$9)*(1-1%)),2))</f>
        <v>1345</v>
      </c>
      <c r="D6" s="4">
        <v>0</v>
      </c>
      <c r="E6" s="75">
        <f>Pricing!F31</f>
        <v>5067</v>
      </c>
      <c r="F6" s="61">
        <f>E6*(C6-D6)</f>
        <v>6815115</v>
      </c>
      <c r="G6" s="59"/>
      <c r="O6" s="76"/>
      <c r="P6" s="76"/>
    </row>
    <row r="7" spans="1:21" x14ac:dyDescent="0.35">
      <c r="A7" s="74" t="s">
        <v>229</v>
      </c>
      <c r="B7" s="75">
        <f>Pricing!B62</f>
        <v>1114000</v>
      </c>
      <c r="D7" s="77"/>
      <c r="F7" s="59">
        <f>SUM(F4:F6)</f>
        <v>36215115</v>
      </c>
      <c r="G7" s="74" t="s">
        <v>323</v>
      </c>
      <c r="H7" s="75">
        <f>D2*B7</f>
        <v>55700000</v>
      </c>
      <c r="O7" s="76"/>
      <c r="P7" s="76"/>
    </row>
    <row r="8" spans="1:21" x14ac:dyDescent="0.35">
      <c r="D8" s="77"/>
      <c r="F8" s="81">
        <f>(F4+F6+LARGE(H5:J5,1))*0.02</f>
        <v>727642.93</v>
      </c>
      <c r="G8" t="s">
        <v>324</v>
      </c>
      <c r="I8" s="75">
        <f>H7-F7</f>
        <v>19484885</v>
      </c>
      <c r="O8" s="76"/>
      <c r="P8" s="76"/>
    </row>
    <row r="9" spans="1:21" x14ac:dyDescent="0.35">
      <c r="A9" t="s">
        <v>104</v>
      </c>
      <c r="B9" s="32">
        <v>0.03</v>
      </c>
      <c r="D9" s="77"/>
      <c r="F9" s="81">
        <f>E13</f>
        <v>7065529.9999999991</v>
      </c>
      <c r="G9" s="74" t="s">
        <v>326</v>
      </c>
      <c r="I9" s="78">
        <f>I8/H7</f>
        <v>0.34981840215439858</v>
      </c>
      <c r="O9" s="76"/>
      <c r="P9" s="76"/>
    </row>
    <row r="10" spans="1:21" x14ac:dyDescent="0.35">
      <c r="A10" s="74" t="s">
        <v>327</v>
      </c>
      <c r="B10" s="74" t="s">
        <v>328</v>
      </c>
      <c r="C10" s="74">
        <v>2</v>
      </c>
      <c r="D10" s="81">
        <v>126800</v>
      </c>
      <c r="E10" s="80">
        <f>(C10+(($B$2/10)+((1-$B$13)*($B$2/10)))*D10)</f>
        <v>839417.99999999988</v>
      </c>
      <c r="F10" s="72">
        <f>SUM(F7:F9)</f>
        <v>44008287.93</v>
      </c>
      <c r="G10" t="s">
        <v>325</v>
      </c>
      <c r="O10" s="76"/>
      <c r="P10" s="76"/>
    </row>
    <row r="11" spans="1:21" x14ac:dyDescent="0.35">
      <c r="B11" s="74" t="s">
        <v>329</v>
      </c>
      <c r="C11" s="74">
        <v>2</v>
      </c>
      <c r="D11" s="81">
        <v>148700</v>
      </c>
      <c r="E11" s="80">
        <f>(C11+(($B$2/10)+((1-$B$13)*($B$2/10)))*D11)</f>
        <v>984395.99999999988</v>
      </c>
      <c r="F11" s="75">
        <f>F10/B2</f>
        <v>880165.75859999994</v>
      </c>
      <c r="G11" s="74" t="s">
        <v>332</v>
      </c>
      <c r="O11" s="76"/>
      <c r="P11" s="76"/>
    </row>
    <row r="12" spans="1:21" x14ac:dyDescent="0.35">
      <c r="B12" s="74" t="s">
        <v>331</v>
      </c>
      <c r="C12" s="74">
        <v>1</v>
      </c>
      <c r="D12" s="81">
        <v>791800</v>
      </c>
      <c r="E12" s="73">
        <f>D12*(($B$2/10)+(($B$2/10)*(1-$B$13)))</f>
        <v>5241715.9999999991</v>
      </c>
      <c r="O12" s="76"/>
      <c r="P12" s="76"/>
    </row>
    <row r="13" spans="1:21" x14ac:dyDescent="0.35">
      <c r="A13" s="74" t="s">
        <v>330</v>
      </c>
      <c r="B13" s="79">
        <v>0.67600000000000005</v>
      </c>
      <c r="E13" s="81">
        <f>SUM(E10:E12)</f>
        <v>7065529.9999999991</v>
      </c>
      <c r="G13" s="78"/>
      <c r="O13" s="76"/>
      <c r="P13" s="76"/>
    </row>
    <row r="14" spans="1:21" s="18" customFormat="1" x14ac:dyDescent="0.35">
      <c r="L14" s="20"/>
      <c r="M14" s="19"/>
      <c r="S14" s="64"/>
    </row>
    <row r="15" spans="1:21" s="6" customFormat="1" x14ac:dyDescent="0.35">
      <c r="A15" t="s">
        <v>306</v>
      </c>
      <c r="B15"/>
      <c r="C15" s="33" t="s">
        <v>19</v>
      </c>
      <c r="D15" s="36">
        <v>1</v>
      </c>
      <c r="E15" t="s">
        <v>17</v>
      </c>
      <c r="F15" t="s">
        <v>18</v>
      </c>
      <c r="G15"/>
      <c r="H15" t="s">
        <v>20</v>
      </c>
      <c r="I15" t="s">
        <v>26</v>
      </c>
      <c r="J15"/>
      <c r="K15" t="s">
        <v>23</v>
      </c>
      <c r="L15" t="s">
        <v>32</v>
      </c>
      <c r="M15" s="8" t="s">
        <v>33</v>
      </c>
      <c r="N15"/>
      <c r="O15" t="s">
        <v>31</v>
      </c>
      <c r="P15"/>
      <c r="Q15"/>
      <c r="R15" t="s">
        <v>47</v>
      </c>
      <c r="S15"/>
      <c r="T15" s="2">
        <v>0</v>
      </c>
      <c r="U15"/>
    </row>
    <row r="16" spans="1:21" s="6" customFormat="1" x14ac:dyDescent="0.35">
      <c r="A16" t="str">
        <f>Pricing!A54</f>
        <v>Transmitter</v>
      </c>
      <c r="B16">
        <v>22</v>
      </c>
      <c r="C16">
        <f>MAX(B16,(_xlfn.CEILING.MATH(ROUNDUP(B16*'Ship Component Reqs'!$D$91*((1-1%)*(1-'Ship Component Reqs'!$B$102)),1),1)))</f>
        <v>64</v>
      </c>
      <c r="D16" s="34" t="s">
        <v>97</v>
      </c>
      <c r="E16" s="5">
        <v>0</v>
      </c>
      <c r="F16">
        <f>IF(C16-E16&lt;0,0,(C16*'Ship Component Reqs'!$D$108)-E16)</f>
        <v>64</v>
      </c>
      <c r="G16"/>
      <c r="H16" t="s">
        <v>308</v>
      </c>
      <c r="I16" s="23">
        <f>Pricing!B54</f>
        <v>7700</v>
      </c>
      <c r="J16" s="3">
        <f t="shared" ref="J16:J21" si="0">IF(F16&lt;0,0,(F16*I16))</f>
        <v>492800</v>
      </c>
      <c r="K16"/>
      <c r="L16" t="str">
        <f t="shared" ref="L16:L21" si="1">H16</f>
        <v>Transmitter</v>
      </c>
      <c r="M16" s="3">
        <f>J16+1</f>
        <v>492801</v>
      </c>
      <c r="N16"/>
      <c r="O16" t="str">
        <f>IF(AND(J16=0,M16=0),"Not Necessary",IF(J16&lt;M16,'Ship Component Reqs'!$H$2,'Ship Component Reqs'!$L$2))</f>
        <v>Jita Buy Price</v>
      </c>
      <c r="P16"/>
      <c r="Q16" s="2" t="str">
        <f t="shared" ref="Q16:Q22" si="2">IF(O16="Manufacture",M16,"")</f>
        <v/>
      </c>
      <c r="R16" s="2">
        <f t="shared" ref="R16:R21" si="3">SMALL(J16:M16,1)</f>
        <v>492800</v>
      </c>
      <c r="S16" t="s">
        <v>171</v>
      </c>
      <c r="T16" s="2">
        <v>1020000</v>
      </c>
      <c r="U16"/>
    </row>
    <row r="17" spans="1:21" s="6" customFormat="1" x14ac:dyDescent="0.35">
      <c r="A17" t="str">
        <f>Pricing!A55</f>
        <v>Miniature Electronics</v>
      </c>
      <c r="B17">
        <v>22</v>
      </c>
      <c r="C17">
        <f>MAX(B17,(_xlfn.CEILING.MATH(ROUNDUP(B17*'Ship Component Reqs'!$D$91*((1-1%)*(1-'Ship Component Reqs'!$B$102)),1),1)))</f>
        <v>64</v>
      </c>
      <c r="D17" s="35">
        <v>3</v>
      </c>
      <c r="E17" s="5">
        <v>0</v>
      </c>
      <c r="F17">
        <f>IF(C17-E17&lt;0,0,(C17*'Ship Component Reqs'!$D$108)-E17)</f>
        <v>64</v>
      </c>
      <c r="G17"/>
      <c r="H17" t="s">
        <v>311</v>
      </c>
      <c r="I17" s="23">
        <f>Pricing!B55</f>
        <v>9490</v>
      </c>
      <c r="J17" s="3">
        <f t="shared" si="0"/>
        <v>607360</v>
      </c>
      <c r="K17"/>
      <c r="L17" t="str">
        <f t="shared" si="1"/>
        <v>Miniature Electronics</v>
      </c>
      <c r="M17" s="3">
        <f>J17+1</f>
        <v>607361</v>
      </c>
      <c r="N17"/>
      <c r="O17" t="str">
        <f>IF(AND(J17=0,M17=0),"Not Necessary",IF(J17&lt;M17,'Ship Component Reqs'!$H$2,'Ship Component Reqs'!$L$2))</f>
        <v>Jita Buy Price</v>
      </c>
      <c r="P17"/>
      <c r="Q17" s="2" t="str">
        <f t="shared" si="2"/>
        <v/>
      </c>
      <c r="R17" s="2">
        <f t="shared" si="3"/>
        <v>607360</v>
      </c>
      <c r="S17" t="s">
        <v>77</v>
      </c>
      <c r="T17" s="4">
        <f>U17*(R25*(D15*D17))</f>
        <v>658800</v>
      </c>
      <c r="U17" s="26">
        <v>3.5999999999999997E-2</v>
      </c>
    </row>
    <row r="18" spans="1:21" s="6" customFormat="1" x14ac:dyDescent="0.35">
      <c r="A18" t="str">
        <f>Pricing!I9</f>
        <v>Morphite</v>
      </c>
      <c r="B18">
        <v>15</v>
      </c>
      <c r="C18">
        <f>MAX(B18,(_xlfn.CEILING.MATH(ROUNDUP(B18*'Ship Component Reqs'!$D$91*((1-1%)*(1-'Ship Component Reqs'!$B$102)),1),1)))</f>
        <v>44</v>
      </c>
      <c r="D18"/>
      <c r="E18" s="5">
        <v>0</v>
      </c>
      <c r="F18">
        <f>IF(C18-E18&lt;0,0,(C18*'Ship Component Reqs'!$D$108)-E18)</f>
        <v>44</v>
      </c>
      <c r="G18"/>
      <c r="H18" t="s">
        <v>43</v>
      </c>
      <c r="I18" s="47">
        <f>Pricing!J9</f>
        <v>41900</v>
      </c>
      <c r="J18" s="3">
        <f t="shared" si="0"/>
        <v>1843600</v>
      </c>
      <c r="K18"/>
      <c r="L18" t="str">
        <f t="shared" si="1"/>
        <v>Morphite</v>
      </c>
      <c r="M18" s="3">
        <f>J18+1</f>
        <v>1843601</v>
      </c>
      <c r="N18"/>
      <c r="O18" t="str">
        <f>IF(AND(J18=0,M18=0),"Not Necessary",IF(J18&lt;M18,'Ship Component Reqs'!$H$2,'Ship Component Reqs'!$L$2))</f>
        <v>Jita Buy Price</v>
      </c>
      <c r="P18"/>
      <c r="Q18" s="2" t="str">
        <f t="shared" si="2"/>
        <v/>
      </c>
      <c r="R18" s="2">
        <f t="shared" si="3"/>
        <v>1843600</v>
      </c>
      <c r="S18" t="s">
        <v>172</v>
      </c>
      <c r="T18" s="4">
        <f>U18*(R25*(D15*D17))</f>
        <v>0</v>
      </c>
      <c r="U18" s="26">
        <v>0</v>
      </c>
    </row>
    <row r="19" spans="1:21" s="6" customFormat="1" x14ac:dyDescent="0.35">
      <c r="A19" t="str">
        <f>Pricing!A58</f>
        <v>Graviton Pulse Generator</v>
      </c>
      <c r="B19">
        <v>26</v>
      </c>
      <c r="C19">
        <f>MAX(B19,(_xlfn.CEILING.MATH(ROUNDUP(B19*'Ship Component Reqs'!$D$91*((1-1%)*(1-'Ship Component Reqs'!$B$102)),1),1)))</f>
        <v>75</v>
      </c>
      <c r="D19"/>
      <c r="E19" s="5">
        <v>0</v>
      </c>
      <c r="F19">
        <f>IF(C19-E19&lt;0,0,(C19*'Ship Component Reqs'!$D$108)-E19)</f>
        <v>75</v>
      </c>
      <c r="G19"/>
      <c r="H19" t="s">
        <v>309</v>
      </c>
      <c r="I19" s="23">
        <f>Pricing!B58</f>
        <v>26230</v>
      </c>
      <c r="J19" s="3">
        <f t="shared" si="0"/>
        <v>1967250</v>
      </c>
      <c r="K19"/>
      <c r="L19" t="str">
        <f t="shared" si="1"/>
        <v>Graviton Pulse Generator</v>
      </c>
      <c r="M19" s="3">
        <f>'Component BP'!F378</f>
        <v>1050082.3220000002</v>
      </c>
      <c r="N19"/>
      <c r="O19" t="str">
        <f>IF(AND(J19=0,M19=0),"Not Necessary",IF(J19&lt;M19,'Ship Component Reqs'!$H$2,'Ship Component Reqs'!$L$2))</f>
        <v>Manufacture</v>
      </c>
      <c r="P19"/>
      <c r="Q19" s="2">
        <f t="shared" si="2"/>
        <v>1050082.3220000002</v>
      </c>
      <c r="R19" s="2">
        <f t="shared" si="3"/>
        <v>1050082.3220000002</v>
      </c>
      <c r="S19" t="s">
        <v>173</v>
      </c>
      <c r="T19" s="4">
        <f>(SUM(Q16:Q22)*0.03)+(R25*0.03)</f>
        <v>415991.09075999999</v>
      </c>
      <c r="U19"/>
    </row>
    <row r="20" spans="1:21" s="6" customFormat="1" x14ac:dyDescent="0.35">
      <c r="A20" t="str">
        <f>Pricing!A59</f>
        <v>Photon Microprocessor</v>
      </c>
      <c r="B20">
        <v>33</v>
      </c>
      <c r="C20">
        <f>MAX(B20,(_xlfn.CEILING.MATH(ROUNDUP(B20*'Ship Component Reqs'!$D$91*((1-1%)*(1-'Ship Component Reqs'!$B$102)),1),1)))</f>
        <v>96</v>
      </c>
      <c r="D20"/>
      <c r="E20" s="5">
        <v>0</v>
      </c>
      <c r="F20">
        <f>IF(C20-E20&lt;0,0,(C20*'Ship Component Reqs'!$D$108)-E20)</f>
        <v>96</v>
      </c>
      <c r="G20"/>
      <c r="H20" t="s">
        <v>244</v>
      </c>
      <c r="I20" s="23">
        <f>Pricing!B59</f>
        <v>40000</v>
      </c>
      <c r="J20" s="3">
        <f t="shared" si="0"/>
        <v>3840000</v>
      </c>
      <c r="K20"/>
      <c r="L20" t="str">
        <f t="shared" si="1"/>
        <v>Photon Microprocessor</v>
      </c>
      <c r="M20" s="3">
        <f>'Component BP'!F384</f>
        <v>2413578.4</v>
      </c>
      <c r="N20"/>
      <c r="O20" t="str">
        <f>IF(AND(J20=0,M20=0),"Not Necessary",IF(J20&lt;M20,'Ship Component Reqs'!$H$2,'Ship Component Reqs'!$L$2))</f>
        <v>Manufacture</v>
      </c>
      <c r="P20"/>
      <c r="Q20" s="2">
        <f t="shared" si="2"/>
        <v>2413578.4</v>
      </c>
      <c r="R20" s="2">
        <f t="shared" si="3"/>
        <v>2413578.4</v>
      </c>
      <c r="S20"/>
      <c r="T20" s="4">
        <f>SUM(T15:T19)</f>
        <v>2094791.0907600001</v>
      </c>
      <c r="U20"/>
    </row>
    <row r="21" spans="1:21" s="6" customFormat="1" x14ac:dyDescent="0.35">
      <c r="A21" t="str">
        <f>Pricing!A60</f>
        <v>ProtoType cloaking Device I</v>
      </c>
      <c r="B21">
        <v>1</v>
      </c>
      <c r="C21">
        <f>MAX(B21,(_xlfn.CEILING.MATH(ROUNDUP(B21*'Ship Component Reqs'!$D$91*((1-1%)*(1-'Ship Component Reqs'!$B$102)),1),1)))</f>
        <v>3</v>
      </c>
      <c r="D21"/>
      <c r="E21" s="5">
        <v>0</v>
      </c>
      <c r="F21">
        <f>IF(C21-E21&lt;0,0,(C21*'Ship Component Reqs'!$D$108)-E21)</f>
        <v>3</v>
      </c>
      <c r="G21"/>
      <c r="H21" t="s">
        <v>310</v>
      </c>
      <c r="I21" s="23">
        <f>Pricing!B60</f>
        <v>2079000</v>
      </c>
      <c r="J21" s="3">
        <f t="shared" si="0"/>
        <v>6237000</v>
      </c>
      <c r="K21"/>
      <c r="L21" t="str">
        <f t="shared" si="1"/>
        <v>ProtoType cloaking Device I</v>
      </c>
      <c r="M21" s="3">
        <f>'Component BP'!F398</f>
        <v>4302708.97</v>
      </c>
      <c r="N21"/>
      <c r="O21" t="str">
        <f>IF(AND(J21=0,M21=0),"Not Necessary",IF(J21&lt;M21,'Ship Component Reqs'!$H$2,'Ship Component Reqs'!$L$2))</f>
        <v>Manufacture</v>
      </c>
      <c r="P21"/>
      <c r="Q21" s="2">
        <f t="shared" si="2"/>
        <v>4302708.97</v>
      </c>
      <c r="R21" s="2">
        <f t="shared" si="3"/>
        <v>4302708.97</v>
      </c>
      <c r="S21"/>
      <c r="T21"/>
      <c r="U21"/>
    </row>
    <row r="22" spans="1:21" s="6" customFormat="1" x14ac:dyDescent="0.35">
      <c r="A22"/>
      <c r="B22"/>
      <c r="C22"/>
      <c r="D22"/>
      <c r="E22"/>
      <c r="F22"/>
      <c r="G22"/>
      <c r="H22"/>
      <c r="I22" s="38"/>
      <c r="J22" s="3"/>
      <c r="K22"/>
      <c r="L22"/>
      <c r="M22" s="3"/>
      <c r="N22"/>
      <c r="O22"/>
      <c r="P22"/>
      <c r="Q22" s="2" t="str">
        <f t="shared" si="2"/>
        <v/>
      </c>
      <c r="R22" s="2"/>
      <c r="S22"/>
      <c r="T22"/>
      <c r="U22"/>
    </row>
    <row r="23" spans="1:21" s="6" customFormat="1" x14ac:dyDescent="0.35">
      <c r="A23"/>
      <c r="B23"/>
      <c r="C23"/>
      <c r="D23"/>
      <c r="E23"/>
      <c r="F23"/>
      <c r="G23"/>
      <c r="H23" s="4">
        <f>F23*Pricing!$J$9</f>
        <v>0</v>
      </c>
      <c r="I23"/>
      <c r="N23"/>
      <c r="O23"/>
      <c r="P23"/>
      <c r="Q23"/>
      <c r="R23"/>
      <c r="S23"/>
      <c r="T23"/>
      <c r="U23"/>
    </row>
    <row r="24" spans="1:21" s="6" customFormat="1" x14ac:dyDescent="0.35">
      <c r="A24"/>
      <c r="B24"/>
      <c r="C24"/>
      <c r="D24"/>
      <c r="E24"/>
      <c r="F24"/>
      <c r="G24"/>
      <c r="H24"/>
      <c r="I24"/>
      <c r="J24"/>
      <c r="K24"/>
      <c r="L24" s="10" t="s">
        <v>36</v>
      </c>
      <c r="M24" s="3" t="s">
        <v>47</v>
      </c>
      <c r="N24"/>
      <c r="O24"/>
      <c r="P24"/>
      <c r="Q24"/>
      <c r="R24" s="2">
        <f>SMALL(J25:M25,1)+T20</f>
        <v>12804920.78276</v>
      </c>
      <c r="S24"/>
      <c r="T24"/>
      <c r="U24"/>
    </row>
    <row r="25" spans="1:21" s="6" customFormat="1" x14ac:dyDescent="0.35">
      <c r="A25"/>
      <c r="B25"/>
      <c r="C25"/>
      <c r="D25"/>
      <c r="E25"/>
      <c r="F25"/>
      <c r="G25"/>
      <c r="H25"/>
      <c r="I25"/>
      <c r="J25" s="3">
        <f>SUM(J16:J21)</f>
        <v>14988010</v>
      </c>
      <c r="K25"/>
      <c r="L25" s="3">
        <f>SUM(M16:M21)</f>
        <v>10710132.692</v>
      </c>
      <c r="M25" s="17">
        <f>SUM(R15:R21)</f>
        <v>10710129.692</v>
      </c>
      <c r="N25"/>
      <c r="O25"/>
      <c r="P25"/>
      <c r="Q25"/>
      <c r="R25" s="23">
        <f>Pricing!J44</f>
        <v>6100000</v>
      </c>
      <c r="S25" t="str">
        <f>A15</f>
        <v>Covert Ops Cloaking Device II</v>
      </c>
      <c r="T25"/>
      <c r="U25"/>
    </row>
    <row r="26" spans="1:21" s="6" customFormat="1" x14ac:dyDescent="0.35">
      <c r="A26"/>
      <c r="B26"/>
      <c r="C26"/>
      <c r="D26"/>
      <c r="E26"/>
      <c r="F26"/>
      <c r="G26"/>
      <c r="H26"/>
      <c r="I26"/>
      <c r="J26"/>
      <c r="K26"/>
      <c r="L26"/>
      <c r="M26" s="3"/>
      <c r="N26"/>
      <c r="O26"/>
      <c r="P26"/>
      <c r="Q26"/>
      <c r="R26" s="2">
        <f>(R25*(D15*D17))</f>
        <v>18300000</v>
      </c>
      <c r="S26" s="4">
        <f>R26-R24</f>
        <v>5495079.2172400001</v>
      </c>
      <c r="T26" t="s">
        <v>45</v>
      </c>
      <c r="U26"/>
    </row>
    <row r="27" spans="1:21" s="6" customFormat="1" x14ac:dyDescent="0.35">
      <c r="A27"/>
      <c r="B27"/>
      <c r="C27"/>
      <c r="D27"/>
      <c r="E27"/>
      <c r="F27"/>
      <c r="G27"/>
      <c r="H27"/>
      <c r="I27"/>
      <c r="J27"/>
      <c r="K27" t="s">
        <v>37</v>
      </c>
      <c r="L27" s="4">
        <f>-1*(M25-J25)</f>
        <v>4277880.3080000002</v>
      </c>
      <c r="M27" s="3"/>
      <c r="N27"/>
      <c r="O27"/>
      <c r="P27"/>
      <c r="Q27"/>
      <c r="R27" s="9"/>
      <c r="S27" s="9">
        <f>((R26-R24)/R26)</f>
        <v>0.3002775528546448</v>
      </c>
      <c r="T27" t="s">
        <v>45</v>
      </c>
      <c r="U27"/>
    </row>
    <row r="28" spans="1:21" s="6" customFormat="1" x14ac:dyDescent="0.35">
      <c r="A28"/>
      <c r="B28"/>
      <c r="C28"/>
      <c r="D28"/>
      <c r="E28"/>
      <c r="F28"/>
      <c r="G28"/>
      <c r="H28"/>
      <c r="I28"/>
      <c r="J28"/>
      <c r="K28" t="s">
        <v>38</v>
      </c>
      <c r="L28" s="9">
        <f>1-(M25/J25)</f>
        <v>0.2854201663863315</v>
      </c>
      <c r="M28" s="3"/>
      <c r="N28"/>
      <c r="O28"/>
      <c r="P28"/>
      <c r="Q28"/>
      <c r="R28" t="s">
        <v>45</v>
      </c>
      <c r="S28" s="4">
        <f>R24-T17-T18</f>
        <v>12146120.78276</v>
      </c>
      <c r="T28" t="s">
        <v>297</v>
      </c>
      <c r="U28"/>
    </row>
    <row r="29" spans="1:21" s="86" customFormat="1" x14ac:dyDescent="0.35">
      <c r="C29" s="87"/>
      <c r="D29" s="88"/>
      <c r="J29" s="87"/>
    </row>
    <row r="30" spans="1:21" customFormat="1" x14ac:dyDescent="0.35">
      <c r="A30" t="s">
        <v>281</v>
      </c>
      <c r="B30" t="s">
        <v>103</v>
      </c>
      <c r="C30" s="33" t="s">
        <v>19</v>
      </c>
      <c r="D30" s="36">
        <v>11</v>
      </c>
      <c r="E30" t="s">
        <v>17</v>
      </c>
      <c r="F30" t="s">
        <v>18</v>
      </c>
      <c r="H30" t="s">
        <v>20</v>
      </c>
      <c r="I30" t="s">
        <v>26</v>
      </c>
      <c r="K30" t="s">
        <v>23</v>
      </c>
      <c r="L30" t="s">
        <v>32</v>
      </c>
      <c r="M30" s="8" t="s">
        <v>33</v>
      </c>
      <c r="O30" t="s">
        <v>31</v>
      </c>
      <c r="R30" s="9"/>
    </row>
    <row r="31" spans="1:21" customFormat="1" x14ac:dyDescent="0.35">
      <c r="A31" t="s">
        <v>282</v>
      </c>
      <c r="B31">
        <v>5</v>
      </c>
      <c r="C31">
        <f>MAX(B31,(_xlfn.CEILING.MATH(ROUNDUP(B31*$D$30*((1-1%)*(1-$B$37)),1),1)))</f>
        <v>53</v>
      </c>
      <c r="D31" s="34" t="s">
        <v>97</v>
      </c>
      <c r="E31" s="5">
        <v>0</v>
      </c>
      <c r="F31">
        <f>IF(C31-E31&lt;0,0,(C31*$D$32)-E31)</f>
        <v>477</v>
      </c>
      <c r="H31" t="str">
        <f>A31</f>
        <v>Guidance Systems</v>
      </c>
      <c r="I31" s="4">
        <f>Pricing!B48</f>
        <v>62260</v>
      </c>
      <c r="J31" s="3">
        <f>IF(F31&lt;0,0,(F31*I31))</f>
        <v>29698020</v>
      </c>
      <c r="L31" s="4"/>
      <c r="M31" s="3"/>
      <c r="R31" s="9"/>
    </row>
    <row r="32" spans="1:21" customFormat="1" x14ac:dyDescent="0.35">
      <c r="A32" t="s">
        <v>201</v>
      </c>
      <c r="B32">
        <v>5</v>
      </c>
      <c r="C32">
        <f>MAX(B32,(_xlfn.CEILING.MATH(ROUNDUP(B32*$D$30*((1-1%)*(1-$B$37)),1),1)))</f>
        <v>53</v>
      </c>
      <c r="D32" s="35">
        <v>9</v>
      </c>
      <c r="E32" s="5">
        <v>0</v>
      </c>
      <c r="F32">
        <f>IF(C32-E32&lt;0,0,(C32*$D$32)-E32)</f>
        <v>477</v>
      </c>
      <c r="H32" t="str">
        <f>A32</f>
        <v>Robotics</v>
      </c>
      <c r="I32" s="4">
        <f>Pricing!B49</f>
        <v>65730</v>
      </c>
      <c r="J32" s="3">
        <f>IF(F32&lt;0,0,(F32*I32))</f>
        <v>31353210</v>
      </c>
      <c r="L32" s="4"/>
      <c r="M32" s="3"/>
      <c r="R32" s="9"/>
    </row>
    <row r="33" spans="1:18" customFormat="1" x14ac:dyDescent="0.35">
      <c r="A33" t="s">
        <v>283</v>
      </c>
      <c r="B33">
        <v>3</v>
      </c>
      <c r="C33">
        <f>MAX(B33,(_xlfn.CEILING.MATH(ROUNDUP(B33*$D$30*((1-1%)*(1-$B$37)),1),1)))</f>
        <v>32</v>
      </c>
      <c r="E33" s="5">
        <v>0</v>
      </c>
      <c r="F33">
        <f>IF(C33-E33&lt;0,0,(C33*$D$32)-E33)</f>
        <v>288</v>
      </c>
      <c r="H33" t="str">
        <f>A33</f>
        <v>Laser Focusing Crystals</v>
      </c>
      <c r="I33" s="4">
        <f>Pricing!B50</f>
        <v>25800</v>
      </c>
      <c r="J33" s="3">
        <f>IF(F33&lt;0,0,(F33*I33))</f>
        <v>7430400</v>
      </c>
      <c r="L33" s="4" t="str">
        <f>H33</f>
        <v>Laser Focusing Crystals</v>
      </c>
      <c r="M33" s="3">
        <f>'Component BP'!N20</f>
        <v>3910592</v>
      </c>
      <c r="O33" t="str">
        <f>IF(AND(J33=0,M33=0),"Not Necessary",IF(J33&lt;M33,'Ship Component Reqs'!$H$2,'Ship Component Reqs'!$L$2))</f>
        <v>Manufacture</v>
      </c>
      <c r="P33" s="17">
        <f>J33</f>
        <v>7430400</v>
      </c>
      <c r="R33" s="9"/>
    </row>
    <row r="34" spans="1:18" customFormat="1" x14ac:dyDescent="0.35">
      <c r="A34" t="s">
        <v>43</v>
      </c>
      <c r="B34">
        <v>5</v>
      </c>
      <c r="C34">
        <f>MAX(B34,(_xlfn.CEILING.MATH(ROUNDUP(B34*$D$30*((1-1%)*(1-$B$37)),1),1)))</f>
        <v>53</v>
      </c>
      <c r="E34" s="5">
        <v>0</v>
      </c>
      <c r="F34">
        <f>IF(C34-E34&lt;0,0,(C34*$D$32)-E34)</f>
        <v>477</v>
      </c>
      <c r="H34" t="str">
        <f>A34</f>
        <v>Morphite</v>
      </c>
      <c r="I34" s="4">
        <f>Pricing!J9</f>
        <v>41900</v>
      </c>
      <c r="J34" s="3">
        <f>IF(F34&lt;0,0,(F34*I34))</f>
        <v>19986300</v>
      </c>
      <c r="L34" s="4"/>
      <c r="M34" s="3"/>
      <c r="P34" s="17">
        <f>M33</f>
        <v>3910592</v>
      </c>
      <c r="R34" s="9"/>
    </row>
    <row r="35" spans="1:18" customFormat="1" x14ac:dyDescent="0.35">
      <c r="A35" t="s">
        <v>284</v>
      </c>
      <c r="B35">
        <v>1</v>
      </c>
      <c r="C35">
        <f>MAX(B35,(_xlfn.CEILING.MATH(ROUNDUP(B35*$D$30*((1-1%)*(1-$B$37)),1),1)))</f>
        <v>11</v>
      </c>
      <c r="E35" s="5">
        <v>0</v>
      </c>
      <c r="F35">
        <f>IF(C35-E35&lt;0,0,(C35*$D$32)-E35)</f>
        <v>99</v>
      </c>
      <c r="H35" t="str">
        <f>A35</f>
        <v>Curator I</v>
      </c>
      <c r="I35" s="4">
        <f>Pricing!B51</f>
        <v>111100</v>
      </c>
      <c r="J35" s="3">
        <f>IF(F35&lt;0,0,(F35*I35))</f>
        <v>10998900</v>
      </c>
      <c r="L35" s="4"/>
      <c r="M35" s="3"/>
      <c r="R35" s="9"/>
    </row>
    <row r="36" spans="1:18" customFormat="1" x14ac:dyDescent="0.35">
      <c r="A36" s="6"/>
      <c r="B36" s="6"/>
      <c r="C36" s="6"/>
      <c r="D36" s="6"/>
      <c r="E36" s="6"/>
      <c r="F36" s="6"/>
      <c r="L36" s="4"/>
      <c r="M36" s="3"/>
      <c r="R36" s="9"/>
    </row>
    <row r="37" spans="1:18" customFormat="1" x14ac:dyDescent="0.35">
      <c r="A37" t="s">
        <v>104</v>
      </c>
      <c r="B37" s="32">
        <v>0.04</v>
      </c>
      <c r="C37" s="11"/>
      <c r="E37" s="6"/>
      <c r="F37" s="6"/>
      <c r="J37" s="17">
        <f>SUM(J31:J32)+SUM(J34:J35)+IF(J33&lt;M33,J33,M33)</f>
        <v>95947022</v>
      </c>
      <c r="K37" t="s">
        <v>171</v>
      </c>
      <c r="L37" s="4">
        <f>'Ship Component Reqs'!T33</f>
        <v>1020000</v>
      </c>
      <c r="M37" s="3"/>
      <c r="R37" s="9"/>
    </row>
    <row r="38" spans="1:18" customFormat="1" x14ac:dyDescent="0.35">
      <c r="C38" s="11"/>
      <c r="J38" s="4">
        <f>Pricing!J49</f>
        <v>1275000</v>
      </c>
      <c r="K38" t="s">
        <v>77</v>
      </c>
      <c r="L38" s="4">
        <f>(J38*(D30*D32))*M38</f>
        <v>2840062.5</v>
      </c>
      <c r="M38" s="26">
        <v>2.2499999999999999E-2</v>
      </c>
      <c r="R38" s="9"/>
    </row>
    <row r="39" spans="1:18" customFormat="1" x14ac:dyDescent="0.35">
      <c r="C39" s="11"/>
      <c r="J39" s="17">
        <f>((J38*D30)*D32)-J37-L41</f>
        <v>21958457.740000002</v>
      </c>
      <c r="K39" t="s">
        <v>172</v>
      </c>
      <c r="L39" s="4">
        <f>(J38*(D30*D32))*M39</f>
        <v>4342140</v>
      </c>
      <c r="M39" s="26">
        <v>3.44E-2</v>
      </c>
      <c r="R39" s="9"/>
    </row>
    <row r="40" spans="1:18" customFormat="1" x14ac:dyDescent="0.35">
      <c r="C40" s="11"/>
      <c r="J40" s="9">
        <f>((J38*(D30*D32))-(J37+L41))/(J38*(D30*D32))</f>
        <v>0.17396282622301443</v>
      </c>
      <c r="K40" t="s">
        <v>173</v>
      </c>
      <c r="L40" s="4">
        <f>M33*0.03</f>
        <v>117317.75999999999</v>
      </c>
      <c r="M40" s="3"/>
      <c r="R40" s="9"/>
    </row>
    <row r="41" spans="1:18" customFormat="1" x14ac:dyDescent="0.35">
      <c r="C41" s="11"/>
      <c r="L41" s="4">
        <f>SUM(L37:L40)</f>
        <v>8319520.2599999998</v>
      </c>
      <c r="M41" s="3"/>
      <c r="R41" s="9"/>
    </row>
    <row r="42" spans="1:18" x14ac:dyDescent="0.35">
      <c r="D42" s="77"/>
      <c r="E42" s="75"/>
      <c r="F42" s="59"/>
      <c r="I42" s="75"/>
      <c r="J42" s="74"/>
    </row>
    <row r="43" spans="1:18" x14ac:dyDescent="0.35">
      <c r="D43" s="77"/>
      <c r="E43" s="75"/>
      <c r="F43" s="59"/>
    </row>
    <row r="44" spans="1:18" x14ac:dyDescent="0.35">
      <c r="D44" s="77"/>
      <c r="E44" s="75"/>
      <c r="F44" s="59"/>
    </row>
    <row r="45" spans="1:18" x14ac:dyDescent="0.35">
      <c r="D45" s="77"/>
      <c r="E45" s="75"/>
      <c r="F45" s="59"/>
    </row>
    <row r="46" spans="1:18" x14ac:dyDescent="0.35">
      <c r="D46" s="77"/>
      <c r="E46" s="75"/>
      <c r="F46" s="59"/>
    </row>
    <row r="47" spans="1:18" x14ac:dyDescent="0.35">
      <c r="D47" s="77"/>
      <c r="F47" s="59"/>
    </row>
    <row r="50" spans="1:9" x14ac:dyDescent="0.35">
      <c r="B50" s="75"/>
      <c r="C50" s="59"/>
      <c r="D50" s="75"/>
      <c r="H50" s="75"/>
      <c r="I50" s="78"/>
    </row>
    <row r="51" spans="1:9" x14ac:dyDescent="0.35">
      <c r="D51" s="59"/>
      <c r="G51" s="78"/>
    </row>
    <row r="52" spans="1:9" x14ac:dyDescent="0.35">
      <c r="D52" s="59"/>
      <c r="F52" s="75"/>
    </row>
    <row r="53" spans="1:9" x14ac:dyDescent="0.35">
      <c r="C53" s="79"/>
      <c r="D53" s="75"/>
    </row>
    <row r="54" spans="1:9" x14ac:dyDescent="0.35">
      <c r="C54" s="79"/>
      <c r="D54" s="75"/>
    </row>
    <row r="55" spans="1:9" x14ac:dyDescent="0.35">
      <c r="D55" s="75"/>
    </row>
    <row r="57" spans="1:9" x14ac:dyDescent="0.35">
      <c r="F57" s="82"/>
    </row>
    <row r="59" spans="1:9" x14ac:dyDescent="0.35">
      <c r="B59" s="83"/>
      <c r="E59" s="83"/>
      <c r="F59" s="80"/>
    </row>
    <row r="60" spans="1:9" x14ac:dyDescent="0.35">
      <c r="B60" s="83"/>
      <c r="E60" s="83"/>
      <c r="F60" s="80"/>
    </row>
    <row r="61" spans="1:9" x14ac:dyDescent="0.35">
      <c r="B61" s="83"/>
      <c r="E61" s="83"/>
      <c r="F61" s="80"/>
    </row>
    <row r="62" spans="1:9" x14ac:dyDescent="0.35">
      <c r="D62" s="75"/>
      <c r="E62" s="59"/>
      <c r="F62" s="80"/>
    </row>
    <row r="63" spans="1:9" x14ac:dyDescent="0.35">
      <c r="A63" s="75"/>
      <c r="C63" s="75"/>
      <c r="D63" s="77"/>
      <c r="E63" s="75"/>
      <c r="F63" s="59"/>
    </row>
    <row r="64" spans="1:9" x14ac:dyDescent="0.35">
      <c r="C64" s="81"/>
      <c r="D64" s="77"/>
      <c r="E64" s="75"/>
      <c r="F64" s="59"/>
    </row>
    <row r="65" spans="1:8" x14ac:dyDescent="0.35">
      <c r="C65" s="75"/>
      <c r="D65" s="77"/>
      <c r="F65" s="59"/>
    </row>
    <row r="66" spans="1:8" x14ac:dyDescent="0.35">
      <c r="C66" s="75"/>
    </row>
    <row r="67" spans="1:8" x14ac:dyDescent="0.35">
      <c r="C67" s="75"/>
      <c r="D67" s="78"/>
    </row>
    <row r="68" spans="1:8" x14ac:dyDescent="0.35">
      <c r="B68" s="75"/>
      <c r="C68" s="59"/>
      <c r="D68" s="75"/>
    </row>
    <row r="71" spans="1:8" x14ac:dyDescent="0.35">
      <c r="F71" s="75"/>
    </row>
    <row r="72" spans="1:8" x14ac:dyDescent="0.35">
      <c r="B72" s="83"/>
      <c r="E72" s="83"/>
      <c r="F72" s="80"/>
      <c r="G72" s="59"/>
      <c r="H72" s="80"/>
    </row>
    <row r="73" spans="1:8" x14ac:dyDescent="0.35">
      <c r="B73" s="83"/>
      <c r="E73" s="83"/>
      <c r="F73" s="80"/>
      <c r="G73" s="59"/>
      <c r="H73" s="80"/>
    </row>
    <row r="74" spans="1:8" x14ac:dyDescent="0.35">
      <c r="B74" s="83"/>
      <c r="E74" s="83"/>
      <c r="F74" s="80"/>
      <c r="G74" s="59"/>
      <c r="H74" s="80"/>
    </row>
    <row r="75" spans="1:8" x14ac:dyDescent="0.35">
      <c r="B75" s="83"/>
      <c r="E75" s="83"/>
      <c r="F75" s="80"/>
      <c r="G75" s="59"/>
      <c r="H75" s="80"/>
    </row>
    <row r="76" spans="1:8" x14ac:dyDescent="0.35">
      <c r="F76" s="80"/>
      <c r="H76" s="80"/>
    </row>
    <row r="78" spans="1:8" x14ac:dyDescent="0.35">
      <c r="A78" s="75"/>
      <c r="C78" s="75"/>
      <c r="F78" s="75"/>
      <c r="G78" s="75"/>
    </row>
    <row r="79" spans="1:8" x14ac:dyDescent="0.35">
      <c r="C79" s="75"/>
      <c r="D79" s="75"/>
      <c r="G79" s="81"/>
      <c r="H79" s="75"/>
    </row>
    <row r="80" spans="1:8" x14ac:dyDescent="0.35">
      <c r="C80" s="75"/>
      <c r="G80" s="75"/>
    </row>
    <row r="81" spans="2:8" x14ac:dyDescent="0.35">
      <c r="C81" s="75"/>
      <c r="G81" s="75"/>
    </row>
    <row r="82" spans="2:8" x14ac:dyDescent="0.35">
      <c r="C82" s="75"/>
      <c r="D82" s="78"/>
      <c r="G82" s="75"/>
      <c r="H82" s="78"/>
    </row>
    <row r="86" spans="2:8" x14ac:dyDescent="0.35">
      <c r="B86" s="75"/>
      <c r="D86" s="75"/>
    </row>
    <row r="87" spans="2:8" x14ac:dyDescent="0.35">
      <c r="B87" s="75"/>
      <c r="D87" s="75"/>
    </row>
    <row r="88" spans="2:8" x14ac:dyDescent="0.35">
      <c r="B88" s="75"/>
      <c r="D88" s="75"/>
    </row>
    <row r="89" spans="2:8" x14ac:dyDescent="0.35">
      <c r="B89" s="75"/>
      <c r="D89" s="75"/>
    </row>
    <row r="90" spans="2:8" x14ac:dyDescent="0.35">
      <c r="D90" s="75"/>
    </row>
  </sheetData>
  <conditionalFormatting sqref="O14 O23:O28">
    <cfRule type="cellIs" dxfId="58" priority="4" operator="equal">
      <formula>"Jita Buy Price"</formula>
    </cfRule>
  </conditionalFormatting>
  <conditionalFormatting sqref="O15">
    <cfRule type="cellIs" dxfId="57" priority="2" operator="equal">
      <formula>"Jita Buy Price"</formula>
    </cfRule>
  </conditionalFormatting>
  <conditionalFormatting sqref="O16:O22">
    <cfRule type="cellIs" dxfId="56" priority="3" operator="equal">
      <formula>"Jita Buy Price"</formula>
    </cfRule>
  </conditionalFormatting>
  <conditionalFormatting sqref="O30:O41">
    <cfRule type="cellIs" dxfId="55" priority="1" operator="equal">
      <formula>"Jita Buy Price"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BCEC-491D-494C-9177-1E8A513C2EEC}">
  <sheetPr>
    <tabColor rgb="FFFF0000"/>
  </sheetPr>
  <dimension ref="A1:X194"/>
  <sheetViews>
    <sheetView topLeftCell="D151" zoomScaleNormal="100" workbookViewId="0">
      <selection activeCell="S179" sqref="S179"/>
    </sheetView>
  </sheetViews>
  <sheetFormatPr defaultRowHeight="14.5" x14ac:dyDescent="0.35"/>
  <cols>
    <col min="1" max="1" width="28.453125" bestFit="1" customWidth="1"/>
    <col min="2" max="2" width="12.7265625" customWidth="1"/>
    <col min="3" max="4" width="15.26953125" customWidth="1"/>
    <col min="8" max="8" width="28.453125" bestFit="1" customWidth="1"/>
    <col min="9" max="9" width="13.26953125" bestFit="1" customWidth="1"/>
    <col min="10" max="10" width="14.26953125" bestFit="1" customWidth="1"/>
    <col min="11" max="11" width="10.54296875" customWidth="1"/>
    <col min="12" max="12" width="28.453125" bestFit="1" customWidth="1"/>
    <col min="13" max="13" width="15.26953125" style="3" bestFit="1" customWidth="1"/>
    <col min="15" max="15" width="14.26953125" bestFit="1" customWidth="1"/>
    <col min="16" max="17" width="15.26953125" bestFit="1" customWidth="1"/>
    <col min="18" max="18" width="16.26953125" bestFit="1" customWidth="1"/>
    <col min="19" max="19" width="16" bestFit="1" customWidth="1"/>
    <col min="20" max="20" width="14.26953125" bestFit="1" customWidth="1"/>
    <col min="22" max="22" width="15" bestFit="1" customWidth="1"/>
    <col min="23" max="23" width="14.26953125" bestFit="1" customWidth="1"/>
  </cols>
  <sheetData>
    <row r="1" spans="1:24" s="18" customFormat="1" x14ac:dyDescent="0.35">
      <c r="A1" s="58" t="s">
        <v>117</v>
      </c>
      <c r="K1" s="20"/>
      <c r="M1" s="19"/>
    </row>
    <row r="2" spans="1:24" x14ac:dyDescent="0.35">
      <c r="A2" t="s">
        <v>0</v>
      </c>
      <c r="B2" t="s">
        <v>103</v>
      </c>
      <c r="C2" s="33" t="s">
        <v>19</v>
      </c>
      <c r="D2" s="36">
        <v>3</v>
      </c>
      <c r="E2" t="s">
        <v>17</v>
      </c>
      <c r="F2" t="s">
        <v>18</v>
      </c>
      <c r="H2" t="s">
        <v>20</v>
      </c>
      <c r="I2" t="s">
        <v>26</v>
      </c>
      <c r="K2" t="s">
        <v>23</v>
      </c>
      <c r="L2" t="s">
        <v>195</v>
      </c>
      <c r="M2" s="8" t="s">
        <v>33</v>
      </c>
      <c r="O2" t="s">
        <v>31</v>
      </c>
      <c r="R2" t="s">
        <v>47</v>
      </c>
      <c r="S2" t="s">
        <v>289</v>
      </c>
      <c r="T2" s="2">
        <f>H11</f>
        <v>1843600</v>
      </c>
    </row>
    <row r="3" spans="1:24" x14ac:dyDescent="0.35">
      <c r="A3" t="s">
        <v>6</v>
      </c>
      <c r="B3">
        <v>3</v>
      </c>
      <c r="C3">
        <f t="shared" ref="C3:C9" si="0">MAX(B3,(_xlfn.CEILING.MATH(ROUNDUP(B3*$D$2*((1-1%)*(1-$B$13)),1),1)))</f>
        <v>9</v>
      </c>
      <c r="D3" s="34" t="s">
        <v>97</v>
      </c>
      <c r="E3" s="5">
        <v>0</v>
      </c>
      <c r="F3">
        <f>IF(C3-E3&lt;0,0,(C3*$D$4)-E3)</f>
        <v>36</v>
      </c>
      <c r="H3" t="str">
        <f t="shared" ref="H3:H9" si="1">A3</f>
        <v>Antimatter Reactor Unit</v>
      </c>
      <c r="I3" s="23">
        <f>Pricing!B2</f>
        <v>74700</v>
      </c>
      <c r="J3" s="3">
        <f t="shared" ref="J3:J9" si="2">IF(F3=0,E3*I3,IF(F3&lt;0,0,(F3*I3)))</f>
        <v>2689200</v>
      </c>
      <c r="L3" t="str">
        <f t="shared" ref="L3:L9" si="3">H3</f>
        <v>Antimatter Reactor Unit</v>
      </c>
      <c r="M3" s="3">
        <f>'Component BP'!F5</f>
        <v>2348890</v>
      </c>
      <c r="O3" t="str">
        <f t="shared" ref="O3:O9" si="4">IF(AND(J3=0,M3=0),"Not Necessary",IF(J3&lt;M3,$H$2,$L$2))</f>
        <v>Manufacture</v>
      </c>
      <c r="Q3" s="2">
        <f t="shared" ref="Q3:Q9" si="5">IF(O3="Manufacture",M3,"")</f>
        <v>2348890</v>
      </c>
      <c r="R3" s="2">
        <f t="shared" ref="R3:R9" si="6">SMALL(J3:M3,1)</f>
        <v>2348890</v>
      </c>
      <c r="S3" t="s">
        <v>171</v>
      </c>
      <c r="T3" s="2">
        <v>1020000</v>
      </c>
      <c r="V3" s="17"/>
    </row>
    <row r="4" spans="1:24" x14ac:dyDescent="0.35">
      <c r="A4" t="s">
        <v>1</v>
      </c>
      <c r="B4">
        <v>30</v>
      </c>
      <c r="C4">
        <f t="shared" si="0"/>
        <v>87</v>
      </c>
      <c r="D4" s="35">
        <v>4</v>
      </c>
      <c r="E4" s="5">
        <v>0</v>
      </c>
      <c r="F4">
        <f t="shared" ref="F4:F9" si="7">IF((C4*$D$4)-E4&lt;0,0,(C4*$D$4)-E4)</f>
        <v>348</v>
      </c>
      <c r="H4" t="str">
        <f t="shared" si="1"/>
        <v>Fusion Thruster</v>
      </c>
      <c r="I4" s="23">
        <f>Pricing!B3</f>
        <v>24460</v>
      </c>
      <c r="J4" s="3">
        <f t="shared" si="2"/>
        <v>8512080</v>
      </c>
      <c r="L4" t="str">
        <f t="shared" si="3"/>
        <v>Fusion Thruster</v>
      </c>
      <c r="M4" s="3">
        <f>'Component BP'!F10</f>
        <v>8367998.1000000006</v>
      </c>
      <c r="O4" t="str">
        <f t="shared" si="4"/>
        <v>Manufacture</v>
      </c>
      <c r="Q4" s="2">
        <f t="shared" si="5"/>
        <v>8367998.1000000006</v>
      </c>
      <c r="R4" s="2">
        <f t="shared" si="6"/>
        <v>8367998.1000000006</v>
      </c>
      <c r="S4" t="s">
        <v>77</v>
      </c>
      <c r="T4" s="4">
        <f>U4*(R12*(D2*D4))</f>
        <v>6657119.9999999991</v>
      </c>
      <c r="U4" s="26">
        <v>3.5999999999999997E-2</v>
      </c>
    </row>
    <row r="5" spans="1:24" x14ac:dyDescent="0.35">
      <c r="A5" t="s">
        <v>7</v>
      </c>
      <c r="B5">
        <v>15</v>
      </c>
      <c r="C5">
        <f t="shared" si="0"/>
        <v>44</v>
      </c>
      <c r="E5" s="5">
        <v>0</v>
      </c>
      <c r="F5">
        <f t="shared" si="7"/>
        <v>176</v>
      </c>
      <c r="H5" t="str">
        <f t="shared" si="1"/>
        <v>Linear Shield Emitter</v>
      </c>
      <c r="I5" s="23">
        <f>Pricing!B4</f>
        <v>27280</v>
      </c>
      <c r="J5" s="3">
        <f t="shared" si="2"/>
        <v>4801280</v>
      </c>
      <c r="L5" t="str">
        <f t="shared" si="3"/>
        <v>Linear Shield Emitter</v>
      </c>
      <c r="M5" s="3">
        <f>'Component BP'!F15</f>
        <v>4263713.4280000003</v>
      </c>
      <c r="O5" t="str">
        <f t="shared" si="4"/>
        <v>Manufacture</v>
      </c>
      <c r="Q5" s="2">
        <f t="shared" si="5"/>
        <v>4263713.4280000003</v>
      </c>
      <c r="R5" s="2">
        <f t="shared" si="6"/>
        <v>4263713.4280000003</v>
      </c>
      <c r="S5" t="s">
        <v>172</v>
      </c>
      <c r="T5" s="4">
        <f>U5*(R12*(D2*D4))</f>
        <v>0</v>
      </c>
      <c r="U5" s="26">
        <v>0</v>
      </c>
    </row>
    <row r="6" spans="1:24" x14ac:dyDescent="0.35">
      <c r="A6" t="s">
        <v>4</v>
      </c>
      <c r="B6">
        <v>165</v>
      </c>
      <c r="C6">
        <f t="shared" si="0"/>
        <v>476</v>
      </c>
      <c r="D6">
        <f>D4*D2</f>
        <v>12</v>
      </c>
      <c r="E6" s="5">
        <v>0</v>
      </c>
      <c r="F6">
        <f t="shared" si="7"/>
        <v>1904</v>
      </c>
      <c r="H6" t="str">
        <f t="shared" si="1"/>
        <v>Nanoelectrical Microprocessor</v>
      </c>
      <c r="I6" s="23">
        <f>Pricing!B5</f>
        <v>33600</v>
      </c>
      <c r="J6" s="3">
        <f t="shared" si="2"/>
        <v>63974400</v>
      </c>
      <c r="L6" t="str">
        <f t="shared" si="3"/>
        <v>Nanoelectrical Microprocessor</v>
      </c>
      <c r="M6" s="3">
        <f>'Component BP'!F21</f>
        <v>57091155.18</v>
      </c>
      <c r="O6" t="str">
        <f t="shared" si="4"/>
        <v>Manufacture</v>
      </c>
      <c r="Q6" s="2">
        <f t="shared" si="5"/>
        <v>57091155.18</v>
      </c>
      <c r="R6" s="2">
        <f t="shared" si="6"/>
        <v>57091155.18</v>
      </c>
      <c r="S6" t="s">
        <v>173</v>
      </c>
      <c r="T6" s="4">
        <f>(SUM(Q3:Q9)*0.03)+(R12*0.03)</f>
        <v>4314245.6392799998</v>
      </c>
      <c r="V6" s="9"/>
    </row>
    <row r="7" spans="1:24" x14ac:dyDescent="0.35">
      <c r="A7" t="s">
        <v>3</v>
      </c>
      <c r="B7">
        <v>68</v>
      </c>
      <c r="C7">
        <f t="shared" si="0"/>
        <v>196</v>
      </c>
      <c r="E7" s="5">
        <v>0</v>
      </c>
      <c r="F7">
        <f t="shared" si="7"/>
        <v>784</v>
      </c>
      <c r="H7" t="str">
        <f t="shared" si="1"/>
        <v>Radar Sensor Cluster</v>
      </c>
      <c r="I7" s="23">
        <f>Pricing!B6</f>
        <v>17200</v>
      </c>
      <c r="J7" s="3">
        <f t="shared" si="2"/>
        <v>13484800</v>
      </c>
      <c r="L7" t="str">
        <f t="shared" si="3"/>
        <v>Radar Sensor Cluster</v>
      </c>
      <c r="M7" s="3">
        <f>'Component BP'!F26</f>
        <v>11395466.800000001</v>
      </c>
      <c r="O7" t="str">
        <f t="shared" si="4"/>
        <v>Manufacture</v>
      </c>
      <c r="Q7" s="2">
        <f t="shared" si="5"/>
        <v>11395466.800000001</v>
      </c>
      <c r="R7" s="2">
        <f t="shared" si="6"/>
        <v>11395466.800000001</v>
      </c>
      <c r="T7" s="4">
        <f>SUM(T2:T6)</f>
        <v>13834965.639279999</v>
      </c>
    </row>
    <row r="8" spans="1:24" x14ac:dyDescent="0.35">
      <c r="A8" t="s">
        <v>2</v>
      </c>
      <c r="B8">
        <v>60</v>
      </c>
      <c r="C8">
        <f t="shared" si="0"/>
        <v>173</v>
      </c>
      <c r="E8" s="5">
        <v>0</v>
      </c>
      <c r="F8">
        <f t="shared" si="7"/>
        <v>692</v>
      </c>
      <c r="H8" t="str">
        <f t="shared" si="1"/>
        <v>Tesseract Capacitor Unit</v>
      </c>
      <c r="I8" s="23">
        <f>Pricing!B7</f>
        <v>31800</v>
      </c>
      <c r="J8" s="3">
        <f t="shared" si="2"/>
        <v>22005600</v>
      </c>
      <c r="L8" t="str">
        <f t="shared" si="3"/>
        <v>Tesseract Capacitor Unit</v>
      </c>
      <c r="M8" s="3">
        <f>'Component BP'!F32</f>
        <v>19980375.690000001</v>
      </c>
      <c r="O8" t="str">
        <f t="shared" si="4"/>
        <v>Manufacture</v>
      </c>
      <c r="Q8" s="2">
        <f t="shared" si="5"/>
        <v>19980375.690000001</v>
      </c>
      <c r="R8" s="2">
        <f t="shared" si="6"/>
        <v>19980375.690000001</v>
      </c>
    </row>
    <row r="9" spans="1:24" x14ac:dyDescent="0.35">
      <c r="A9" t="s">
        <v>5</v>
      </c>
      <c r="B9">
        <v>300</v>
      </c>
      <c r="C9">
        <f t="shared" si="0"/>
        <v>865</v>
      </c>
      <c r="E9" s="5">
        <v>0</v>
      </c>
      <c r="F9">
        <f t="shared" si="7"/>
        <v>3460</v>
      </c>
      <c r="H9" t="str">
        <f t="shared" si="1"/>
        <v>Tungsten Carbide Armor Plate</v>
      </c>
      <c r="I9" s="23">
        <f>Pricing!B8</f>
        <v>8442</v>
      </c>
      <c r="J9" s="3">
        <f t="shared" si="2"/>
        <v>29209320</v>
      </c>
      <c r="L9" t="str">
        <f t="shared" si="3"/>
        <v>Tungsten Carbide Armor Plate</v>
      </c>
      <c r="M9" s="3">
        <f>'Component BP'!F36</f>
        <v>24950588.778000001</v>
      </c>
      <c r="O9" t="str">
        <f t="shared" si="4"/>
        <v>Manufacture</v>
      </c>
      <c r="Q9" s="2">
        <f t="shared" si="5"/>
        <v>24950588.778000001</v>
      </c>
      <c r="R9" s="2">
        <f t="shared" si="6"/>
        <v>24950588.778000001</v>
      </c>
    </row>
    <row r="11" spans="1:24" x14ac:dyDescent="0.35">
      <c r="A11" t="s">
        <v>43</v>
      </c>
      <c r="B11">
        <v>15</v>
      </c>
      <c r="C11">
        <f>MAX(B11,(_xlfn.CEILING.MATH(ROUNDUP(B11*$D$2*((1-1%)*(1-$B$13)),1),1)))</f>
        <v>44</v>
      </c>
      <c r="E11" s="5">
        <v>0</v>
      </c>
      <c r="F11">
        <f>IF(C11-E11&lt;0,0,(C11*$D$4)-E11)</f>
        <v>176</v>
      </c>
      <c r="H11" s="4">
        <f>C11*Pricing!$J$9</f>
        <v>1843600</v>
      </c>
      <c r="L11" s="10" t="s">
        <v>36</v>
      </c>
      <c r="M11" s="3" t="s">
        <v>47</v>
      </c>
      <c r="R11" s="2">
        <f>SMALL(J12:M12,1)+T7</f>
        <v>142233153.61528</v>
      </c>
    </row>
    <row r="12" spans="1:24" x14ac:dyDescent="0.35">
      <c r="A12" t="s">
        <v>44</v>
      </c>
      <c r="B12">
        <v>23</v>
      </c>
      <c r="C12">
        <f>MAX(B12,(_xlfn.CEILING.MATH(ROUNDUP(B12*$D$2*((1-1%)*(1-$B$13)),1),1)))</f>
        <v>67</v>
      </c>
      <c r="E12" s="5">
        <v>0</v>
      </c>
      <c r="F12">
        <f>IF(C12-E12&lt;0,0,C12-E12)</f>
        <v>67</v>
      </c>
      <c r="H12" s="4"/>
      <c r="J12" s="3">
        <f>SUM(J3:J9)</f>
        <v>144676680</v>
      </c>
      <c r="L12" s="3">
        <f>SUM(M3:M9)</f>
        <v>128398187.976</v>
      </c>
      <c r="M12" s="17">
        <f>SUM(R3:R9)</f>
        <v>128398187.976</v>
      </c>
      <c r="O12" s="4"/>
      <c r="P12" s="4"/>
      <c r="R12" s="23">
        <f>Pricing!J30</f>
        <v>15410000</v>
      </c>
      <c r="S12" t="str">
        <f>A2</f>
        <v>Anathema Requirements</v>
      </c>
    </row>
    <row r="13" spans="1:24" x14ac:dyDescent="0.35">
      <c r="A13" t="s">
        <v>104</v>
      </c>
      <c r="B13" s="32">
        <v>0.03</v>
      </c>
      <c r="C13" s="30"/>
      <c r="P13" s="9"/>
      <c r="R13" s="2">
        <f>(R12*(D2*D4))</f>
        <v>184920000</v>
      </c>
      <c r="S13" s="4">
        <f>R13-R11</f>
        <v>42686846.384719998</v>
      </c>
      <c r="T13" t="s">
        <v>45</v>
      </c>
    </row>
    <row r="14" spans="1:24" x14ac:dyDescent="0.35">
      <c r="A14" s="11"/>
      <c r="C14" s="11" t="s">
        <v>199</v>
      </c>
      <c r="K14" t="s">
        <v>37</v>
      </c>
      <c r="L14" s="4">
        <f>-1*(M12-J12)</f>
        <v>16278492.024000004</v>
      </c>
      <c r="S14" s="9">
        <f>((R13-R11)/R13)</f>
        <v>0.23083953268829763</v>
      </c>
      <c r="T14" t="s">
        <v>45</v>
      </c>
    </row>
    <row r="15" spans="1:24" x14ac:dyDescent="0.35">
      <c r="K15" t="s">
        <v>38</v>
      </c>
      <c r="L15" s="9">
        <f>1-(M12/J12)</f>
        <v>0.11251635041666708</v>
      </c>
      <c r="S15" s="4">
        <f>R11-T4-T5</f>
        <v>135576033.61528</v>
      </c>
      <c r="T15" t="s">
        <v>297</v>
      </c>
      <c r="V15" s="4"/>
      <c r="W15" s="2"/>
      <c r="X15" s="9"/>
    </row>
    <row r="16" spans="1:24" s="18" customFormat="1" x14ac:dyDescent="0.35">
      <c r="K16" s="20"/>
      <c r="M16" s="19"/>
    </row>
    <row r="17" spans="1:21" x14ac:dyDescent="0.35">
      <c r="A17" t="s">
        <v>186</v>
      </c>
      <c r="B17" t="s">
        <v>103</v>
      </c>
      <c r="C17" s="33" t="s">
        <v>19</v>
      </c>
      <c r="D17" s="36">
        <v>4</v>
      </c>
      <c r="E17" t="s">
        <v>17</v>
      </c>
      <c r="F17" t="s">
        <v>18</v>
      </c>
      <c r="H17" t="s">
        <v>20</v>
      </c>
      <c r="I17" t="s">
        <v>26</v>
      </c>
      <c r="K17" t="s">
        <v>23</v>
      </c>
      <c r="L17" t="s">
        <v>32</v>
      </c>
      <c r="M17" s="8" t="s">
        <v>33</v>
      </c>
      <c r="O17" t="s">
        <v>31</v>
      </c>
      <c r="R17" t="s">
        <v>47</v>
      </c>
      <c r="S17" t="s">
        <v>289</v>
      </c>
      <c r="T17" s="2">
        <f>H26</f>
        <v>24469600</v>
      </c>
    </row>
    <row r="18" spans="1:21" x14ac:dyDescent="0.35">
      <c r="A18" t="s">
        <v>6</v>
      </c>
      <c r="B18">
        <v>6</v>
      </c>
      <c r="C18">
        <f t="shared" ref="C18:C24" si="8">MAX(B18,(_xlfn.CEILING.MATH(ROUNDUP(B18*$D$17*((1-1%)*(1-$B$28)),1),1)))</f>
        <v>24</v>
      </c>
      <c r="D18" s="34" t="s">
        <v>97</v>
      </c>
      <c r="E18" s="5"/>
      <c r="F18">
        <f t="shared" ref="F18:F24" si="9">IF(C18-E18&lt;0,0,(C18*$D$19)-E18)</f>
        <v>96</v>
      </c>
      <c r="G18">
        <f>E18+E3</f>
        <v>0</v>
      </c>
      <c r="H18" t="str">
        <f t="shared" ref="H18:H24" si="10">A18</f>
        <v>Antimatter Reactor Unit</v>
      </c>
      <c r="I18" s="23">
        <f t="shared" ref="I18:I24" si="11">I33</f>
        <v>74700</v>
      </c>
      <c r="J18" s="3">
        <f>IF(F18&lt;0,0,(F18*I18))</f>
        <v>7171200</v>
      </c>
      <c r="L18" t="str">
        <f t="shared" ref="L18:L24" si="12">H18</f>
        <v>Antimatter Reactor Unit</v>
      </c>
      <c r="M18" s="3">
        <f>'Component BP'!F42</f>
        <v>6263750</v>
      </c>
      <c r="O18" t="str">
        <f t="shared" ref="O18:O24" si="13">IF(AND(J18=0,M18=0),"Not Necessary",IF(J18&lt;M18,$H$2,$L$2))</f>
        <v>Manufacture</v>
      </c>
      <c r="Q18" s="2">
        <f t="shared" ref="Q18:Q24" si="14">IF(O18="Manufacture",M18,"")</f>
        <v>6263750</v>
      </c>
      <c r="R18" s="2">
        <f t="shared" ref="R18:R24" si="15">SMALL(J18:M18,1)</f>
        <v>6263750</v>
      </c>
      <c r="S18" t="s">
        <v>171</v>
      </c>
      <c r="T18" s="2">
        <v>1020000</v>
      </c>
    </row>
    <row r="19" spans="1:21" x14ac:dyDescent="0.35">
      <c r="A19" t="s">
        <v>1</v>
      </c>
      <c r="B19">
        <v>30</v>
      </c>
      <c r="C19">
        <f t="shared" si="8"/>
        <v>116</v>
      </c>
      <c r="D19" s="35">
        <v>4</v>
      </c>
      <c r="E19" s="5"/>
      <c r="F19">
        <f t="shared" si="9"/>
        <v>464</v>
      </c>
      <c r="G19">
        <f>E19+E4</f>
        <v>0</v>
      </c>
      <c r="H19" t="str">
        <f t="shared" si="10"/>
        <v>Fusion Thruster</v>
      </c>
      <c r="I19" s="23">
        <f t="shared" si="11"/>
        <v>24460</v>
      </c>
      <c r="J19" s="3">
        <f>IF(F19&lt;0,0,(F19*I19))</f>
        <v>11349440</v>
      </c>
      <c r="L19" t="str">
        <f t="shared" si="12"/>
        <v>Fusion Thruster</v>
      </c>
      <c r="M19" s="3">
        <f>'Component BP'!F47</f>
        <v>11157330.800000001</v>
      </c>
      <c r="O19" t="str">
        <f t="shared" si="13"/>
        <v>Manufacture</v>
      </c>
      <c r="Q19" s="2">
        <f t="shared" si="14"/>
        <v>11157330.800000001</v>
      </c>
      <c r="R19" s="2">
        <f t="shared" si="15"/>
        <v>11157330.800000001</v>
      </c>
      <c r="S19" t="s">
        <v>77</v>
      </c>
      <c r="T19" s="4">
        <f>U19*(R27*(D17*D19))</f>
        <v>8979840</v>
      </c>
      <c r="U19" s="26">
        <v>3.5999999999999997E-2</v>
      </c>
    </row>
    <row r="20" spans="1:21" x14ac:dyDescent="0.35">
      <c r="A20" t="s">
        <v>7</v>
      </c>
      <c r="B20">
        <v>15</v>
      </c>
      <c r="C20">
        <f t="shared" si="8"/>
        <v>58</v>
      </c>
      <c r="E20" s="5">
        <v>0</v>
      </c>
      <c r="F20">
        <f t="shared" si="9"/>
        <v>232</v>
      </c>
      <c r="G20">
        <f>E20+E5</f>
        <v>0</v>
      </c>
      <c r="H20" t="str">
        <f t="shared" si="10"/>
        <v>Linear Shield Emitter</v>
      </c>
      <c r="I20" s="23">
        <f t="shared" si="11"/>
        <v>27280</v>
      </c>
      <c r="J20" s="3">
        <f>IF(F20=0,E20*I20,IF(F20&lt;0,0,(F20*I20)))</f>
        <v>6328960</v>
      </c>
      <c r="L20" t="str">
        <f t="shared" si="12"/>
        <v>Linear Shield Emitter</v>
      </c>
      <c r="M20" s="3">
        <f>'Component BP'!F52</f>
        <v>5620301.7079999996</v>
      </c>
      <c r="O20" t="str">
        <f t="shared" si="13"/>
        <v>Manufacture</v>
      </c>
      <c r="Q20" s="2">
        <f t="shared" si="14"/>
        <v>5620301.7079999996</v>
      </c>
      <c r="R20" s="2">
        <f t="shared" si="15"/>
        <v>5620301.7079999996</v>
      </c>
      <c r="S20" t="s">
        <v>172</v>
      </c>
      <c r="T20" s="4">
        <f>U20*(R27*(D17*D19))</f>
        <v>0</v>
      </c>
      <c r="U20" s="26">
        <v>0</v>
      </c>
    </row>
    <row r="21" spans="1:21" x14ac:dyDescent="0.35">
      <c r="A21" t="s">
        <v>4</v>
      </c>
      <c r="B21">
        <v>180</v>
      </c>
      <c r="C21">
        <f t="shared" si="8"/>
        <v>692</v>
      </c>
      <c r="E21" s="5">
        <v>0</v>
      </c>
      <c r="F21">
        <f t="shared" si="9"/>
        <v>2768</v>
      </c>
      <c r="H21" t="str">
        <f t="shared" si="10"/>
        <v>Nanoelectrical Microprocessor</v>
      </c>
      <c r="I21" s="23">
        <f t="shared" si="11"/>
        <v>33600</v>
      </c>
      <c r="J21" s="3">
        <f>IF(F21&lt;0,0,(F21*I21))</f>
        <v>93004800</v>
      </c>
      <c r="L21" t="str">
        <f t="shared" si="12"/>
        <v>Nanoelectrical Microprocessor</v>
      </c>
      <c r="M21" s="3">
        <f>'Component BP'!F58</f>
        <v>82980347.320000008</v>
      </c>
      <c r="O21" t="str">
        <f t="shared" si="13"/>
        <v>Manufacture</v>
      </c>
      <c r="Q21" s="2">
        <f t="shared" si="14"/>
        <v>82980347.320000008</v>
      </c>
      <c r="R21" s="2">
        <f t="shared" si="15"/>
        <v>82980347.320000008</v>
      </c>
      <c r="S21" t="s">
        <v>173</v>
      </c>
      <c r="T21" s="4">
        <f>(SUM(Q18:Q24)*0.03)+(R27*0.03)</f>
        <v>5849177.0514299991</v>
      </c>
    </row>
    <row r="22" spans="1:21" x14ac:dyDescent="0.35">
      <c r="A22" t="s">
        <v>3</v>
      </c>
      <c r="B22">
        <v>60</v>
      </c>
      <c r="C22">
        <f t="shared" si="8"/>
        <v>231</v>
      </c>
      <c r="E22" s="5">
        <v>0</v>
      </c>
      <c r="F22">
        <f t="shared" si="9"/>
        <v>924</v>
      </c>
      <c r="H22" t="str">
        <f t="shared" si="10"/>
        <v>Radar Sensor Cluster</v>
      </c>
      <c r="I22" s="23">
        <f t="shared" si="11"/>
        <v>17200</v>
      </c>
      <c r="J22" s="3">
        <f>IF(F22&lt;0,0,(F22*I22))</f>
        <v>15892800</v>
      </c>
      <c r="L22" t="str">
        <f t="shared" si="12"/>
        <v>Radar Sensor Cluster</v>
      </c>
      <c r="M22" s="3">
        <f>'Component BP'!F63</f>
        <v>13427088.24</v>
      </c>
      <c r="O22" t="str">
        <f t="shared" si="13"/>
        <v>Manufacture</v>
      </c>
      <c r="Q22" s="2">
        <f t="shared" si="14"/>
        <v>13427088.24</v>
      </c>
      <c r="R22" s="2">
        <f t="shared" si="15"/>
        <v>13427088.24</v>
      </c>
      <c r="T22" s="4">
        <f>SUM(T17:T21)</f>
        <v>40318617.051430002</v>
      </c>
    </row>
    <row r="23" spans="1:21" x14ac:dyDescent="0.35">
      <c r="A23" t="s">
        <v>2</v>
      </c>
      <c r="B23">
        <v>60</v>
      </c>
      <c r="C23">
        <f t="shared" si="8"/>
        <v>231</v>
      </c>
      <c r="E23" s="5">
        <v>0</v>
      </c>
      <c r="F23">
        <f t="shared" si="9"/>
        <v>924</v>
      </c>
      <c r="H23" t="str">
        <f t="shared" si="10"/>
        <v>Tesseract Capacitor Unit</v>
      </c>
      <c r="I23" s="23">
        <f t="shared" si="11"/>
        <v>31800</v>
      </c>
      <c r="J23" s="3">
        <f>IF(F23&lt;0,0,(F23*I23))</f>
        <v>29383200</v>
      </c>
      <c r="L23" t="str">
        <f t="shared" si="12"/>
        <v>Tesseract Capacitor Unit</v>
      </c>
      <c r="M23" s="3">
        <f>'Component BP'!F69</f>
        <v>26675924.68</v>
      </c>
      <c r="O23" t="str">
        <f t="shared" si="13"/>
        <v>Manufacture</v>
      </c>
      <c r="Q23" s="2">
        <f t="shared" si="14"/>
        <v>26675924.68</v>
      </c>
      <c r="R23" s="2">
        <f t="shared" si="15"/>
        <v>26675924.68</v>
      </c>
    </row>
    <row r="24" spans="1:21" x14ac:dyDescent="0.35">
      <c r="A24" t="s">
        <v>5</v>
      </c>
      <c r="B24">
        <v>300</v>
      </c>
      <c r="C24">
        <f t="shared" si="8"/>
        <v>1153</v>
      </c>
      <c r="E24" s="5">
        <v>0</v>
      </c>
      <c r="F24">
        <f t="shared" si="9"/>
        <v>4612</v>
      </c>
      <c r="H24" t="str">
        <f t="shared" si="10"/>
        <v>Tungsten Carbide Armor Plate</v>
      </c>
      <c r="I24" s="23">
        <f t="shared" si="11"/>
        <v>8442</v>
      </c>
      <c r="J24" s="3">
        <f>IF(F24&lt;0,0,(F24*I24))</f>
        <v>38934504</v>
      </c>
      <c r="L24" t="str">
        <f t="shared" si="12"/>
        <v>Tungsten Carbide Armor Plate</v>
      </c>
      <c r="M24" s="3">
        <f>'Component BP'!F73</f>
        <v>33257825.633000001</v>
      </c>
      <c r="O24" t="str">
        <f t="shared" si="13"/>
        <v>Manufacture</v>
      </c>
      <c r="Q24" s="2">
        <f t="shared" si="14"/>
        <v>33257825.633000001</v>
      </c>
      <c r="R24" s="2">
        <f t="shared" si="15"/>
        <v>33257825.633000001</v>
      </c>
    </row>
    <row r="26" spans="1:21" x14ac:dyDescent="0.35">
      <c r="A26" t="s">
        <v>43</v>
      </c>
      <c r="B26">
        <v>38</v>
      </c>
      <c r="C26">
        <f>MAX(B26,(_xlfn.CEILING.MATH(ROUNDUP(B26*$D$17*((1-1%)*(1-$B$28)),1),1)))</f>
        <v>146</v>
      </c>
      <c r="E26" s="5">
        <f>E40</f>
        <v>0</v>
      </c>
      <c r="F26">
        <f>IF(C26-E26&lt;0,0,(C26*D19)-E26)</f>
        <v>584</v>
      </c>
      <c r="H26" s="4">
        <f>F26*Pricing!$J$9</f>
        <v>24469600</v>
      </c>
      <c r="L26" s="10" t="s">
        <v>36</v>
      </c>
      <c r="M26" s="3" t="s">
        <v>47</v>
      </c>
      <c r="R26" s="2">
        <f>SMALL(J27:M27,1)+T22</f>
        <v>219701185.43242997</v>
      </c>
    </row>
    <row r="27" spans="1:21" x14ac:dyDescent="0.35">
      <c r="A27" t="s">
        <v>44</v>
      </c>
      <c r="B27">
        <v>30</v>
      </c>
      <c r="C27">
        <f>MAX(B27,(_xlfn.CEILING.MATH(ROUNDUP(B27*$D$17*((1-1%)*(1-2%)*(1-2%)*(1-$B$28)),1),1)))</f>
        <v>111</v>
      </c>
      <c r="E27" s="5">
        <v>4993</v>
      </c>
      <c r="F27">
        <f>IF(C27-E27&lt;0,0,(C27*D20)-E27)</f>
        <v>0</v>
      </c>
      <c r="J27" s="3">
        <f>SUM(J18:J24)</f>
        <v>202064904</v>
      </c>
      <c r="L27" s="3">
        <f>SUM(M18:M24)</f>
        <v>179382568.38099998</v>
      </c>
      <c r="M27" s="17">
        <f>SUM(R18:R24)</f>
        <v>179382568.38099998</v>
      </c>
      <c r="O27" s="4"/>
      <c r="P27" s="4"/>
      <c r="R27" s="23">
        <f>Pricing!J32</f>
        <v>15590000</v>
      </c>
      <c r="S27" t="str">
        <f>A17</f>
        <v>Purifier Requirements</v>
      </c>
    </row>
    <row r="28" spans="1:21" x14ac:dyDescent="0.35">
      <c r="A28" t="s">
        <v>104</v>
      </c>
      <c r="B28" s="32">
        <v>0.03</v>
      </c>
      <c r="C28" s="30"/>
      <c r="P28" s="9"/>
      <c r="R28" s="2">
        <f>(R27*(D17*D19))</f>
        <v>249440000</v>
      </c>
      <c r="S28" s="4">
        <f>R28-R26</f>
        <v>29738814.567570031</v>
      </c>
      <c r="T28" t="s">
        <v>45</v>
      </c>
    </row>
    <row r="29" spans="1:21" x14ac:dyDescent="0.35">
      <c r="C29" s="11" t="s">
        <v>199</v>
      </c>
      <c r="K29" t="s">
        <v>37</v>
      </c>
      <c r="L29" s="4">
        <f>-1*(M27-J27)</f>
        <v>22682335.619000018</v>
      </c>
      <c r="S29" s="9">
        <f>((R28-R26)/R28)</f>
        <v>0.11922231625869961</v>
      </c>
      <c r="T29" t="s">
        <v>45</v>
      </c>
    </row>
    <row r="30" spans="1:21" x14ac:dyDescent="0.35">
      <c r="L30" s="9"/>
      <c r="S30" s="4">
        <f>R26-T19-T20</f>
        <v>210721345.43242997</v>
      </c>
      <c r="T30" t="s">
        <v>297</v>
      </c>
    </row>
    <row r="31" spans="1:21" s="18" customFormat="1" x14ac:dyDescent="0.35">
      <c r="K31" s="20"/>
      <c r="M31" s="19"/>
    </row>
    <row r="32" spans="1:21" x14ac:dyDescent="0.35">
      <c r="A32" t="s">
        <v>41</v>
      </c>
      <c r="B32" t="s">
        <v>103</v>
      </c>
      <c r="C32" s="33" t="s">
        <v>19</v>
      </c>
      <c r="D32" s="36">
        <v>1</v>
      </c>
      <c r="E32" t="s">
        <v>17</v>
      </c>
      <c r="F32" t="s">
        <v>18</v>
      </c>
      <c r="H32" t="s">
        <v>20</v>
      </c>
      <c r="I32" t="s">
        <v>26</v>
      </c>
      <c r="K32" t="s">
        <v>23</v>
      </c>
      <c r="L32" t="s">
        <v>32</v>
      </c>
      <c r="M32" s="8" t="s">
        <v>33</v>
      </c>
      <c r="O32" t="s">
        <v>31</v>
      </c>
      <c r="R32" t="s">
        <v>47</v>
      </c>
      <c r="S32" t="s">
        <v>289</v>
      </c>
      <c r="T32" s="2">
        <f>H41</f>
        <v>1801700</v>
      </c>
    </row>
    <row r="33" spans="1:21" x14ac:dyDescent="0.35">
      <c r="A33" t="s">
        <v>6</v>
      </c>
      <c r="B33">
        <v>15</v>
      </c>
      <c r="C33">
        <f t="shared" ref="C33:C39" si="16">MAX(B33,(_xlfn.CEILING.MATH(ROUNDUP(B33*$D$32*((1-1%)*(1-$B$43)),1),1)))</f>
        <v>15</v>
      </c>
      <c r="D33" s="34" t="s">
        <v>97</v>
      </c>
      <c r="E33" s="5">
        <v>0</v>
      </c>
      <c r="F33">
        <f t="shared" ref="F33:F39" si="17">IF(C33-E33&lt;0,0,(C33*$D$34)-E33)</f>
        <v>15</v>
      </c>
      <c r="H33" t="str">
        <f t="shared" ref="H33:H39" si="18">A33</f>
        <v>Antimatter Reactor Unit</v>
      </c>
      <c r="I33" s="23">
        <f t="shared" ref="I33:I39" si="19">I3</f>
        <v>74700</v>
      </c>
      <c r="J33" s="3">
        <f t="shared" ref="J33:J39" si="20">IF(F33&lt;0,0,(F33*I33))</f>
        <v>1120500</v>
      </c>
      <c r="L33" t="str">
        <f t="shared" ref="L33:L39" si="21">H33</f>
        <v>Antimatter Reactor Unit</v>
      </c>
      <c r="M33" s="3">
        <f>'Component BP'!F117</f>
        <v>1006240</v>
      </c>
      <c r="O33" t="str">
        <f t="shared" ref="O33:O39" si="22">IF(AND(J33=0,M33=0),"Not Necessary",IF(J33&lt;M33,$H$2,$L$2))</f>
        <v>Manufacture</v>
      </c>
      <c r="Q33" s="2">
        <f t="shared" ref="Q33:Q39" si="23">IF(O33="Manufacture",M33,"")</f>
        <v>1006240</v>
      </c>
      <c r="R33" s="2">
        <f t="shared" ref="R33:R39" si="24">SMALL(J33:M33,1)</f>
        <v>1006240</v>
      </c>
      <c r="S33" t="s">
        <v>171</v>
      </c>
      <c r="T33" s="2">
        <v>1020000</v>
      </c>
    </row>
    <row r="34" spans="1:21" x14ac:dyDescent="0.35">
      <c r="A34" t="s">
        <v>1</v>
      </c>
      <c r="B34">
        <v>59</v>
      </c>
      <c r="C34">
        <f t="shared" si="16"/>
        <v>59</v>
      </c>
      <c r="D34" s="35">
        <v>1</v>
      </c>
      <c r="E34" s="5">
        <v>0</v>
      </c>
      <c r="F34">
        <f t="shared" si="17"/>
        <v>59</v>
      </c>
      <c r="H34" t="str">
        <f t="shared" si="18"/>
        <v>Fusion Thruster</v>
      </c>
      <c r="I34" s="23">
        <f t="shared" si="19"/>
        <v>24460</v>
      </c>
      <c r="J34" s="3">
        <f t="shared" si="20"/>
        <v>1443140</v>
      </c>
      <c r="L34" t="str">
        <f t="shared" si="21"/>
        <v>Fusion Thruster</v>
      </c>
      <c r="M34" s="3">
        <f>'Component BP'!F122</f>
        <v>1419103.1</v>
      </c>
      <c r="O34" t="str">
        <f t="shared" si="22"/>
        <v>Manufacture</v>
      </c>
      <c r="Q34" s="2">
        <f t="shared" si="23"/>
        <v>1419103.1</v>
      </c>
      <c r="R34" s="2">
        <f t="shared" si="24"/>
        <v>1419103.1</v>
      </c>
      <c r="S34" t="s">
        <v>77</v>
      </c>
      <c r="T34" s="4">
        <f>U34*(R42*(D32*D34))</f>
        <v>1212840</v>
      </c>
      <c r="U34" s="26">
        <v>3.5999999999999997E-2</v>
      </c>
    </row>
    <row r="35" spans="1:21" x14ac:dyDescent="0.35">
      <c r="A35" t="s">
        <v>7</v>
      </c>
      <c r="B35">
        <v>37</v>
      </c>
      <c r="C35">
        <f t="shared" si="16"/>
        <v>37</v>
      </c>
      <c r="E35" s="5">
        <v>0</v>
      </c>
      <c r="F35">
        <f t="shared" si="17"/>
        <v>37</v>
      </c>
      <c r="H35" t="str">
        <f t="shared" si="18"/>
        <v>Linear Shield Emitter</v>
      </c>
      <c r="I35" s="23">
        <f t="shared" si="19"/>
        <v>27280</v>
      </c>
      <c r="J35" s="3">
        <f t="shared" si="20"/>
        <v>1009360</v>
      </c>
      <c r="L35" t="str">
        <f t="shared" si="21"/>
        <v>Linear Shield Emitter</v>
      </c>
      <c r="M35" s="3">
        <f>'Component BP'!F127</f>
        <v>896388.29700000002</v>
      </c>
      <c r="O35" t="str">
        <f t="shared" si="22"/>
        <v>Manufacture</v>
      </c>
      <c r="Q35" s="2">
        <f t="shared" si="23"/>
        <v>896388.29700000002</v>
      </c>
      <c r="R35" s="2">
        <f t="shared" si="24"/>
        <v>896388.29700000002</v>
      </c>
      <c r="S35" t="s">
        <v>172</v>
      </c>
      <c r="T35" s="4">
        <f>U35*(R42*(D32*D34))</f>
        <v>0</v>
      </c>
      <c r="U35" s="26">
        <v>0</v>
      </c>
    </row>
    <row r="36" spans="1:21" x14ac:dyDescent="0.35">
      <c r="A36" t="s">
        <v>4</v>
      </c>
      <c r="B36">
        <v>350</v>
      </c>
      <c r="C36">
        <f t="shared" si="16"/>
        <v>350</v>
      </c>
      <c r="E36" s="5">
        <v>0</v>
      </c>
      <c r="F36">
        <f t="shared" si="17"/>
        <v>350</v>
      </c>
      <c r="H36" t="str">
        <f t="shared" si="18"/>
        <v>Nanoelectrical Microprocessor</v>
      </c>
      <c r="I36" s="23">
        <f t="shared" si="19"/>
        <v>33600</v>
      </c>
      <c r="J36" s="3">
        <f t="shared" si="20"/>
        <v>11760000</v>
      </c>
      <c r="L36" t="str">
        <f t="shared" si="21"/>
        <v>Nanoelectrical Microprocessor</v>
      </c>
      <c r="M36" s="3">
        <f>'Component BP'!F133</f>
        <v>10502819.359999999</v>
      </c>
      <c r="O36" t="str">
        <f t="shared" si="22"/>
        <v>Manufacture</v>
      </c>
      <c r="Q36" s="2">
        <f t="shared" si="23"/>
        <v>10502819.359999999</v>
      </c>
      <c r="R36" s="2">
        <f t="shared" si="24"/>
        <v>10502819.359999999</v>
      </c>
      <c r="S36" t="s">
        <v>173</v>
      </c>
      <c r="T36" s="4">
        <f>(SUM(Q33:Q39)*0.03)+(R42*0.03)</f>
        <v>1898777.3538600001</v>
      </c>
    </row>
    <row r="37" spans="1:21" x14ac:dyDescent="0.35">
      <c r="A37" t="s">
        <v>3</v>
      </c>
      <c r="B37">
        <v>73</v>
      </c>
      <c r="C37">
        <f t="shared" si="16"/>
        <v>73</v>
      </c>
      <c r="E37" s="5">
        <v>0</v>
      </c>
      <c r="F37">
        <f t="shared" si="17"/>
        <v>73</v>
      </c>
      <c r="H37" t="str">
        <f t="shared" si="18"/>
        <v>Radar Sensor Cluster</v>
      </c>
      <c r="I37" s="23">
        <f t="shared" si="19"/>
        <v>17200</v>
      </c>
      <c r="J37" s="3">
        <f t="shared" si="20"/>
        <v>1255600</v>
      </c>
      <c r="L37" t="str">
        <f t="shared" si="21"/>
        <v>Radar Sensor Cluster</v>
      </c>
      <c r="M37" s="3">
        <f>'Component BP'!F138</f>
        <v>1063419.3800000001</v>
      </c>
      <c r="O37" t="str">
        <f t="shared" si="22"/>
        <v>Manufacture</v>
      </c>
      <c r="Q37" s="2">
        <f t="shared" si="23"/>
        <v>1063419.3800000001</v>
      </c>
      <c r="R37" s="2">
        <f t="shared" si="24"/>
        <v>1063419.3800000001</v>
      </c>
      <c r="T37" s="4">
        <f>SUM(T32:T36)</f>
        <v>5933317.3538600001</v>
      </c>
    </row>
    <row r="38" spans="1:21" x14ac:dyDescent="0.35">
      <c r="A38" t="s">
        <v>2</v>
      </c>
      <c r="B38">
        <v>146</v>
      </c>
      <c r="C38">
        <f t="shared" si="16"/>
        <v>146</v>
      </c>
      <c r="E38" s="5">
        <v>0</v>
      </c>
      <c r="F38">
        <f t="shared" si="17"/>
        <v>146</v>
      </c>
      <c r="H38" t="str">
        <f t="shared" si="18"/>
        <v>Tesseract Capacitor Unit</v>
      </c>
      <c r="I38" s="23">
        <f t="shared" si="19"/>
        <v>31800</v>
      </c>
      <c r="J38" s="3">
        <f t="shared" si="20"/>
        <v>4642800</v>
      </c>
      <c r="L38" t="str">
        <f t="shared" si="21"/>
        <v>Tesseract Capacitor Unit</v>
      </c>
      <c r="M38" s="3">
        <f>'Component BP'!F144</f>
        <v>4215131.83</v>
      </c>
      <c r="O38" t="str">
        <f t="shared" si="22"/>
        <v>Manufacture</v>
      </c>
      <c r="Q38" s="2">
        <f t="shared" si="23"/>
        <v>4215131.83</v>
      </c>
      <c r="R38" s="2">
        <f t="shared" si="24"/>
        <v>4215131.83</v>
      </c>
    </row>
    <row r="39" spans="1:21" x14ac:dyDescent="0.35">
      <c r="A39" t="s">
        <v>5</v>
      </c>
      <c r="B39">
        <v>1456</v>
      </c>
      <c r="C39">
        <f t="shared" si="16"/>
        <v>1456</v>
      </c>
      <c r="E39" s="5">
        <v>0</v>
      </c>
      <c r="F39">
        <f t="shared" si="17"/>
        <v>1456</v>
      </c>
      <c r="H39" t="str">
        <f t="shared" si="18"/>
        <v>Tungsten Carbide Armor Plate</v>
      </c>
      <c r="I39" s="23">
        <f t="shared" si="19"/>
        <v>8442</v>
      </c>
      <c r="J39" s="3">
        <f t="shared" si="20"/>
        <v>12291552</v>
      </c>
      <c r="L39" t="str">
        <f t="shared" si="21"/>
        <v>Tungsten Carbide Armor Plate</v>
      </c>
      <c r="M39" s="3">
        <f>'Component BP'!F148</f>
        <v>10499476.495000001</v>
      </c>
      <c r="O39" t="str">
        <f t="shared" si="22"/>
        <v>Manufacture</v>
      </c>
      <c r="Q39" s="2">
        <f t="shared" si="23"/>
        <v>10499476.495000001</v>
      </c>
      <c r="R39" s="2">
        <f t="shared" si="24"/>
        <v>10499476.495000001</v>
      </c>
    </row>
    <row r="41" spans="1:21" x14ac:dyDescent="0.35">
      <c r="A41" t="s">
        <v>43</v>
      </c>
      <c r="B41">
        <v>15</v>
      </c>
      <c r="C41">
        <f>MAX(B41,(_xlfn.CEILING.MATH(ROUNDUP(B41*$D$2*((1-1%)*(1-2%)*(1-$B$13)),1),1)))</f>
        <v>43</v>
      </c>
      <c r="E41" s="5">
        <f>E11</f>
        <v>0</v>
      </c>
      <c r="F41">
        <f>IF(C41-E41&lt;0,0,(C41*D34)-E41)</f>
        <v>43</v>
      </c>
      <c r="H41" s="4">
        <f>F41*Pricing!$J$9</f>
        <v>1801700</v>
      </c>
      <c r="L41" s="10" t="s">
        <v>36</v>
      </c>
      <c r="M41" s="3" t="s">
        <v>47</v>
      </c>
      <c r="R41" s="2">
        <f>SMALL(J42:M42,1)+T37</f>
        <v>35535895.815860003</v>
      </c>
    </row>
    <row r="42" spans="1:21" x14ac:dyDescent="0.35">
      <c r="A42" t="s">
        <v>44</v>
      </c>
      <c r="C42">
        <f>MAX(B42,(_xlfn.CEILING.MATH(ROUNDUP(B42*$D$2*((1-1%)*(1-2%)*(1-$B$13)),1),1)))</f>
        <v>0</v>
      </c>
      <c r="E42" s="5">
        <f>E12</f>
        <v>0</v>
      </c>
      <c r="F42">
        <f>IF(C42-E42&lt;0,0,C42-E42)</f>
        <v>0</v>
      </c>
      <c r="J42" s="3">
        <f>SUM(J33:J39)</f>
        <v>33522952</v>
      </c>
      <c r="L42" s="3">
        <f>SUM(M33:M39)</f>
        <v>29602578.462000001</v>
      </c>
      <c r="M42" s="17">
        <f>SUM(R33:R39)</f>
        <v>29602578.462000001</v>
      </c>
      <c r="O42" s="4"/>
      <c r="P42" s="4"/>
      <c r="R42" s="23">
        <f>Pricing!J31</f>
        <v>33690000</v>
      </c>
      <c r="S42" t="str">
        <f>A32</f>
        <v>Heretic Requirements</v>
      </c>
    </row>
    <row r="43" spans="1:21" x14ac:dyDescent="0.35">
      <c r="A43" t="s">
        <v>104</v>
      </c>
      <c r="B43" s="32">
        <v>0.02</v>
      </c>
      <c r="C43" s="30"/>
      <c r="P43" s="9"/>
      <c r="R43" s="2">
        <f>(R42*(D32*D34))</f>
        <v>33690000</v>
      </c>
      <c r="S43" s="4">
        <f>R43-R41</f>
        <v>-1845895.8158600032</v>
      </c>
      <c r="T43" t="s">
        <v>45</v>
      </c>
    </row>
    <row r="44" spans="1:21" x14ac:dyDescent="0.35">
      <c r="C44" s="11" t="s">
        <v>199</v>
      </c>
      <c r="K44" t="s">
        <v>37</v>
      </c>
      <c r="L44" s="4">
        <f>-1*(M42-J42)</f>
        <v>3920373.5379999988</v>
      </c>
      <c r="S44" s="9">
        <f>((R43-R41)/R43)</f>
        <v>-5.4790614896408525E-2</v>
      </c>
      <c r="T44" t="s">
        <v>45</v>
      </c>
    </row>
    <row r="45" spans="1:21" s="18" customFormat="1" x14ac:dyDescent="0.35">
      <c r="C45" s="63"/>
      <c r="L45" s="64"/>
      <c r="M45" s="19"/>
      <c r="R45" s="20"/>
      <c r="S45" s="18">
        <f>R41-T34-T35</f>
        <v>34323055.815860003</v>
      </c>
      <c r="T45" s="18" t="s">
        <v>297</v>
      </c>
    </row>
    <row r="46" spans="1:21" x14ac:dyDescent="0.35">
      <c r="A46" t="s">
        <v>335</v>
      </c>
      <c r="B46" t="s">
        <v>103</v>
      </c>
      <c r="C46" s="33" t="s">
        <v>19</v>
      </c>
      <c r="D46" s="36">
        <v>4</v>
      </c>
      <c r="E46" t="s">
        <v>17</v>
      </c>
      <c r="F46" t="s">
        <v>18</v>
      </c>
      <c r="H46" t="s">
        <v>20</v>
      </c>
      <c r="I46" t="s">
        <v>26</v>
      </c>
      <c r="K46" t="s">
        <v>23</v>
      </c>
      <c r="L46" t="s">
        <v>32</v>
      </c>
      <c r="M46" s="8" t="s">
        <v>33</v>
      </c>
      <c r="O46" t="s">
        <v>31</v>
      </c>
      <c r="R46" t="s">
        <v>47</v>
      </c>
      <c r="S46" t="s">
        <v>289</v>
      </c>
      <c r="T46" s="2">
        <f>H55</f>
        <v>28994800</v>
      </c>
    </row>
    <row r="47" spans="1:21" x14ac:dyDescent="0.35">
      <c r="A47" t="s">
        <v>6</v>
      </c>
      <c r="B47">
        <v>8</v>
      </c>
      <c r="C47">
        <f t="shared" ref="C47:C53" si="25">MAX(B47,(_xlfn.CEILING.MATH(ROUNDUP(B47*$D$46*((1-1%)*(1-$B$57)),1),1)))</f>
        <v>31</v>
      </c>
      <c r="D47" s="34" t="s">
        <v>97</v>
      </c>
      <c r="E47" s="5"/>
      <c r="F47">
        <f>IF(C47-E47&lt;0,0,(C47*$D$4)-E47)</f>
        <v>124</v>
      </c>
      <c r="G47" s="6"/>
      <c r="H47" t="str">
        <f t="shared" ref="H47:H53" si="26">A47</f>
        <v>Antimatter Reactor Unit</v>
      </c>
      <c r="I47" s="23">
        <f>I18</f>
        <v>74700</v>
      </c>
      <c r="J47" s="3">
        <f t="shared" ref="J47:J53" si="27">IF(F47&lt;0,0,(F47*I47))</f>
        <v>9262800</v>
      </c>
      <c r="L47" t="str">
        <f t="shared" ref="L47:L53" si="28">H47</f>
        <v>Antimatter Reactor Unit</v>
      </c>
      <c r="M47" s="3">
        <f>'Component BP'!F154</f>
        <v>8090650</v>
      </c>
      <c r="O47" t="str">
        <f t="shared" ref="O47:O53" si="29">IF(AND(J47=0,M47=0),"Not Necessary",IF(J47&lt;M47,$H$2,$L$2))</f>
        <v>Manufacture</v>
      </c>
      <c r="Q47" s="2">
        <f t="shared" ref="Q47:Q53" si="30">IF(O47="Manufacture",M47,"")</f>
        <v>8090650</v>
      </c>
      <c r="R47" s="2">
        <f t="shared" ref="R47:R53" si="31">SMALL(J47:M47,1)</f>
        <v>8090650</v>
      </c>
      <c r="S47" t="s">
        <v>171</v>
      </c>
      <c r="T47" s="2">
        <v>1020000</v>
      </c>
    </row>
    <row r="48" spans="1:21" x14ac:dyDescent="0.35">
      <c r="A48" t="s">
        <v>1</v>
      </c>
      <c r="B48">
        <v>23</v>
      </c>
      <c r="C48">
        <f t="shared" si="25"/>
        <v>89</v>
      </c>
      <c r="D48" s="35">
        <v>4</v>
      </c>
      <c r="E48" s="5"/>
      <c r="F48">
        <f t="shared" ref="F48:F53" si="32">IF((C48*$D$4)-E48&lt;0,0,(C48*$D$4)-E48)</f>
        <v>356</v>
      </c>
      <c r="G48" s="6"/>
      <c r="H48" t="str">
        <f t="shared" si="26"/>
        <v>Fusion Thruster</v>
      </c>
      <c r="I48" s="23">
        <f t="shared" ref="I48:I53" si="33">I34</f>
        <v>24460</v>
      </c>
      <c r="J48" s="3">
        <f t="shared" si="27"/>
        <v>8707760</v>
      </c>
      <c r="L48" t="str">
        <f t="shared" si="28"/>
        <v>Fusion Thruster</v>
      </c>
      <c r="M48" s="3">
        <f>'Component BP'!F159</f>
        <v>8560422.7000000011</v>
      </c>
      <c r="O48" t="str">
        <f t="shared" si="29"/>
        <v>Manufacture</v>
      </c>
      <c r="Q48" s="2">
        <f t="shared" si="30"/>
        <v>8560422.7000000011</v>
      </c>
      <c r="R48" s="2">
        <f t="shared" si="31"/>
        <v>8560422.7000000011</v>
      </c>
      <c r="S48" t="s">
        <v>77</v>
      </c>
      <c r="T48" s="4">
        <f>U48*(R56*(D46*D48))</f>
        <v>13092479.999999998</v>
      </c>
      <c r="U48" s="26">
        <v>3.5999999999999997E-2</v>
      </c>
    </row>
    <row r="49" spans="1:21" x14ac:dyDescent="0.35">
      <c r="A49" t="s">
        <v>7</v>
      </c>
      <c r="B49">
        <v>30</v>
      </c>
      <c r="C49">
        <f t="shared" si="25"/>
        <v>116</v>
      </c>
      <c r="E49" s="5"/>
      <c r="F49">
        <f t="shared" si="32"/>
        <v>464</v>
      </c>
      <c r="G49" s="6"/>
      <c r="H49" t="str">
        <f t="shared" si="26"/>
        <v>Linear Shield Emitter</v>
      </c>
      <c r="I49" s="23">
        <f t="shared" si="33"/>
        <v>27280</v>
      </c>
      <c r="J49" s="3">
        <f t="shared" si="27"/>
        <v>12657920</v>
      </c>
      <c r="L49" t="str">
        <f t="shared" si="28"/>
        <v>Linear Shield Emitter</v>
      </c>
      <c r="M49" s="3">
        <f>'Component BP'!F164</f>
        <v>11240388.249000002</v>
      </c>
      <c r="O49" t="str">
        <f t="shared" si="29"/>
        <v>Manufacture</v>
      </c>
      <c r="Q49" s="2">
        <f t="shared" si="30"/>
        <v>11240388.249000002</v>
      </c>
      <c r="R49" s="2">
        <f t="shared" si="31"/>
        <v>11240388.249000002</v>
      </c>
      <c r="S49" t="s">
        <v>172</v>
      </c>
      <c r="T49" s="4">
        <f>U49*(R56*(D46*D48))</f>
        <v>0</v>
      </c>
      <c r="U49" s="26">
        <v>0</v>
      </c>
    </row>
    <row r="50" spans="1:21" x14ac:dyDescent="0.35">
      <c r="A50" t="s">
        <v>4</v>
      </c>
      <c r="B50">
        <v>135</v>
      </c>
      <c r="C50">
        <f t="shared" si="25"/>
        <v>519</v>
      </c>
      <c r="E50" s="5"/>
      <c r="F50">
        <f t="shared" si="32"/>
        <v>2076</v>
      </c>
      <c r="G50" s="6"/>
      <c r="H50" t="str">
        <f t="shared" si="26"/>
        <v>Nanoelectrical Microprocessor</v>
      </c>
      <c r="I50" s="23">
        <f t="shared" si="33"/>
        <v>33600</v>
      </c>
      <c r="J50" s="3">
        <f t="shared" si="27"/>
        <v>69753600</v>
      </c>
      <c r="L50" t="str">
        <f t="shared" si="28"/>
        <v>Nanoelectrical Microprocessor</v>
      </c>
      <c r="M50" s="3">
        <f>'Component BP'!F170</f>
        <v>62242329.380000003</v>
      </c>
      <c r="O50" t="str">
        <f t="shared" si="29"/>
        <v>Manufacture</v>
      </c>
      <c r="Q50" s="2">
        <f t="shared" si="30"/>
        <v>62242329.380000003</v>
      </c>
      <c r="R50" s="2">
        <f t="shared" si="31"/>
        <v>62242329.380000003</v>
      </c>
      <c r="S50" t="s">
        <v>173</v>
      </c>
      <c r="T50" s="4">
        <f>(SUM(Q47:Q53)*0.03)+(R56*0.03)</f>
        <v>7779110.0642400002</v>
      </c>
    </row>
    <row r="51" spans="1:21" x14ac:dyDescent="0.35">
      <c r="A51" t="s">
        <v>3</v>
      </c>
      <c r="B51">
        <v>30</v>
      </c>
      <c r="C51">
        <f t="shared" si="25"/>
        <v>116</v>
      </c>
      <c r="E51" s="5"/>
      <c r="F51">
        <f t="shared" si="32"/>
        <v>464</v>
      </c>
      <c r="G51" s="6"/>
      <c r="H51" t="str">
        <f t="shared" si="26"/>
        <v>Radar Sensor Cluster</v>
      </c>
      <c r="I51" s="23">
        <f t="shared" si="33"/>
        <v>17200</v>
      </c>
      <c r="J51" s="3">
        <f t="shared" si="27"/>
        <v>7980800</v>
      </c>
      <c r="L51" t="str">
        <f t="shared" si="28"/>
        <v>Radar Sensor Cluster</v>
      </c>
      <c r="M51" s="3">
        <f>'Component BP'!F175</f>
        <v>6745260.9100000001</v>
      </c>
      <c r="O51" t="str">
        <f t="shared" si="29"/>
        <v>Manufacture</v>
      </c>
      <c r="Q51" s="2">
        <f t="shared" si="30"/>
        <v>6745260.9100000001</v>
      </c>
      <c r="R51" s="2">
        <f t="shared" si="31"/>
        <v>6745260.9100000001</v>
      </c>
      <c r="T51" s="4">
        <f>SUM(T46:T50)</f>
        <v>50886390.064240001</v>
      </c>
    </row>
    <row r="52" spans="1:21" x14ac:dyDescent="0.35">
      <c r="A52" t="s">
        <v>2</v>
      </c>
      <c r="B52">
        <v>90</v>
      </c>
      <c r="C52">
        <f t="shared" si="25"/>
        <v>346</v>
      </c>
      <c r="E52" s="5"/>
      <c r="F52">
        <f t="shared" si="32"/>
        <v>1384</v>
      </c>
      <c r="G52" s="6"/>
      <c r="H52" t="str">
        <f t="shared" si="26"/>
        <v>Tesseract Capacitor Unit</v>
      </c>
      <c r="I52" s="23">
        <f t="shared" si="33"/>
        <v>31800</v>
      </c>
      <c r="J52" s="3">
        <f t="shared" si="27"/>
        <v>44011200</v>
      </c>
      <c r="L52" t="str">
        <f t="shared" si="28"/>
        <v>Tesseract Capacitor Unit</v>
      </c>
      <c r="M52" s="3">
        <f>'Component BP'!F181</f>
        <v>39950367.950000003</v>
      </c>
      <c r="O52" t="str">
        <f t="shared" si="29"/>
        <v>Manufacture</v>
      </c>
      <c r="Q52" s="2">
        <f t="shared" si="30"/>
        <v>39950367.950000003</v>
      </c>
      <c r="R52" s="2">
        <f t="shared" si="31"/>
        <v>39950367.950000003</v>
      </c>
    </row>
    <row r="53" spans="1:21" x14ac:dyDescent="0.35">
      <c r="A53" t="s">
        <v>5</v>
      </c>
      <c r="B53">
        <v>900</v>
      </c>
      <c r="C53">
        <f t="shared" si="25"/>
        <v>3458</v>
      </c>
      <c r="E53" s="5"/>
      <c r="F53">
        <f t="shared" si="32"/>
        <v>13832</v>
      </c>
      <c r="G53" s="6"/>
      <c r="H53" t="str">
        <f t="shared" si="26"/>
        <v>Tungsten Carbide Armor Plate</v>
      </c>
      <c r="I53" s="23">
        <f t="shared" si="33"/>
        <v>8442</v>
      </c>
      <c r="J53" s="3">
        <f t="shared" si="27"/>
        <v>116769744</v>
      </c>
      <c r="L53" t="str">
        <f t="shared" si="28"/>
        <v>Tungsten Carbide Armor Plate</v>
      </c>
      <c r="M53" s="3">
        <f>'Component BP'!F185</f>
        <v>99744249.619000003</v>
      </c>
      <c r="O53" t="str">
        <f t="shared" si="29"/>
        <v>Manufacture</v>
      </c>
      <c r="Q53" s="2">
        <f t="shared" si="30"/>
        <v>99744249.619000003</v>
      </c>
      <c r="R53" s="2">
        <f t="shared" si="31"/>
        <v>99744249.619000003</v>
      </c>
    </row>
    <row r="54" spans="1:21" x14ac:dyDescent="0.35">
      <c r="G54" s="6"/>
    </row>
    <row r="55" spans="1:21" x14ac:dyDescent="0.35">
      <c r="A55" t="s">
        <v>43</v>
      </c>
      <c r="B55">
        <v>45</v>
      </c>
      <c r="C55">
        <f>MAX(B55,(_xlfn.CEILING.MATH(ROUNDUP(B55*$D$17*((1-1%)*(1-$B$28)),1),1)))</f>
        <v>173</v>
      </c>
      <c r="E55" s="5">
        <f>'BP Tech 2 Manufacture Nonship'!E38</f>
        <v>0</v>
      </c>
      <c r="F55">
        <f>IF(C55-E55&lt;0,0,(C55*D48)-E55)</f>
        <v>692</v>
      </c>
      <c r="G55" s="6"/>
      <c r="H55" s="4">
        <f>F55*Pricing!$J$9</f>
        <v>28994800</v>
      </c>
      <c r="L55" s="10" t="s">
        <v>36</v>
      </c>
      <c r="M55" s="3" t="s">
        <v>47</v>
      </c>
      <c r="R55" s="2">
        <f>SMALL(J56:M56,1)+T51</f>
        <v>287460058.87224001</v>
      </c>
    </row>
    <row r="56" spans="1:21" x14ac:dyDescent="0.35">
      <c r="A56" t="s">
        <v>44</v>
      </c>
      <c r="C56">
        <f>MAX(B56,(_xlfn.CEILING.MATH(ROUNDUP(B56*$D$17*((1-1%)*(1-2%)*(1-2%)*(1-$B$28)),1),1)))</f>
        <v>0</v>
      </c>
      <c r="E56" s="5">
        <v>4993</v>
      </c>
      <c r="F56">
        <f>IF(C56-E56&lt;0,0,(C56*D49)-E56)</f>
        <v>0</v>
      </c>
      <c r="J56" s="3">
        <f>SUM(J47:J53)</f>
        <v>269143824</v>
      </c>
      <c r="L56" s="3">
        <f>SUM(M47:M53)</f>
        <v>236573668.80800003</v>
      </c>
      <c r="M56" s="17">
        <f>SUM(R47:R53)</f>
        <v>236573668.80800003</v>
      </c>
      <c r="O56" s="4"/>
      <c r="P56" s="4"/>
      <c r="R56" s="23">
        <f>Pricing!J33</f>
        <v>22730000</v>
      </c>
      <c r="S56" t="str">
        <f>A46</f>
        <v>Retribution Requirements</v>
      </c>
    </row>
    <row r="57" spans="1:21" x14ac:dyDescent="0.35">
      <c r="A57" t="s">
        <v>104</v>
      </c>
      <c r="B57" s="32">
        <v>0.03</v>
      </c>
      <c r="C57" s="30"/>
      <c r="P57" s="9"/>
      <c r="R57" s="2">
        <f>(R56*(D46*D48))</f>
        <v>363680000</v>
      </c>
      <c r="S57" s="4">
        <f>R57-R55</f>
        <v>76219941.127759993</v>
      </c>
      <c r="T57" t="s">
        <v>45</v>
      </c>
    </row>
    <row r="58" spans="1:21" x14ac:dyDescent="0.35">
      <c r="C58" s="11" t="s">
        <v>199</v>
      </c>
      <c r="K58" t="s">
        <v>37</v>
      </c>
      <c r="L58" s="4">
        <f>-1*(M56-J56)</f>
        <v>32570155.191999972</v>
      </c>
      <c r="S58" s="9">
        <f>((R57-R55)/R57)</f>
        <v>0.20957968853871534</v>
      </c>
      <c r="T58" t="s">
        <v>45</v>
      </c>
    </row>
    <row r="59" spans="1:21" x14ac:dyDescent="0.35">
      <c r="C59" s="11"/>
      <c r="L59" s="9"/>
      <c r="S59" s="4">
        <f>R55-T48-T49</f>
        <v>274367578.87224001</v>
      </c>
      <c r="T59" t="s">
        <v>297</v>
      </c>
    </row>
    <row r="60" spans="1:21" s="18" customFormat="1" x14ac:dyDescent="0.35">
      <c r="A60" s="58" t="s">
        <v>160</v>
      </c>
      <c r="K60" s="20"/>
      <c r="M60" s="19"/>
    </row>
    <row r="61" spans="1:21" x14ac:dyDescent="0.35">
      <c r="A61" t="s">
        <v>152</v>
      </c>
      <c r="C61" s="33" t="s">
        <v>19</v>
      </c>
      <c r="D61" s="36">
        <v>3</v>
      </c>
      <c r="E61" t="s">
        <v>17</v>
      </c>
      <c r="F61" t="s">
        <v>18</v>
      </c>
      <c r="H61" t="s">
        <v>20</v>
      </c>
      <c r="I61" t="s">
        <v>26</v>
      </c>
      <c r="K61" t="s">
        <v>23</v>
      </c>
      <c r="L61" t="s">
        <v>32</v>
      </c>
      <c r="M61" s="8" t="s">
        <v>33</v>
      </c>
      <c r="O61" t="s">
        <v>31</v>
      </c>
      <c r="R61" t="s">
        <v>47</v>
      </c>
      <c r="S61" t="s">
        <v>289</v>
      </c>
      <c r="T61" s="2">
        <f>H70</f>
        <v>670400</v>
      </c>
    </row>
    <row r="62" spans="1:21" x14ac:dyDescent="0.35">
      <c r="A62" t="s">
        <v>153</v>
      </c>
      <c r="B62">
        <v>18</v>
      </c>
      <c r="C62">
        <f t="shared" ref="C62:C68" si="34">MAX(B62,(_xlfn.CEILING.MATH(ROUNDUP(B62*$D$61*((1-1%)*(1-$B$72)),1),1)))</f>
        <v>52</v>
      </c>
      <c r="D62" s="34" t="s">
        <v>97</v>
      </c>
      <c r="E62" s="5">
        <v>0</v>
      </c>
      <c r="F62">
        <f t="shared" ref="F62:F68" si="35">IF(C62-E62&lt;0,0,(C62*$D$63)-E62)</f>
        <v>52</v>
      </c>
      <c r="H62" t="s">
        <v>153</v>
      </c>
      <c r="I62" s="23">
        <f>Pricing!B11</f>
        <v>83920</v>
      </c>
      <c r="J62" s="3">
        <f t="shared" ref="J62:J68" si="36">IF(F62&lt;0,0,(F62*I62))</f>
        <v>4363840</v>
      </c>
      <c r="L62" t="str">
        <f t="shared" ref="L62:L68" si="37">H62</f>
        <v>Graviton Reactor Unit</v>
      </c>
      <c r="M62" s="3">
        <f>'Component BP'!F192</f>
        <v>3498616.0380000002</v>
      </c>
      <c r="O62" t="str">
        <f t="shared" ref="O62:O68" si="38">IF(AND(J62=0,M62=0),"Not Necessary",IF(J62&lt;M62,$H$2,$L$2))</f>
        <v>Manufacture</v>
      </c>
      <c r="Q62" s="2">
        <f t="shared" ref="Q62:Q68" si="39">IF(O62="Manufacture",M62,"")</f>
        <v>3498616.0380000002</v>
      </c>
      <c r="R62" s="2">
        <f t="shared" ref="R62:R68" si="40">SMALL(J62:M62,1)</f>
        <v>3498616.0380000002</v>
      </c>
      <c r="S62" t="s">
        <v>171</v>
      </c>
      <c r="T62" s="2">
        <v>1020000</v>
      </c>
    </row>
    <row r="63" spans="1:21" x14ac:dyDescent="0.35">
      <c r="A63" t="s">
        <v>154</v>
      </c>
      <c r="B63">
        <v>38</v>
      </c>
      <c r="C63">
        <f t="shared" si="34"/>
        <v>110</v>
      </c>
      <c r="D63" s="35">
        <v>1</v>
      </c>
      <c r="E63" s="5">
        <v>0</v>
      </c>
      <c r="F63">
        <f t="shared" si="35"/>
        <v>110</v>
      </c>
      <c r="H63" t="s">
        <v>154</v>
      </c>
      <c r="I63" s="23">
        <f>Pricing!B12</f>
        <v>31000</v>
      </c>
      <c r="J63" s="3">
        <f t="shared" si="36"/>
        <v>3410000</v>
      </c>
      <c r="L63" t="str">
        <f t="shared" si="37"/>
        <v>Sustained Shield Emitter</v>
      </c>
      <c r="M63" s="3">
        <f>'Component BP'!F197</f>
        <v>2685405.8030000003</v>
      </c>
      <c r="O63" t="str">
        <f t="shared" si="38"/>
        <v>Manufacture</v>
      </c>
      <c r="Q63" s="2">
        <f t="shared" si="39"/>
        <v>2685405.8030000003</v>
      </c>
      <c r="R63" s="2">
        <f t="shared" si="40"/>
        <v>2685405.8030000003</v>
      </c>
      <c r="S63" t="s">
        <v>77</v>
      </c>
      <c r="T63" s="4">
        <f>U63*(R71*(D61*D63))</f>
        <v>3805919.9999999995</v>
      </c>
      <c r="U63" s="26">
        <v>3.5999999999999997E-2</v>
      </c>
    </row>
    <row r="64" spans="1:21" x14ac:dyDescent="0.35">
      <c r="A64" t="s">
        <v>155</v>
      </c>
      <c r="B64">
        <v>60</v>
      </c>
      <c r="C64">
        <f t="shared" si="34"/>
        <v>173</v>
      </c>
      <c r="E64" s="5">
        <v>0</v>
      </c>
      <c r="F64">
        <f t="shared" si="35"/>
        <v>173</v>
      </c>
      <c r="H64" t="s">
        <v>155</v>
      </c>
      <c r="I64" s="23">
        <f>Pricing!B13</f>
        <v>23950</v>
      </c>
      <c r="J64" s="3">
        <f t="shared" si="36"/>
        <v>4143350</v>
      </c>
      <c r="L64" t="str">
        <f t="shared" si="37"/>
        <v>Magpulse Thruster</v>
      </c>
      <c r="M64" s="3">
        <f>'Component BP'!F202</f>
        <v>4057821.6</v>
      </c>
      <c r="O64" t="str">
        <f t="shared" si="38"/>
        <v>Manufacture</v>
      </c>
      <c r="Q64" s="2">
        <f t="shared" si="39"/>
        <v>4057821.6</v>
      </c>
      <c r="R64" s="2">
        <f t="shared" si="40"/>
        <v>4057821.6</v>
      </c>
      <c r="S64" t="s">
        <v>172</v>
      </c>
      <c r="T64" s="4">
        <f>U64*(R71*(D61*D63))</f>
        <v>0</v>
      </c>
      <c r="U64" s="26">
        <v>0</v>
      </c>
    </row>
    <row r="65" spans="1:21" x14ac:dyDescent="0.35">
      <c r="A65" t="s">
        <v>156</v>
      </c>
      <c r="B65">
        <v>79</v>
      </c>
      <c r="C65">
        <f t="shared" si="34"/>
        <v>228</v>
      </c>
      <c r="E65" s="5">
        <v>0</v>
      </c>
      <c r="F65">
        <f t="shared" si="35"/>
        <v>228</v>
      </c>
      <c r="H65" t="s">
        <v>156</v>
      </c>
      <c r="I65" s="23">
        <f>Pricing!B14</f>
        <v>17990</v>
      </c>
      <c r="J65" s="3">
        <f t="shared" si="36"/>
        <v>4101720</v>
      </c>
      <c r="L65" t="str">
        <f t="shared" si="37"/>
        <v>Gravimetric Sensor Cluster</v>
      </c>
      <c r="M65" s="3">
        <f>'Component BP'!F207</f>
        <v>3359432.5500000003</v>
      </c>
      <c r="O65" t="str">
        <f t="shared" si="38"/>
        <v>Manufacture</v>
      </c>
      <c r="Q65" s="2">
        <f t="shared" si="39"/>
        <v>3359432.5500000003</v>
      </c>
      <c r="R65" s="2">
        <f t="shared" si="40"/>
        <v>3359432.5500000003</v>
      </c>
      <c r="S65" t="s">
        <v>173</v>
      </c>
      <c r="T65" s="4">
        <f>(SUM(Q62:Q68)*0.03)+(R71*0.03)</f>
        <v>3949545.1533599999</v>
      </c>
    </row>
    <row r="66" spans="1:21" x14ac:dyDescent="0.35">
      <c r="A66" t="s">
        <v>157</v>
      </c>
      <c r="B66">
        <v>150</v>
      </c>
      <c r="C66">
        <f t="shared" si="34"/>
        <v>433</v>
      </c>
      <c r="E66" s="5">
        <v>0</v>
      </c>
      <c r="F66">
        <f t="shared" si="35"/>
        <v>433</v>
      </c>
      <c r="H66" t="s">
        <v>157</v>
      </c>
      <c r="I66" s="23">
        <f>Pricing!B15</f>
        <v>36490</v>
      </c>
      <c r="J66" s="3">
        <f t="shared" si="36"/>
        <v>15800170</v>
      </c>
      <c r="L66" t="str">
        <f t="shared" si="37"/>
        <v>Scalar Capacitor Unit</v>
      </c>
      <c r="M66" s="3">
        <f>'Component BP'!F213</f>
        <v>13322661.278000001</v>
      </c>
      <c r="O66" t="str">
        <f t="shared" si="38"/>
        <v>Manufacture</v>
      </c>
      <c r="Q66" s="2">
        <f t="shared" si="39"/>
        <v>13322661.278000001</v>
      </c>
      <c r="R66" s="2">
        <f t="shared" si="40"/>
        <v>13322661.278000001</v>
      </c>
      <c r="T66" s="4">
        <f>SUM(T61:T65)</f>
        <v>9445865.1533599999</v>
      </c>
    </row>
    <row r="67" spans="1:21" x14ac:dyDescent="0.35">
      <c r="A67" t="s">
        <v>158</v>
      </c>
      <c r="B67">
        <v>370</v>
      </c>
      <c r="C67">
        <f t="shared" si="34"/>
        <v>1066</v>
      </c>
      <c r="E67" s="5">
        <v>0</v>
      </c>
      <c r="F67">
        <f t="shared" si="35"/>
        <v>1066</v>
      </c>
      <c r="H67" t="s">
        <v>158</v>
      </c>
      <c r="I67" s="23">
        <f>Pricing!B16</f>
        <v>40450</v>
      </c>
      <c r="J67" s="3">
        <f t="shared" si="36"/>
        <v>43119700</v>
      </c>
      <c r="L67" t="str">
        <f t="shared" si="37"/>
        <v>Quantum Microprocessor</v>
      </c>
      <c r="M67" s="3">
        <f>'Component BP'!F219</f>
        <v>33877395.868000001</v>
      </c>
      <c r="O67" t="str">
        <f t="shared" si="38"/>
        <v>Manufacture</v>
      </c>
      <c r="Q67" s="2">
        <f t="shared" si="39"/>
        <v>33877395.868000001</v>
      </c>
      <c r="R67" s="2">
        <f t="shared" si="40"/>
        <v>33877395.868000001</v>
      </c>
    </row>
    <row r="68" spans="1:21" x14ac:dyDescent="0.35">
      <c r="A68" t="s">
        <v>159</v>
      </c>
      <c r="B68">
        <v>1630</v>
      </c>
      <c r="C68">
        <f t="shared" si="34"/>
        <v>4696</v>
      </c>
      <c r="E68" s="5">
        <v>0</v>
      </c>
      <c r="F68">
        <f t="shared" si="35"/>
        <v>4696</v>
      </c>
      <c r="H68" t="s">
        <v>159</v>
      </c>
      <c r="I68" s="23">
        <f>Pricing!B17</f>
        <v>9650</v>
      </c>
      <c r="J68" s="3">
        <f t="shared" si="36"/>
        <v>45316400</v>
      </c>
      <c r="L68" t="str">
        <f t="shared" si="37"/>
        <v>Titanium Diborite Armor Plate</v>
      </c>
      <c r="M68" s="3">
        <f>'Component BP'!F223</f>
        <v>35610171.975000001</v>
      </c>
      <c r="O68" t="str">
        <f t="shared" si="38"/>
        <v>Manufacture</v>
      </c>
      <c r="Q68" s="2">
        <f t="shared" si="39"/>
        <v>35610171.975000001</v>
      </c>
      <c r="R68" s="2">
        <f t="shared" si="40"/>
        <v>35610171.975000001</v>
      </c>
    </row>
    <row r="70" spans="1:21" x14ac:dyDescent="0.35">
      <c r="A70" t="s">
        <v>43</v>
      </c>
      <c r="B70">
        <v>16</v>
      </c>
      <c r="C70">
        <f>MAX(B70,(_xlfn.CEILING.MATH(ROUNDUP(B70*$D$32*((1-1%)*(1-2%)*(1-$B$72)),1),1)))</f>
        <v>16</v>
      </c>
      <c r="E70" s="5">
        <f>E41</f>
        <v>0</v>
      </c>
      <c r="F70">
        <f>IF(C70-E70&lt;0,0,(C70*$D$63)-E70)</f>
        <v>16</v>
      </c>
      <c r="H70" s="4">
        <f>F70*Pricing!$J$9</f>
        <v>670400</v>
      </c>
      <c r="L70" s="10" t="s">
        <v>36</v>
      </c>
      <c r="M70" s="3" t="s">
        <v>47</v>
      </c>
      <c r="R70" s="2">
        <f>SMALL(J71:M71,1)+T66</f>
        <v>105857370.26536</v>
      </c>
    </row>
    <row r="71" spans="1:21" x14ac:dyDescent="0.35">
      <c r="A71" t="s">
        <v>44</v>
      </c>
      <c r="B71">
        <v>27</v>
      </c>
      <c r="C71">
        <f>MAX(B71,(_xlfn.CEILING.MATH(ROUNDUP(B71*$D$32*((1-1%)*(1-2%)*(1-$B$72)),1),1)))</f>
        <v>27</v>
      </c>
      <c r="E71" s="5">
        <f>E42</f>
        <v>0</v>
      </c>
      <c r="F71">
        <f>IF(C71-E71&lt;0,0,(C71*$D$63)-E71)</f>
        <v>27</v>
      </c>
      <c r="J71" s="3">
        <f>SUM(J62:J68)</f>
        <v>120255180</v>
      </c>
      <c r="L71" s="3">
        <f>SUM(M62:M68)</f>
        <v>96411505.112000003</v>
      </c>
      <c r="M71" s="17">
        <f>SUM(R62:R68)</f>
        <v>96411505.112000003</v>
      </c>
      <c r="P71" s="4"/>
      <c r="R71" s="23">
        <f>Pricing!J36</f>
        <v>35240000</v>
      </c>
      <c r="S71" t="str">
        <f>A61</f>
        <v>Stork Requirements</v>
      </c>
    </row>
    <row r="72" spans="1:21" x14ac:dyDescent="0.35">
      <c r="A72" t="s">
        <v>104</v>
      </c>
      <c r="B72" s="32">
        <v>0.03</v>
      </c>
      <c r="C72" s="11" t="s">
        <v>199</v>
      </c>
      <c r="P72" s="9"/>
      <c r="R72" s="2">
        <f>(R71*(D61*D63))</f>
        <v>105720000</v>
      </c>
      <c r="S72" s="4">
        <f>R72-R70</f>
        <v>-137370.26535999775</v>
      </c>
      <c r="T72" t="s">
        <v>45</v>
      </c>
    </row>
    <row r="73" spans="1:21" x14ac:dyDescent="0.35">
      <c r="K73" t="s">
        <v>37</v>
      </c>
      <c r="L73" s="4">
        <f>-1*(M71-J71)</f>
        <v>23843674.887999997</v>
      </c>
      <c r="S73" s="9">
        <f>((R72-R70)/R72)</f>
        <v>-1.2993782194475761E-3</v>
      </c>
      <c r="T73" t="s">
        <v>45</v>
      </c>
    </row>
    <row r="74" spans="1:21" x14ac:dyDescent="0.35">
      <c r="K74" t="s">
        <v>38</v>
      </c>
      <c r="L74" s="9">
        <f>1-(M71/J71)</f>
        <v>0.19827565754755838</v>
      </c>
      <c r="S74" s="4">
        <f>R70-T63-T64</f>
        <v>102051450.26536</v>
      </c>
      <c r="T74" t="s">
        <v>297</v>
      </c>
    </row>
    <row r="75" spans="1:21" s="18" customFormat="1" x14ac:dyDescent="0.35">
      <c r="A75" s="58"/>
      <c r="K75" s="20"/>
      <c r="M75" s="19"/>
    </row>
    <row r="76" spans="1:21" x14ac:dyDescent="0.35">
      <c r="A76" t="s">
        <v>169</v>
      </c>
      <c r="C76" s="33" t="s">
        <v>19</v>
      </c>
      <c r="D76" s="36">
        <v>4</v>
      </c>
      <c r="E76" t="s">
        <v>17</v>
      </c>
      <c r="F76" t="s">
        <v>18</v>
      </c>
      <c r="H76" t="s">
        <v>20</v>
      </c>
      <c r="I76" t="s">
        <v>26</v>
      </c>
      <c r="K76" t="s">
        <v>23</v>
      </c>
      <c r="L76" t="s">
        <v>32</v>
      </c>
      <c r="M76" s="8" t="s">
        <v>33</v>
      </c>
      <c r="O76" t="s">
        <v>31</v>
      </c>
      <c r="R76" t="s">
        <v>47</v>
      </c>
      <c r="S76" t="s">
        <v>289</v>
      </c>
      <c r="T76" s="2">
        <f>H85</f>
        <v>6368800</v>
      </c>
    </row>
    <row r="77" spans="1:21" x14ac:dyDescent="0.35">
      <c r="A77" t="s">
        <v>153</v>
      </c>
      <c r="B77">
        <v>6</v>
      </c>
      <c r="C77">
        <f>MAX(B77,(_xlfn.CEILING.MATH(ROUNDUP(B77*$D$76*((1-1%)*(1-$B$87)),1),1)))</f>
        <v>24</v>
      </c>
      <c r="D77" s="34" t="s">
        <v>97</v>
      </c>
      <c r="E77" s="94"/>
      <c r="F77">
        <f t="shared" ref="F77:F83" si="41">IF(C77-E77&lt;0,0,(C77*$D$78)-E77)</f>
        <v>96</v>
      </c>
      <c r="H77" t="s">
        <v>153</v>
      </c>
      <c r="I77" s="23">
        <f t="shared" ref="I77:I83" si="42">I62</f>
        <v>83920</v>
      </c>
      <c r="J77" s="3">
        <f t="shared" ref="J77:J83" si="43">IF(F77&lt;0,0,(F77*I77))</f>
        <v>8056320</v>
      </c>
      <c r="L77" t="str">
        <f t="shared" ref="L77:L83" si="44">H77</f>
        <v>Graviton Reactor Unit</v>
      </c>
      <c r="M77" s="3">
        <f>'Component BP'!F229</f>
        <v>6458972.4100000001</v>
      </c>
      <c r="O77" t="str">
        <f t="shared" ref="O77:O83" si="45">IF(AND(J77=0,M77=0),"Not Necessary",IF(J77&lt;M77,$H$2,$L$2))</f>
        <v>Manufacture</v>
      </c>
      <c r="Q77" s="2">
        <f t="shared" ref="Q77:Q83" si="46">IF(O77="Manufacture",M77,"")</f>
        <v>6458972.4100000001</v>
      </c>
      <c r="R77" s="2">
        <f t="shared" ref="R77:R83" si="47">SMALL(J77:M77,1)</f>
        <v>6458972.4100000001</v>
      </c>
      <c r="S77" t="s">
        <v>171</v>
      </c>
      <c r="T77" s="2">
        <v>1020000</v>
      </c>
    </row>
    <row r="78" spans="1:21" x14ac:dyDescent="0.35">
      <c r="A78" t="s">
        <v>154</v>
      </c>
      <c r="B78">
        <v>15</v>
      </c>
      <c r="C78">
        <f>MAX(B78,(_xlfn.CEILING.MATH(ROUNDUP(B78*$D$76*((1-1%)*(1-$B$87)),1),1)))</f>
        <v>58</v>
      </c>
      <c r="D78" s="35">
        <v>4</v>
      </c>
      <c r="E78" s="94"/>
      <c r="F78">
        <f t="shared" si="41"/>
        <v>232</v>
      </c>
      <c r="H78" t="s">
        <v>154</v>
      </c>
      <c r="I78" s="23">
        <f t="shared" si="42"/>
        <v>31000</v>
      </c>
      <c r="J78" s="3">
        <f t="shared" si="43"/>
        <v>7192000</v>
      </c>
      <c r="L78" t="str">
        <f t="shared" si="44"/>
        <v>Sustained Shield Emitter</v>
      </c>
      <c r="M78" s="3">
        <f>'Component BP'!F234</f>
        <v>5663454.3820000002</v>
      </c>
      <c r="O78" t="str">
        <f t="shared" si="45"/>
        <v>Manufacture</v>
      </c>
      <c r="Q78" s="2">
        <f t="shared" si="46"/>
        <v>5663454.3820000002</v>
      </c>
      <c r="R78" s="2">
        <f t="shared" si="47"/>
        <v>5663454.3820000002</v>
      </c>
      <c r="S78" t="s">
        <v>77</v>
      </c>
      <c r="T78" s="4">
        <f>U78*(R86*(D76*D78))</f>
        <v>9970560</v>
      </c>
      <c r="U78" s="26">
        <v>3.5999999999999997E-2</v>
      </c>
    </row>
    <row r="79" spans="1:21" x14ac:dyDescent="0.35">
      <c r="A79" t="s">
        <v>155</v>
      </c>
      <c r="B79">
        <v>30</v>
      </c>
      <c r="C79">
        <f t="shared" ref="C79:C83" si="48">MAX(B79,(_xlfn.CEILING.MATH(ROUNDUP(B79*$D$76*((1-1%)*(1-$B$87)),1),1)))</f>
        <v>116</v>
      </c>
      <c r="E79" s="94"/>
      <c r="F79">
        <f t="shared" si="41"/>
        <v>464</v>
      </c>
      <c r="H79" t="s">
        <v>155</v>
      </c>
      <c r="I79" s="23">
        <f t="shared" si="42"/>
        <v>23950</v>
      </c>
      <c r="J79" s="3">
        <f t="shared" si="43"/>
        <v>11112800</v>
      </c>
      <c r="L79" t="str">
        <f t="shared" si="44"/>
        <v>Magpulse Thruster</v>
      </c>
      <c r="M79" s="3">
        <f>'Component BP'!F239</f>
        <v>10881879.199999999</v>
      </c>
      <c r="O79" t="str">
        <f t="shared" si="45"/>
        <v>Manufacture</v>
      </c>
      <c r="Q79" s="2">
        <f t="shared" si="46"/>
        <v>10881879.199999999</v>
      </c>
      <c r="R79" s="2">
        <f t="shared" si="47"/>
        <v>10881879.199999999</v>
      </c>
      <c r="S79" t="s">
        <v>172</v>
      </c>
      <c r="T79" s="4">
        <f>U79*(R86*(D76*D78))</f>
        <v>0</v>
      </c>
      <c r="U79" s="26">
        <v>0</v>
      </c>
    </row>
    <row r="80" spans="1:21" x14ac:dyDescent="0.35">
      <c r="A80" t="s">
        <v>156</v>
      </c>
      <c r="B80">
        <v>60</v>
      </c>
      <c r="C80">
        <f t="shared" si="48"/>
        <v>231</v>
      </c>
      <c r="E80" s="94"/>
      <c r="F80">
        <f t="shared" si="41"/>
        <v>924</v>
      </c>
      <c r="H80" t="s">
        <v>156</v>
      </c>
      <c r="I80" s="23">
        <f t="shared" si="42"/>
        <v>17990</v>
      </c>
      <c r="J80" s="3">
        <f t="shared" si="43"/>
        <v>16622760</v>
      </c>
      <c r="L80" t="str">
        <f t="shared" si="44"/>
        <v>Gravimetric Sensor Cluster</v>
      </c>
      <c r="M80" s="3">
        <f>'Component BP'!F244</f>
        <v>13598953.422</v>
      </c>
      <c r="O80" t="str">
        <f t="shared" si="45"/>
        <v>Manufacture</v>
      </c>
      <c r="Q80" s="2">
        <f t="shared" si="46"/>
        <v>13598953.422</v>
      </c>
      <c r="R80" s="2">
        <f t="shared" si="47"/>
        <v>13598953.422</v>
      </c>
      <c r="S80" t="s">
        <v>173</v>
      </c>
      <c r="T80" s="4">
        <f>(SUM(Q77:Q83)*0.03)+(R86*0.03)</f>
        <v>6157655.0730300006</v>
      </c>
    </row>
    <row r="81" spans="1:21" x14ac:dyDescent="0.35">
      <c r="A81" t="s">
        <v>157</v>
      </c>
      <c r="B81">
        <v>60</v>
      </c>
      <c r="C81">
        <f t="shared" si="48"/>
        <v>231</v>
      </c>
      <c r="E81" s="94"/>
      <c r="F81">
        <f t="shared" si="41"/>
        <v>924</v>
      </c>
      <c r="H81" t="s">
        <v>157</v>
      </c>
      <c r="I81" s="23">
        <f t="shared" si="42"/>
        <v>36490</v>
      </c>
      <c r="J81" s="3">
        <f t="shared" si="43"/>
        <v>33716760</v>
      </c>
      <c r="L81" t="str">
        <f t="shared" si="44"/>
        <v>Scalar Capacitor Unit</v>
      </c>
      <c r="M81" s="3">
        <f>'Component BP'!F250</f>
        <v>28414611.030000001</v>
      </c>
      <c r="O81" t="str">
        <f t="shared" si="45"/>
        <v>Manufacture</v>
      </c>
      <c r="Q81" s="2">
        <f t="shared" si="46"/>
        <v>28414611.030000001</v>
      </c>
      <c r="R81" s="2">
        <f t="shared" si="47"/>
        <v>28414611.030000001</v>
      </c>
      <c r="T81" s="4">
        <f>SUM(T76:T80)</f>
        <v>23517015.073030002</v>
      </c>
    </row>
    <row r="82" spans="1:21" x14ac:dyDescent="0.35">
      <c r="A82" t="s">
        <v>158</v>
      </c>
      <c r="B82">
        <v>180</v>
      </c>
      <c r="C82">
        <f t="shared" si="48"/>
        <v>692</v>
      </c>
      <c r="E82" s="94"/>
      <c r="F82">
        <f t="shared" si="41"/>
        <v>2768</v>
      </c>
      <c r="H82" t="s">
        <v>158</v>
      </c>
      <c r="I82" s="23">
        <f t="shared" si="42"/>
        <v>40450</v>
      </c>
      <c r="J82" s="3">
        <f t="shared" si="43"/>
        <v>111965600</v>
      </c>
      <c r="L82" t="str">
        <f t="shared" si="44"/>
        <v>Quantum Microprocessor</v>
      </c>
      <c r="M82" s="3">
        <f>'Component BP'!F256</f>
        <v>87953890.398000002</v>
      </c>
      <c r="O82" t="str">
        <f t="shared" si="45"/>
        <v>Manufacture</v>
      </c>
      <c r="Q82" s="2">
        <f t="shared" si="46"/>
        <v>87953890.398000002</v>
      </c>
      <c r="R82" s="2">
        <f t="shared" si="47"/>
        <v>87953890.398000002</v>
      </c>
    </row>
    <row r="83" spans="1:21" x14ac:dyDescent="0.35">
      <c r="A83" t="s">
        <v>159</v>
      </c>
      <c r="B83">
        <v>300</v>
      </c>
      <c r="C83">
        <f t="shared" si="48"/>
        <v>1153</v>
      </c>
      <c r="E83" s="94"/>
      <c r="F83">
        <f t="shared" si="41"/>
        <v>4612</v>
      </c>
      <c r="H83" t="s">
        <v>159</v>
      </c>
      <c r="I83" s="23">
        <f t="shared" si="42"/>
        <v>9650</v>
      </c>
      <c r="J83" s="3">
        <f t="shared" si="43"/>
        <v>44505800</v>
      </c>
      <c r="L83" t="str">
        <f t="shared" si="44"/>
        <v>Titanium Diborite Armor Plate</v>
      </c>
      <c r="M83" s="3">
        <f>'Component BP'!F260</f>
        <v>34973408.258999996</v>
      </c>
      <c r="O83" t="str">
        <f t="shared" si="45"/>
        <v>Manufacture</v>
      </c>
      <c r="Q83" s="2">
        <f t="shared" si="46"/>
        <v>34973408.258999996</v>
      </c>
      <c r="R83" s="2">
        <f t="shared" si="47"/>
        <v>34973408.258999996</v>
      </c>
    </row>
    <row r="85" spans="1:21" x14ac:dyDescent="0.35">
      <c r="A85" t="s">
        <v>43</v>
      </c>
      <c r="B85">
        <v>38</v>
      </c>
      <c r="C85">
        <f>MAX(B85,(_xlfn.CEILING.MATH(ROUNDUP(B85*$D$32*((1-1%)*(1-2%)*(1-$B$72)),1),1)))</f>
        <v>38</v>
      </c>
      <c r="E85" s="5">
        <f>E70</f>
        <v>0</v>
      </c>
      <c r="F85">
        <f>IF(C85-E85&lt;0,0,(C85*$D$78)-E85)</f>
        <v>152</v>
      </c>
      <c r="H85" s="4">
        <f>F85*Pricing!$J$9</f>
        <v>6368800</v>
      </c>
      <c r="L85" s="10" t="s">
        <v>36</v>
      </c>
      <c r="M85" s="3" t="s">
        <v>47</v>
      </c>
      <c r="R85" s="2">
        <f>SMALL(J86:M86,1)+T81</f>
        <v>211462184.17403001</v>
      </c>
    </row>
    <row r="86" spans="1:21" x14ac:dyDescent="0.35">
      <c r="A86" t="s">
        <v>44</v>
      </c>
      <c r="B86">
        <v>30</v>
      </c>
      <c r="C86">
        <f>MAX(B86,(_xlfn.CEILING.MATH(ROUNDUP(B86*$D$32*((1-1%)*(1-2%)*(1-$B$72)),1),1)))</f>
        <v>30</v>
      </c>
      <c r="E86" s="5">
        <f>E71</f>
        <v>0</v>
      </c>
      <c r="F86">
        <f>IF(C86-E86&lt;0,0,(C86*$D$78)-E86)</f>
        <v>120</v>
      </c>
      <c r="J86" s="3">
        <f>SUM(J77:J83)</f>
        <v>233172040</v>
      </c>
      <c r="L86" s="3">
        <f>SUM(M77:M83)</f>
        <v>187945169.10100001</v>
      </c>
      <c r="M86" s="17">
        <f>SUM(R77:R83)</f>
        <v>187945169.10100001</v>
      </c>
      <c r="P86" s="4"/>
      <c r="R86" s="23">
        <f>Pricing!J37</f>
        <v>17310000</v>
      </c>
      <c r="S86" t="str">
        <f>A76</f>
        <v>Manticore Requirements</v>
      </c>
    </row>
    <row r="87" spans="1:21" x14ac:dyDescent="0.35">
      <c r="A87" t="s">
        <v>104</v>
      </c>
      <c r="B87" s="32">
        <v>0.03</v>
      </c>
      <c r="C87" s="11" t="s">
        <v>199</v>
      </c>
      <c r="P87" s="9"/>
      <c r="R87" s="2">
        <f>(R86*(D76*D78))</f>
        <v>276960000</v>
      </c>
      <c r="S87" s="4">
        <f>R87-R85</f>
        <v>65497815.825969994</v>
      </c>
      <c r="T87" t="s">
        <v>45</v>
      </c>
    </row>
    <row r="88" spans="1:21" x14ac:dyDescent="0.35">
      <c r="K88" t="s">
        <v>37</v>
      </c>
      <c r="L88" s="4">
        <f>-1*(M86-J86)</f>
        <v>45226870.898999989</v>
      </c>
      <c r="R88" s="9">
        <f>((R87-R85)/R87)</f>
        <v>0.23648835870150922</v>
      </c>
      <c r="S88" s="9">
        <f>((R87-R85)/R87)</f>
        <v>0.23648835870150922</v>
      </c>
      <c r="T88" t="s">
        <v>45</v>
      </c>
    </row>
    <row r="89" spans="1:21" x14ac:dyDescent="0.35">
      <c r="K89" t="s">
        <v>38</v>
      </c>
      <c r="L89" s="9">
        <f>1-(M86/J86)</f>
        <v>0.19396352538237427</v>
      </c>
      <c r="R89" t="s">
        <v>45</v>
      </c>
      <c r="S89" s="4">
        <f>R85-T78-T79</f>
        <v>201491624.17403001</v>
      </c>
      <c r="T89" t="s">
        <v>297</v>
      </c>
    </row>
    <row r="90" spans="1:21" s="18" customFormat="1" x14ac:dyDescent="0.35">
      <c r="L90" s="20"/>
      <c r="M90" s="19"/>
    </row>
    <row r="91" spans="1:21" x14ac:dyDescent="0.35">
      <c r="A91" t="s">
        <v>286</v>
      </c>
      <c r="C91" s="33" t="s">
        <v>19</v>
      </c>
      <c r="D91" s="36">
        <v>3</v>
      </c>
      <c r="E91" t="s">
        <v>17</v>
      </c>
      <c r="F91" t="s">
        <v>18</v>
      </c>
      <c r="H91" t="s">
        <v>20</v>
      </c>
      <c r="I91" t="s">
        <v>26</v>
      </c>
      <c r="K91" t="s">
        <v>23</v>
      </c>
      <c r="L91" t="s">
        <v>32</v>
      </c>
      <c r="M91" s="8" t="s">
        <v>33</v>
      </c>
      <c r="O91" t="s">
        <v>31</v>
      </c>
      <c r="R91" t="s">
        <v>47</v>
      </c>
      <c r="S91" t="s">
        <v>289</v>
      </c>
      <c r="T91" s="2">
        <f>H100</f>
        <v>628500</v>
      </c>
    </row>
    <row r="92" spans="1:21" x14ac:dyDescent="0.35">
      <c r="A92" t="s">
        <v>153</v>
      </c>
      <c r="B92">
        <v>15</v>
      </c>
      <c r="C92">
        <f t="shared" ref="C92:C98" si="49">MAX(B92,(_xlfn.CEILING.MATH(ROUNDUP(B92*$D$91*((1-1%)*(1-$B$102)),1),1)))</f>
        <v>44</v>
      </c>
      <c r="D92" s="34" t="s">
        <v>97</v>
      </c>
      <c r="E92" s="5"/>
      <c r="F92">
        <f t="shared" ref="F92:F98" si="50">IF(C92-E92&lt;0,0,(C92*$D$93)-E92)</f>
        <v>44</v>
      </c>
      <c r="H92" t="s">
        <v>153</v>
      </c>
      <c r="I92" s="23">
        <f t="shared" ref="I92:I98" si="51">I77</f>
        <v>83920</v>
      </c>
      <c r="J92" s="3">
        <f t="shared" ref="J92:J98" si="52">IF(F92&lt;0,0,(F92*I92))</f>
        <v>3692480</v>
      </c>
      <c r="L92" t="str">
        <f t="shared" ref="L92:L98" si="53">H92</f>
        <v>Graviton Reactor Unit</v>
      </c>
      <c r="M92" s="3">
        <f>'Component BP'!F266</f>
        <v>2960356.372</v>
      </c>
      <c r="O92" t="str">
        <f t="shared" ref="O92:O98" si="54">IF(AND(J92=0,M92=0),"Not Necessary",IF(J92&lt;M92,$H$2,$L$2))</f>
        <v>Manufacture</v>
      </c>
      <c r="Q92" s="2">
        <f t="shared" ref="Q92:Q98" si="55">IF(O92="Manufacture",M92,"")</f>
        <v>2960356.372</v>
      </c>
      <c r="R92" s="2">
        <f t="shared" ref="R92:R98" si="56">SMALL(J92:M92,1)</f>
        <v>2960356.372</v>
      </c>
      <c r="S92" t="s">
        <v>171</v>
      </c>
      <c r="T92" s="2">
        <v>1020000</v>
      </c>
    </row>
    <row r="93" spans="1:21" x14ac:dyDescent="0.35">
      <c r="A93" t="s">
        <v>154</v>
      </c>
      <c r="B93">
        <v>38</v>
      </c>
      <c r="C93">
        <f t="shared" si="49"/>
        <v>110</v>
      </c>
      <c r="D93" s="35">
        <v>1</v>
      </c>
      <c r="E93" s="5"/>
      <c r="F93">
        <f t="shared" si="50"/>
        <v>110</v>
      </c>
      <c r="H93" t="s">
        <v>154</v>
      </c>
      <c r="I93" s="23">
        <f t="shared" si="51"/>
        <v>31000</v>
      </c>
      <c r="J93" s="3">
        <f t="shared" si="52"/>
        <v>3410000</v>
      </c>
      <c r="L93" t="str">
        <f t="shared" si="53"/>
        <v>Sustained Shield Emitter</v>
      </c>
      <c r="M93" s="3">
        <f>'Component BP'!F271</f>
        <v>2685405.8030000003</v>
      </c>
      <c r="O93" t="str">
        <f t="shared" si="54"/>
        <v>Manufacture</v>
      </c>
      <c r="Q93" s="2">
        <f t="shared" si="55"/>
        <v>2685405.8030000003</v>
      </c>
      <c r="R93" s="2">
        <f t="shared" si="56"/>
        <v>2685405.8030000003</v>
      </c>
      <c r="S93" t="s">
        <v>77</v>
      </c>
      <c r="T93" s="4">
        <f>U93*(R101*(D91*D93))</f>
        <v>4127759.9999999995</v>
      </c>
      <c r="U93" s="26">
        <v>3.5999999999999997E-2</v>
      </c>
    </row>
    <row r="94" spans="1:21" x14ac:dyDescent="0.35">
      <c r="A94" t="s">
        <v>155</v>
      </c>
      <c r="B94">
        <v>60</v>
      </c>
      <c r="C94">
        <f t="shared" si="49"/>
        <v>173</v>
      </c>
      <c r="E94" s="5"/>
      <c r="F94">
        <f t="shared" si="50"/>
        <v>173</v>
      </c>
      <c r="H94" t="s">
        <v>155</v>
      </c>
      <c r="I94" s="23">
        <f t="shared" si="51"/>
        <v>23950</v>
      </c>
      <c r="J94" s="3">
        <f t="shared" si="52"/>
        <v>4143350</v>
      </c>
      <c r="L94" t="str">
        <f t="shared" si="53"/>
        <v>Magpulse Thruster</v>
      </c>
      <c r="M94" s="3">
        <f>'Component BP'!F276</f>
        <v>4057821.6</v>
      </c>
      <c r="O94" t="str">
        <f t="shared" si="54"/>
        <v>Manufacture</v>
      </c>
      <c r="Q94" s="2">
        <f t="shared" si="55"/>
        <v>4057821.6</v>
      </c>
      <c r="R94" s="2">
        <f t="shared" si="56"/>
        <v>4057821.6</v>
      </c>
      <c r="S94" t="s">
        <v>172</v>
      </c>
      <c r="T94" s="4">
        <f>U94*(R101*(D91*D93))</f>
        <v>0</v>
      </c>
      <c r="U94" s="26">
        <v>0</v>
      </c>
    </row>
    <row r="95" spans="1:21" x14ac:dyDescent="0.35">
      <c r="A95" t="s">
        <v>156</v>
      </c>
      <c r="B95">
        <v>75</v>
      </c>
      <c r="C95">
        <f t="shared" si="49"/>
        <v>217</v>
      </c>
      <c r="E95" s="5"/>
      <c r="F95">
        <f t="shared" si="50"/>
        <v>217</v>
      </c>
      <c r="H95" t="s">
        <v>156</v>
      </c>
      <c r="I95" s="23">
        <f t="shared" si="51"/>
        <v>17990</v>
      </c>
      <c r="J95" s="3">
        <f t="shared" si="52"/>
        <v>3903830</v>
      </c>
      <c r="L95" t="str">
        <f t="shared" si="53"/>
        <v>Gravimetric Sensor Cluster</v>
      </c>
      <c r="M95" s="3">
        <f>'Component BP'!F281</f>
        <v>3193485.7480000001</v>
      </c>
      <c r="O95" t="str">
        <f t="shared" si="54"/>
        <v>Manufacture</v>
      </c>
      <c r="Q95" s="2">
        <f t="shared" si="55"/>
        <v>3193485.7480000001</v>
      </c>
      <c r="R95" s="2">
        <f t="shared" si="56"/>
        <v>3193485.7480000001</v>
      </c>
      <c r="S95" t="s">
        <v>173</v>
      </c>
      <c r="T95" s="4">
        <f>(SUM(Q92:Q98)*0.03)+(R101*0.03)</f>
        <v>3906028.06176</v>
      </c>
    </row>
    <row r="96" spans="1:21" x14ac:dyDescent="0.35">
      <c r="A96" t="s">
        <v>157</v>
      </c>
      <c r="B96">
        <v>150</v>
      </c>
      <c r="C96">
        <f t="shared" si="49"/>
        <v>433</v>
      </c>
      <c r="E96" s="5"/>
      <c r="F96">
        <f t="shared" si="50"/>
        <v>433</v>
      </c>
      <c r="H96" t="s">
        <v>157</v>
      </c>
      <c r="I96" s="23">
        <f t="shared" si="51"/>
        <v>36490</v>
      </c>
      <c r="J96" s="3">
        <f t="shared" si="52"/>
        <v>15800170</v>
      </c>
      <c r="L96" t="str">
        <f t="shared" si="53"/>
        <v>Scalar Capacitor Unit</v>
      </c>
      <c r="M96" s="3">
        <f>'Component BP'!F287</f>
        <v>13322661.278000001</v>
      </c>
      <c r="O96" t="str">
        <f t="shared" si="54"/>
        <v>Manufacture</v>
      </c>
      <c r="Q96" s="2">
        <f t="shared" si="55"/>
        <v>13322661.278000001</v>
      </c>
      <c r="R96" s="2">
        <f t="shared" si="56"/>
        <v>13322661.278000001</v>
      </c>
      <c r="T96" s="4">
        <f>SUM(T91:T95)</f>
        <v>9682288.0617600009</v>
      </c>
    </row>
    <row r="97" spans="1:21" x14ac:dyDescent="0.35">
      <c r="A97" t="s">
        <v>158</v>
      </c>
      <c r="B97">
        <v>360</v>
      </c>
      <c r="C97">
        <f t="shared" si="49"/>
        <v>1038</v>
      </c>
      <c r="E97" s="5"/>
      <c r="F97">
        <f t="shared" si="50"/>
        <v>1038</v>
      </c>
      <c r="H97" t="s">
        <v>158</v>
      </c>
      <c r="I97" s="23">
        <f t="shared" si="51"/>
        <v>40450</v>
      </c>
      <c r="J97" s="3">
        <f t="shared" si="52"/>
        <v>41987100</v>
      </c>
      <c r="L97" t="str">
        <f t="shared" si="53"/>
        <v>Quantum Microprocessor</v>
      </c>
      <c r="M97" s="3">
        <f>'Component BP'!F293</f>
        <v>32987042.238000002</v>
      </c>
      <c r="O97" t="str">
        <f t="shared" si="54"/>
        <v>Manufacture</v>
      </c>
      <c r="Q97" s="2">
        <f t="shared" si="55"/>
        <v>32987042.238000002</v>
      </c>
      <c r="R97" s="2">
        <f t="shared" si="56"/>
        <v>32987042.238000002</v>
      </c>
    </row>
    <row r="98" spans="1:21" x14ac:dyDescent="0.35">
      <c r="A98" t="s">
        <v>159</v>
      </c>
      <c r="B98">
        <v>1500</v>
      </c>
      <c r="C98">
        <f t="shared" si="49"/>
        <v>4322</v>
      </c>
      <c r="E98" s="5"/>
      <c r="F98">
        <f t="shared" si="50"/>
        <v>4322</v>
      </c>
      <c r="H98" t="s">
        <v>159</v>
      </c>
      <c r="I98" s="23">
        <f t="shared" si="51"/>
        <v>9650</v>
      </c>
      <c r="J98" s="3">
        <f t="shared" si="52"/>
        <v>41707300</v>
      </c>
      <c r="L98" t="str">
        <f t="shared" si="53"/>
        <v>Titanium Diborite Armor Plate</v>
      </c>
      <c r="M98" s="3">
        <f>'Component BP'!F297</f>
        <v>32774162.353000004</v>
      </c>
      <c r="O98" t="str">
        <f t="shared" si="54"/>
        <v>Manufacture</v>
      </c>
      <c r="Q98" s="2">
        <f t="shared" si="55"/>
        <v>32774162.353000004</v>
      </c>
      <c r="R98" s="2">
        <f t="shared" si="56"/>
        <v>32774162.353000004</v>
      </c>
    </row>
    <row r="100" spans="1:21" x14ac:dyDescent="0.35">
      <c r="A100" t="s">
        <v>43</v>
      </c>
      <c r="B100">
        <v>15</v>
      </c>
      <c r="C100">
        <f>MAX(B100,(_xlfn.CEILING.MATH(ROUNDUP(B100*$D$32*((1-1%)*(1-2%)*(1-$B$72)),1),1)))</f>
        <v>15</v>
      </c>
      <c r="E100" s="5">
        <f>E85</f>
        <v>0</v>
      </c>
      <c r="F100">
        <f>IF(C100-E100&lt;0,0,(C100*$D$93)-E100)</f>
        <v>15</v>
      </c>
      <c r="H100" s="4">
        <f>F100*Pricing!$J$9</f>
        <v>628500</v>
      </c>
      <c r="L100" s="10" t="s">
        <v>36</v>
      </c>
      <c r="M100" s="3" t="s">
        <v>47</v>
      </c>
      <c r="R100" s="2">
        <f>SMALL(J101:M101,1)+T96</f>
        <v>101663223.45376</v>
      </c>
    </row>
    <row r="101" spans="1:21" x14ac:dyDescent="0.35">
      <c r="A101" t="s">
        <v>44</v>
      </c>
      <c r="B101">
        <v>30</v>
      </c>
      <c r="C101">
        <f>MAX(B101,(_xlfn.CEILING.MATH(ROUNDUP(B101*$D$32*((1-1%)*(1-2%)*(1-$B$72)),1),1)))</f>
        <v>30</v>
      </c>
      <c r="E101" s="5">
        <f>E86</f>
        <v>0</v>
      </c>
      <c r="F101">
        <f>IF(C101-E101&lt;0,0,(C101*$D$78)-E101)</f>
        <v>120</v>
      </c>
      <c r="J101" s="3">
        <f>SUM(J92:J98)</f>
        <v>114644230</v>
      </c>
      <c r="L101" s="3">
        <f>SUM(M92:M98)</f>
        <v>91980935.392000005</v>
      </c>
      <c r="M101" s="17">
        <f>SUM(R92:R98)</f>
        <v>91980935.392000005</v>
      </c>
      <c r="P101" s="4"/>
      <c r="R101" s="23">
        <f>Pricing!J35</f>
        <v>38220000</v>
      </c>
      <c r="S101" t="str">
        <f>A91</f>
        <v>Flycatcher Requirements</v>
      </c>
    </row>
    <row r="102" spans="1:21" x14ac:dyDescent="0.35">
      <c r="A102" t="s">
        <v>104</v>
      </c>
      <c r="B102" s="32">
        <v>0.03</v>
      </c>
      <c r="C102" s="11" t="s">
        <v>199</v>
      </c>
      <c r="P102" s="9"/>
      <c r="R102" s="2">
        <f>(R101*(D91*D93))</f>
        <v>114660000</v>
      </c>
      <c r="S102" s="4">
        <f>R102-R100</f>
        <v>12996776.546240002</v>
      </c>
      <c r="T102" t="s">
        <v>45</v>
      </c>
    </row>
    <row r="103" spans="1:21" x14ac:dyDescent="0.35">
      <c r="K103" t="s">
        <v>37</v>
      </c>
      <c r="L103" s="4">
        <f>-1*(M101-J101)</f>
        <v>22663294.607999995</v>
      </c>
      <c r="R103" s="9">
        <f>((R102-R100)/R102)</f>
        <v>0.11335057165742196</v>
      </c>
      <c r="S103" s="9">
        <f>((R102-R100)/R102)</f>
        <v>0.11335057165742196</v>
      </c>
      <c r="T103" t="s">
        <v>45</v>
      </c>
    </row>
    <row r="104" spans="1:21" s="6" customFormat="1" x14ac:dyDescent="0.35">
      <c r="A104"/>
      <c r="B104"/>
      <c r="C104"/>
      <c r="D104"/>
      <c r="E104"/>
      <c r="F104"/>
      <c r="G104"/>
      <c r="H104"/>
      <c r="I104"/>
      <c r="J104"/>
      <c r="K104" t="s">
        <v>38</v>
      </c>
      <c r="L104" s="9">
        <f>1-(M101/J101)</f>
        <v>0.19768369160837829</v>
      </c>
      <c r="M104" s="3"/>
      <c r="N104"/>
      <c r="O104"/>
      <c r="P104"/>
      <c r="Q104"/>
      <c r="R104" t="s">
        <v>45</v>
      </c>
      <c r="S104" s="4">
        <f>R100-T93-T94</f>
        <v>97535463.453759998</v>
      </c>
      <c r="T104" t="s">
        <v>297</v>
      </c>
      <c r="U104"/>
    </row>
    <row r="105" spans="1:21" s="18" customFormat="1" x14ac:dyDescent="0.35">
      <c r="L105" s="20"/>
      <c r="M105" s="19"/>
    </row>
    <row r="106" spans="1:21" s="6" customFormat="1" x14ac:dyDescent="0.35">
      <c r="A106" t="s">
        <v>290</v>
      </c>
      <c r="B106"/>
      <c r="C106" s="33" t="s">
        <v>19</v>
      </c>
      <c r="D106" s="36">
        <v>1</v>
      </c>
      <c r="E106" t="s">
        <v>17</v>
      </c>
      <c r="F106" t="s">
        <v>18</v>
      </c>
      <c r="G106"/>
      <c r="H106" t="s">
        <v>20</v>
      </c>
      <c r="I106" t="s">
        <v>26</v>
      </c>
      <c r="J106"/>
      <c r="K106" t="s">
        <v>23</v>
      </c>
      <c r="L106" t="s">
        <v>32</v>
      </c>
      <c r="M106" s="8" t="s">
        <v>33</v>
      </c>
      <c r="N106"/>
      <c r="O106" t="s">
        <v>31</v>
      </c>
      <c r="P106"/>
      <c r="Q106"/>
      <c r="R106" t="s">
        <v>47</v>
      </c>
      <c r="S106" t="s">
        <v>289</v>
      </c>
      <c r="T106" s="2">
        <f>H115</f>
        <v>628500</v>
      </c>
      <c r="U106"/>
    </row>
    <row r="107" spans="1:21" s="6" customFormat="1" x14ac:dyDescent="0.35">
      <c r="A107" t="s">
        <v>153</v>
      </c>
      <c r="B107">
        <v>5</v>
      </c>
      <c r="C107">
        <f t="shared" ref="C107:C113" si="57">MAX(B107,(_xlfn.CEILING.MATH(ROUNDUP(B107*$D$106*((1-1%)*(1-$B$117)),1),1)))</f>
        <v>5</v>
      </c>
      <c r="D107" s="34" t="s">
        <v>97</v>
      </c>
      <c r="E107" s="5">
        <v>0</v>
      </c>
      <c r="F107">
        <f t="shared" ref="F107:F112" si="58">IF(C107-E107&lt;0,0,(C107*$D$108)-E107)</f>
        <v>5</v>
      </c>
      <c r="G107"/>
      <c r="H107" t="s">
        <v>153</v>
      </c>
      <c r="I107" s="23">
        <f t="shared" ref="I107:I113" si="59">I92</f>
        <v>83920</v>
      </c>
      <c r="J107" s="3">
        <f t="shared" ref="J107:J113" si="60">IF(F107&lt;0,0,(F107*I107))</f>
        <v>419600</v>
      </c>
      <c r="K107"/>
      <c r="L107" t="str">
        <f t="shared" ref="L107:L113" si="61">H107</f>
        <v>Graviton Reactor Unit</v>
      </c>
      <c r="M107" s="3">
        <f>'Component BP'!F303</f>
        <v>345952.28</v>
      </c>
      <c r="N107"/>
      <c r="O107" t="str">
        <f t="shared" ref="O107:O113" si="62">IF(AND(J107=0,M107=0),"Not Necessary",IF(J107&lt;M107,$H$2,$L$2))</f>
        <v>Manufacture</v>
      </c>
      <c r="P107"/>
      <c r="Q107" s="2">
        <f t="shared" ref="Q107:Q113" si="63">IF(O107="Manufacture",M107,"")</f>
        <v>345952.28</v>
      </c>
      <c r="R107" s="2">
        <f t="shared" ref="R107:R113" si="64">SMALL(J107:M107,1)</f>
        <v>345952.28</v>
      </c>
      <c r="S107" t="s">
        <v>171</v>
      </c>
      <c r="T107" s="2">
        <v>1020000</v>
      </c>
      <c r="U107"/>
    </row>
    <row r="108" spans="1:21" s="6" customFormat="1" x14ac:dyDescent="0.35">
      <c r="A108" t="s">
        <v>154</v>
      </c>
      <c r="B108">
        <v>23</v>
      </c>
      <c r="C108">
        <f t="shared" si="57"/>
        <v>23</v>
      </c>
      <c r="D108" s="35">
        <v>1</v>
      </c>
      <c r="E108" s="5">
        <v>0</v>
      </c>
      <c r="F108">
        <f t="shared" si="58"/>
        <v>23</v>
      </c>
      <c r="G108"/>
      <c r="H108" t="s">
        <v>154</v>
      </c>
      <c r="I108" s="23">
        <f t="shared" si="59"/>
        <v>31000</v>
      </c>
      <c r="J108" s="3">
        <f t="shared" si="60"/>
        <v>713000</v>
      </c>
      <c r="K108"/>
      <c r="L108" t="str">
        <f t="shared" si="61"/>
        <v>Sustained Shield Emitter</v>
      </c>
      <c r="M108" s="3">
        <f>'Component BP'!F308</f>
        <v>561520.67099999997</v>
      </c>
      <c r="N108"/>
      <c r="O108" t="str">
        <f t="shared" si="62"/>
        <v>Manufacture</v>
      </c>
      <c r="P108"/>
      <c r="Q108" s="2">
        <f t="shared" si="63"/>
        <v>561520.67099999997</v>
      </c>
      <c r="R108" s="2">
        <f t="shared" si="64"/>
        <v>561520.67099999997</v>
      </c>
      <c r="S108" t="s">
        <v>77</v>
      </c>
      <c r="T108" s="4">
        <f>U108*(R116*(D106*D108))</f>
        <v>551880</v>
      </c>
      <c r="U108" s="26">
        <v>3.5999999999999997E-2</v>
      </c>
    </row>
    <row r="109" spans="1:21" s="6" customFormat="1" x14ac:dyDescent="0.35">
      <c r="A109" t="s">
        <v>155</v>
      </c>
      <c r="B109">
        <v>45</v>
      </c>
      <c r="C109">
        <f t="shared" si="57"/>
        <v>45</v>
      </c>
      <c r="D109"/>
      <c r="E109" s="5">
        <v>0</v>
      </c>
      <c r="F109">
        <f t="shared" si="58"/>
        <v>45</v>
      </c>
      <c r="G109"/>
      <c r="H109" t="s">
        <v>155</v>
      </c>
      <c r="I109" s="23">
        <f t="shared" si="59"/>
        <v>23950</v>
      </c>
      <c r="J109" s="3">
        <f t="shared" si="60"/>
        <v>1077750</v>
      </c>
      <c r="K109"/>
      <c r="L109" t="str">
        <f t="shared" si="61"/>
        <v>Magpulse Thruster</v>
      </c>
      <c r="M109" s="3">
        <f>'Component BP'!F313</f>
        <v>1055433.3999999999</v>
      </c>
      <c r="N109"/>
      <c r="O109" t="str">
        <f t="shared" si="62"/>
        <v>Manufacture</v>
      </c>
      <c r="P109"/>
      <c r="Q109" s="2">
        <f t="shared" si="63"/>
        <v>1055433.3999999999</v>
      </c>
      <c r="R109" s="2">
        <f t="shared" si="64"/>
        <v>1055433.3999999999</v>
      </c>
      <c r="S109" t="s">
        <v>172</v>
      </c>
      <c r="T109" s="4">
        <f>U109*(R116*(D106*D108))</f>
        <v>0</v>
      </c>
      <c r="U109" s="26">
        <v>0</v>
      </c>
    </row>
    <row r="110" spans="1:21" s="6" customFormat="1" x14ac:dyDescent="0.35">
      <c r="A110" t="s">
        <v>156</v>
      </c>
      <c r="B110">
        <v>30</v>
      </c>
      <c r="C110">
        <f t="shared" si="57"/>
        <v>30</v>
      </c>
      <c r="D110"/>
      <c r="E110" s="5">
        <v>0</v>
      </c>
      <c r="F110">
        <f t="shared" si="58"/>
        <v>30</v>
      </c>
      <c r="G110"/>
      <c r="H110" t="s">
        <v>156</v>
      </c>
      <c r="I110" s="23">
        <f t="shared" si="59"/>
        <v>17990</v>
      </c>
      <c r="J110" s="3">
        <f t="shared" si="60"/>
        <v>539700</v>
      </c>
      <c r="K110"/>
      <c r="L110" t="str">
        <f t="shared" si="61"/>
        <v>Gravimetric Sensor Cluster</v>
      </c>
      <c r="M110" s="3">
        <f>'Component BP'!F318</f>
        <v>444738.34399999998</v>
      </c>
      <c r="N110"/>
      <c r="O110" t="str">
        <f t="shared" si="62"/>
        <v>Manufacture</v>
      </c>
      <c r="P110"/>
      <c r="Q110" s="2">
        <f t="shared" si="63"/>
        <v>444738.34399999998</v>
      </c>
      <c r="R110" s="2">
        <f t="shared" si="64"/>
        <v>444738.34399999998</v>
      </c>
      <c r="S110" t="s">
        <v>173</v>
      </c>
      <c r="T110" s="4">
        <f>(SUM(Q107:Q113)*0.03)+(R116*0.03)</f>
        <v>818292.16128</v>
      </c>
      <c r="U110"/>
    </row>
    <row r="111" spans="1:21" s="6" customFormat="1" x14ac:dyDescent="0.35">
      <c r="A111" t="s">
        <v>157</v>
      </c>
      <c r="B111">
        <v>75</v>
      </c>
      <c r="C111">
        <f t="shared" si="57"/>
        <v>75</v>
      </c>
      <c r="D111"/>
      <c r="E111" s="5">
        <v>0</v>
      </c>
      <c r="F111">
        <f t="shared" si="58"/>
        <v>75</v>
      </c>
      <c r="G111"/>
      <c r="H111" t="s">
        <v>157</v>
      </c>
      <c r="I111" s="23">
        <f t="shared" si="59"/>
        <v>36490</v>
      </c>
      <c r="J111" s="3">
        <f t="shared" si="60"/>
        <v>2736750</v>
      </c>
      <c r="K111"/>
      <c r="L111" t="str">
        <f t="shared" si="61"/>
        <v>Scalar Capacitor Unit</v>
      </c>
      <c r="M111" s="3">
        <f>'Component BP'!F324</f>
        <v>2306695.9180000001</v>
      </c>
      <c r="N111"/>
      <c r="O111" t="str">
        <f t="shared" si="62"/>
        <v>Manufacture</v>
      </c>
      <c r="P111"/>
      <c r="Q111" s="2">
        <f t="shared" si="63"/>
        <v>2306695.9180000001</v>
      </c>
      <c r="R111" s="2">
        <f t="shared" si="64"/>
        <v>2306695.9180000001</v>
      </c>
      <c r="S111"/>
      <c r="T111" s="4">
        <f>SUM(T106:T110)</f>
        <v>3018672.1612800001</v>
      </c>
      <c r="U111"/>
    </row>
    <row r="112" spans="1:21" s="6" customFormat="1" x14ac:dyDescent="0.35">
      <c r="A112" t="s">
        <v>158</v>
      </c>
      <c r="B112">
        <v>120</v>
      </c>
      <c r="C112">
        <f t="shared" si="57"/>
        <v>120</v>
      </c>
      <c r="D112"/>
      <c r="E112" s="5">
        <v>0</v>
      </c>
      <c r="F112">
        <f t="shared" si="58"/>
        <v>120</v>
      </c>
      <c r="G112"/>
      <c r="H112" t="s">
        <v>158</v>
      </c>
      <c r="I112" s="23">
        <f t="shared" si="59"/>
        <v>40450</v>
      </c>
      <c r="J112" s="3">
        <f t="shared" si="60"/>
        <v>4854000</v>
      </c>
      <c r="K112"/>
      <c r="L112" t="str">
        <f t="shared" si="61"/>
        <v>Quantum Microprocessor</v>
      </c>
      <c r="M112" s="3">
        <f>'Component BP'!F330</f>
        <v>3819508.6239999998</v>
      </c>
      <c r="N112"/>
      <c r="O112" t="str">
        <f t="shared" si="62"/>
        <v>Manufacture</v>
      </c>
      <c r="P112"/>
      <c r="Q112" s="2">
        <f t="shared" si="63"/>
        <v>3819508.6239999998</v>
      </c>
      <c r="R112" s="2">
        <f t="shared" si="64"/>
        <v>3819508.6239999998</v>
      </c>
      <c r="S112"/>
      <c r="T112"/>
      <c r="U112"/>
    </row>
    <row r="113" spans="1:21" s="6" customFormat="1" x14ac:dyDescent="0.35">
      <c r="A113" t="s">
        <v>159</v>
      </c>
      <c r="B113">
        <v>450</v>
      </c>
      <c r="C113">
        <f t="shared" si="57"/>
        <v>450</v>
      </c>
      <c r="D113"/>
      <c r="E113" s="5">
        <v>0</v>
      </c>
      <c r="F113">
        <f>IF(C113-E113&lt;0,0,(C113*D108)-E113)</f>
        <v>450</v>
      </c>
      <c r="G113"/>
      <c r="H113" t="s">
        <v>159</v>
      </c>
      <c r="I113" s="23">
        <f t="shared" si="59"/>
        <v>9650</v>
      </c>
      <c r="J113" s="3">
        <f t="shared" si="60"/>
        <v>4342500</v>
      </c>
      <c r="K113"/>
      <c r="L113" t="str">
        <f t="shared" si="61"/>
        <v>Titanium Diborite Armor Plate</v>
      </c>
      <c r="M113" s="3">
        <f>'Component BP'!F334</f>
        <v>3412556.1390000004</v>
      </c>
      <c r="N113"/>
      <c r="O113" t="str">
        <f t="shared" si="62"/>
        <v>Manufacture</v>
      </c>
      <c r="P113"/>
      <c r="Q113" s="2">
        <f t="shared" si="63"/>
        <v>3412556.1390000004</v>
      </c>
      <c r="R113" s="2">
        <f t="shared" si="64"/>
        <v>3412556.1390000004</v>
      </c>
      <c r="S113"/>
      <c r="T113"/>
      <c r="U113"/>
    </row>
    <row r="114" spans="1:21" s="6" customForma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 s="3"/>
      <c r="N114"/>
      <c r="O114"/>
      <c r="P114"/>
      <c r="Q114"/>
      <c r="R114"/>
      <c r="S114"/>
      <c r="T114"/>
      <c r="U114"/>
    </row>
    <row r="115" spans="1:21" s="6" customFormat="1" x14ac:dyDescent="0.35">
      <c r="A115" t="s">
        <v>43</v>
      </c>
      <c r="B115">
        <v>15</v>
      </c>
      <c r="C115">
        <f>MAX(B115,(_xlfn.CEILING.MATH(ROUNDUP(B115*$D$32*((1-1%)*(1-2%)*(1-$B$72)),1),1)))</f>
        <v>15</v>
      </c>
      <c r="D115"/>
      <c r="E115" s="5">
        <f>E100</f>
        <v>0</v>
      </c>
      <c r="F115">
        <f>IF(C115-E115&lt;0,0,(C115*$D$108)-E115)</f>
        <v>15</v>
      </c>
      <c r="G115"/>
      <c r="H115" s="4">
        <f>F115*Pricing!$J$9</f>
        <v>628500</v>
      </c>
      <c r="I115"/>
      <c r="J115"/>
      <c r="K115"/>
      <c r="L115" s="10" t="s">
        <v>36</v>
      </c>
      <c r="M115" s="3" t="s">
        <v>47</v>
      </c>
      <c r="N115"/>
      <c r="O115"/>
      <c r="P115"/>
      <c r="Q115"/>
      <c r="R115" s="2">
        <f>SMALL(J116:M116,1)+T111</f>
        <v>14965077.537280001</v>
      </c>
      <c r="S115"/>
      <c r="T115"/>
      <c r="U115"/>
    </row>
    <row r="116" spans="1:21" s="6" customFormat="1" x14ac:dyDescent="0.35">
      <c r="A116" t="s">
        <v>44</v>
      </c>
      <c r="B116">
        <v>30</v>
      </c>
      <c r="C116">
        <f>MAX(B116,(_xlfn.CEILING.MATH(ROUNDUP(B116*$D$32*((1-1%)*(1-2%)*(1-$B$72)),1),1)))</f>
        <v>30</v>
      </c>
      <c r="D116"/>
      <c r="E116" s="5">
        <f>E101</f>
        <v>0</v>
      </c>
      <c r="F116">
        <f>IF(C116-E116&lt;0,0,(C116*$D$78)-E116)</f>
        <v>120</v>
      </c>
      <c r="G116"/>
      <c r="H116"/>
      <c r="I116"/>
      <c r="J116" s="3">
        <f>SUM(J107:J113)</f>
        <v>14683300</v>
      </c>
      <c r="K116"/>
      <c r="L116" s="3">
        <f>SUM(M107:M113)</f>
        <v>11946405.376</v>
      </c>
      <c r="M116" s="17">
        <f>SUM(R107:R113)</f>
        <v>11946405.376</v>
      </c>
      <c r="N116"/>
      <c r="O116"/>
      <c r="P116" s="4"/>
      <c r="Q116"/>
      <c r="R116" s="23">
        <f>Pricing!J38</f>
        <v>15330000</v>
      </c>
      <c r="S116" t="str">
        <f>A106</f>
        <v>Raptor Requirements</v>
      </c>
      <c r="T116"/>
      <c r="U116"/>
    </row>
    <row r="117" spans="1:21" s="6" customFormat="1" x14ac:dyDescent="0.35">
      <c r="A117" t="s">
        <v>104</v>
      </c>
      <c r="B117" s="32">
        <v>0.03</v>
      </c>
      <c r="C117" s="11" t="s">
        <v>199</v>
      </c>
      <c r="D117"/>
      <c r="E117"/>
      <c r="F117"/>
      <c r="G117"/>
      <c r="H117"/>
      <c r="I117"/>
      <c r="J117"/>
      <c r="K117"/>
      <c r="L117"/>
      <c r="M117" s="3"/>
      <c r="N117"/>
      <c r="O117"/>
      <c r="P117" s="9"/>
      <c r="Q117"/>
      <c r="R117" s="2">
        <f>(R116*(D106*D108))</f>
        <v>15330000</v>
      </c>
      <c r="S117" s="4">
        <f>R117-R115</f>
        <v>364922.46271999925</v>
      </c>
      <c r="T117" t="s">
        <v>45</v>
      </c>
      <c r="U117"/>
    </row>
    <row r="118" spans="1:21" s="6" customFormat="1" x14ac:dyDescent="0.35">
      <c r="A118"/>
      <c r="B118"/>
      <c r="C118"/>
      <c r="D118"/>
      <c r="E118"/>
      <c r="F118"/>
      <c r="G118"/>
      <c r="H118"/>
      <c r="I118"/>
      <c r="J118"/>
      <c r="K118" t="s">
        <v>37</v>
      </c>
      <c r="L118" s="4">
        <f>-1*(M116-J116)</f>
        <v>2736894.6239999998</v>
      </c>
      <c r="M118" s="3"/>
      <c r="N118"/>
      <c r="O118"/>
      <c r="P118"/>
      <c r="Q118"/>
      <c r="R118" s="9">
        <f>((R117-R115)/R117)</f>
        <v>2.3804465930854484E-2</v>
      </c>
      <c r="S118" s="9">
        <f>((R117-R115)/R117)</f>
        <v>2.3804465930854484E-2</v>
      </c>
      <c r="T118" t="s">
        <v>45</v>
      </c>
      <c r="U118"/>
    </row>
    <row r="119" spans="1:21" s="6" customFormat="1" x14ac:dyDescent="0.35">
      <c r="A119"/>
      <c r="B119"/>
      <c r="C119"/>
      <c r="D119"/>
      <c r="E119"/>
      <c r="F119"/>
      <c r="G119"/>
      <c r="H119"/>
      <c r="I119"/>
      <c r="J119"/>
      <c r="K119" t="s">
        <v>38</v>
      </c>
      <c r="L119" s="9">
        <f>1-(M116/J116)</f>
        <v>0.18639506269026718</v>
      </c>
      <c r="M119" s="3"/>
      <c r="N119"/>
      <c r="O119"/>
      <c r="P119"/>
      <c r="Q119"/>
      <c r="R119" t="s">
        <v>45</v>
      </c>
      <c r="S119" s="4">
        <f>R115-T108-T109</f>
        <v>14413197.537280001</v>
      </c>
      <c r="T119" t="s">
        <v>297</v>
      </c>
      <c r="U119"/>
    </row>
    <row r="120" spans="1:21" s="18" customFormat="1" x14ac:dyDescent="0.35">
      <c r="A120" s="58" t="s">
        <v>182</v>
      </c>
      <c r="L120" s="20"/>
      <c r="M120" s="19"/>
    </row>
    <row r="121" spans="1:21" x14ac:dyDescent="0.35">
      <c r="A121" t="s">
        <v>174</v>
      </c>
      <c r="C121" s="33" t="s">
        <v>19</v>
      </c>
      <c r="D121" s="36">
        <v>2</v>
      </c>
      <c r="E121" t="s">
        <v>17</v>
      </c>
      <c r="F121" t="s">
        <v>18</v>
      </c>
      <c r="H121" t="s">
        <v>20</v>
      </c>
      <c r="I121" t="s">
        <v>26</v>
      </c>
      <c r="K121" t="s">
        <v>23</v>
      </c>
      <c r="L121" t="s">
        <v>32</v>
      </c>
      <c r="M121" s="8" t="s">
        <v>33</v>
      </c>
      <c r="O121" t="s">
        <v>31</v>
      </c>
      <c r="R121" t="s">
        <v>47</v>
      </c>
      <c r="S121" t="s">
        <v>289</v>
      </c>
      <c r="T121" s="2">
        <f>H130</f>
        <v>1215100</v>
      </c>
    </row>
    <row r="122" spans="1:21" x14ac:dyDescent="0.35">
      <c r="A122" t="s">
        <v>175</v>
      </c>
      <c r="B122">
        <v>60</v>
      </c>
      <c r="C122">
        <f>MAX(B122,(_xlfn.CEILING.MATH(ROUNDUP(B122*$D$121*((1-1%)*(1-$B$132)),1),1)))</f>
        <v>116</v>
      </c>
      <c r="D122" s="34" t="s">
        <v>97</v>
      </c>
      <c r="E122" s="5">
        <v>0</v>
      </c>
      <c r="F122">
        <f>IF(C122-E122&lt;0,0,(C122*$D$123)-E122)</f>
        <v>116</v>
      </c>
      <c r="H122" t="s">
        <v>175</v>
      </c>
      <c r="I122" s="23">
        <f>Pricing!$B$20</f>
        <v>30140</v>
      </c>
      <c r="J122" s="3">
        <f>IF(F122&lt;0,0,(F122*I122))</f>
        <v>3496240</v>
      </c>
      <c r="L122" t="str">
        <f t="shared" ref="L122:L128" si="65">H122</f>
        <v>Plasma Thruster</v>
      </c>
      <c r="M122" s="3">
        <f>'Component BP'!F405</f>
        <v>2749180.0039999997</v>
      </c>
      <c r="O122" t="str">
        <f t="shared" ref="O122:O128" si="66">IF(AND(J122=0,M122=0),"Not Necessary",IF(J122&lt;M122,$H$2,$L$2))</f>
        <v>Manufacture</v>
      </c>
      <c r="Q122" s="2">
        <f>IF(O122="Manufacture",M122,"")</f>
        <v>2749180.0039999997</v>
      </c>
      <c r="R122" s="2">
        <f t="shared" ref="R122:R128" si="67">IF(O122="Jita Buy Price",J122,IF(O122="Manufacture",M122,""))</f>
        <v>2749180.0039999997</v>
      </c>
      <c r="S122" t="s">
        <v>171</v>
      </c>
      <c r="T122" s="2">
        <v>1020000</v>
      </c>
    </row>
    <row r="123" spans="1:21" x14ac:dyDescent="0.35">
      <c r="A123" t="s">
        <v>176</v>
      </c>
      <c r="B123">
        <v>360</v>
      </c>
      <c r="C123">
        <f t="shared" ref="C123:C128" si="68">MAX(B123,(_xlfn.CEILING.MATH(ROUNDUP(B123*$D$121*((1-1%)*(1-$B$132)),1),1)))</f>
        <v>692</v>
      </c>
      <c r="D123" s="35">
        <v>1</v>
      </c>
      <c r="E123" s="5">
        <v>0</v>
      </c>
      <c r="F123">
        <f t="shared" ref="F123:F131" si="69">IF(C123-E123&lt;0,0,(C123*$D$123)-E123)</f>
        <v>692</v>
      </c>
      <c r="H123" t="s">
        <v>176</v>
      </c>
      <c r="I123" s="23">
        <f>Pricing!$B$21</f>
        <v>36610</v>
      </c>
      <c r="J123" s="3">
        <f t="shared" ref="J123:J128" si="70">IF(F123&lt;0,0,(F123*I123))</f>
        <v>25334120</v>
      </c>
      <c r="L123" t="str">
        <f t="shared" si="65"/>
        <v>Nanomechanical Microprocessor</v>
      </c>
      <c r="M123" s="3">
        <f>'Component BP'!F411</f>
        <v>18765766.318000004</v>
      </c>
      <c r="O123" t="str">
        <f t="shared" si="66"/>
        <v>Manufacture</v>
      </c>
      <c r="Q123" s="2">
        <f t="shared" ref="Q123:Q128" si="71">IF(O123="Manufacture",M123,"")</f>
        <v>18765766.318000004</v>
      </c>
      <c r="R123" s="2">
        <f t="shared" si="67"/>
        <v>18765766.318000004</v>
      </c>
      <c r="S123" t="s">
        <v>77</v>
      </c>
      <c r="T123" s="4">
        <f>U123*(R131*(D121*D123))</f>
        <v>2601360</v>
      </c>
      <c r="U123" s="26">
        <v>3.5999999999999997E-2</v>
      </c>
    </row>
    <row r="124" spans="1:21" x14ac:dyDescent="0.35">
      <c r="A124" t="s">
        <v>177</v>
      </c>
      <c r="B124">
        <v>1500</v>
      </c>
      <c r="C124">
        <f t="shared" si="68"/>
        <v>2881</v>
      </c>
      <c r="E124" s="5">
        <v>0</v>
      </c>
      <c r="F124">
        <f t="shared" si="69"/>
        <v>2881</v>
      </c>
      <c r="H124" t="s">
        <v>177</v>
      </c>
      <c r="I124" s="23">
        <f>Pricing!$B$22</f>
        <v>7474</v>
      </c>
      <c r="J124" s="3">
        <f t="shared" si="70"/>
        <v>21532594</v>
      </c>
      <c r="L124" t="str">
        <f t="shared" si="65"/>
        <v>Fernite Carbide Composite AP</v>
      </c>
      <c r="M124" s="3">
        <f>'Component BP'!F415</f>
        <v>38523519.456000008</v>
      </c>
      <c r="O124" t="str">
        <f t="shared" si="66"/>
        <v>Jita Buy Price</v>
      </c>
      <c r="Q124" s="2" t="str">
        <f t="shared" si="71"/>
        <v/>
      </c>
      <c r="R124" s="2">
        <f t="shared" si="67"/>
        <v>21532594</v>
      </c>
      <c r="S124" t="s">
        <v>172</v>
      </c>
      <c r="T124" s="4">
        <f>U124*(R131*(D121*D123))</f>
        <v>0</v>
      </c>
      <c r="U124" s="26">
        <v>0</v>
      </c>
    </row>
    <row r="125" spans="1:21" x14ac:dyDescent="0.35">
      <c r="A125" t="s">
        <v>178</v>
      </c>
      <c r="B125">
        <v>75</v>
      </c>
      <c r="C125">
        <f t="shared" si="68"/>
        <v>145</v>
      </c>
      <c r="E125" s="5">
        <v>0</v>
      </c>
      <c r="F125">
        <f t="shared" si="69"/>
        <v>145</v>
      </c>
      <c r="H125" t="s">
        <v>178</v>
      </c>
      <c r="I125" s="23">
        <f>Pricing!$B$23</f>
        <v>17400</v>
      </c>
      <c r="J125" s="3">
        <f t="shared" si="70"/>
        <v>2523000</v>
      </c>
      <c r="L125" t="str">
        <f t="shared" si="65"/>
        <v>Ladar Sensor Cluster</v>
      </c>
      <c r="M125" s="3">
        <f>'Component BP'!F420</f>
        <v>2025940.372</v>
      </c>
      <c r="O125" t="str">
        <f t="shared" si="66"/>
        <v>Manufacture</v>
      </c>
      <c r="Q125" s="2">
        <f t="shared" si="71"/>
        <v>2025940.372</v>
      </c>
      <c r="R125" s="2">
        <f t="shared" si="67"/>
        <v>2025940.372</v>
      </c>
      <c r="S125" t="s">
        <v>173</v>
      </c>
      <c r="T125" s="4">
        <f>(SUM(Q122:Q128)*0.03)+(R131*0.03)</f>
        <v>2106513.51774</v>
      </c>
    </row>
    <row r="126" spans="1:21" x14ac:dyDescent="0.35">
      <c r="A126" t="s">
        <v>179</v>
      </c>
      <c r="B126">
        <v>38</v>
      </c>
      <c r="C126">
        <f t="shared" si="68"/>
        <v>73</v>
      </c>
      <c r="E126" s="5">
        <v>0</v>
      </c>
      <c r="F126">
        <f t="shared" si="69"/>
        <v>73</v>
      </c>
      <c r="H126" t="s">
        <v>179</v>
      </c>
      <c r="I126" s="23">
        <f>Pricing!$B$24</f>
        <v>27430</v>
      </c>
      <c r="J126" s="3">
        <f t="shared" si="70"/>
        <v>2002390</v>
      </c>
      <c r="L126" t="str">
        <f t="shared" si="65"/>
        <v>Deflection Shield Emitter</v>
      </c>
      <c r="M126" s="3">
        <f>'Component BP'!F425</f>
        <v>2163928.236</v>
      </c>
      <c r="O126" t="str">
        <f t="shared" si="66"/>
        <v>Jita Buy Price</v>
      </c>
      <c r="Q126" s="2" t="str">
        <f t="shared" si="71"/>
        <v/>
      </c>
      <c r="R126" s="2">
        <f t="shared" si="67"/>
        <v>2002390</v>
      </c>
      <c r="T126" s="4">
        <f>SUM(T121:T125)</f>
        <v>6942973.51774</v>
      </c>
    </row>
    <row r="127" spans="1:21" x14ac:dyDescent="0.35">
      <c r="A127" t="s">
        <v>180</v>
      </c>
      <c r="B127">
        <v>15</v>
      </c>
      <c r="C127">
        <f t="shared" si="68"/>
        <v>29</v>
      </c>
      <c r="E127" s="5">
        <v>0</v>
      </c>
      <c r="F127">
        <f t="shared" si="69"/>
        <v>29</v>
      </c>
      <c r="H127" t="s">
        <v>180</v>
      </c>
      <c r="I127" s="23">
        <f>Pricing!$B$25</f>
        <v>73490</v>
      </c>
      <c r="J127" s="3">
        <f t="shared" si="70"/>
        <v>2131210</v>
      </c>
      <c r="L127" t="str">
        <f t="shared" si="65"/>
        <v>Nuclear Reactor Unit</v>
      </c>
      <c r="M127" s="3">
        <f>'Component BP'!F429</f>
        <v>1951428.936</v>
      </c>
      <c r="O127" t="str">
        <f t="shared" si="66"/>
        <v>Manufacture</v>
      </c>
      <c r="Q127" s="2">
        <f t="shared" si="71"/>
        <v>1951428.936</v>
      </c>
      <c r="R127" s="2">
        <f t="shared" si="67"/>
        <v>1951428.936</v>
      </c>
    </row>
    <row r="128" spans="1:21" x14ac:dyDescent="0.35">
      <c r="A128" t="s">
        <v>181</v>
      </c>
      <c r="B128">
        <v>150</v>
      </c>
      <c r="C128">
        <f t="shared" si="68"/>
        <v>289</v>
      </c>
      <c r="E128" s="5">
        <v>0</v>
      </c>
      <c r="F128">
        <f t="shared" si="69"/>
        <v>289</v>
      </c>
      <c r="H128" t="s">
        <v>181</v>
      </c>
      <c r="I128" s="23">
        <f>Pricing!$B$26</f>
        <v>35750</v>
      </c>
      <c r="J128" s="3">
        <f t="shared" si="70"/>
        <v>10331750</v>
      </c>
      <c r="L128" t="str">
        <f t="shared" si="65"/>
        <v>Electrolytic Capacitor Unit</v>
      </c>
      <c r="M128" s="3">
        <f>'Component BP'!F435</f>
        <v>8594801.6280000005</v>
      </c>
      <c r="O128" t="str">
        <f t="shared" si="66"/>
        <v>Manufacture</v>
      </c>
      <c r="Q128" s="2">
        <f t="shared" si="71"/>
        <v>8594801.6280000005</v>
      </c>
      <c r="R128" s="2">
        <f t="shared" si="67"/>
        <v>8594801.6280000005</v>
      </c>
    </row>
    <row r="130" spans="1:21" x14ac:dyDescent="0.35">
      <c r="A130" t="s">
        <v>43</v>
      </c>
      <c r="B130">
        <v>15</v>
      </c>
      <c r="C130">
        <f>MAX(B130,(_xlfn.CEILING.MATH(ROUNDUP(B130*$D$121*((1-1%)*(1-2%)*(1-$B$132)),1),1)))</f>
        <v>29</v>
      </c>
      <c r="E130" s="5">
        <f>E85</f>
        <v>0</v>
      </c>
      <c r="F130">
        <f>IF(C130-E130&lt;0,0,(C130*D123)-E130)</f>
        <v>29</v>
      </c>
      <c r="H130" s="4">
        <f>F130*Pricing!$J$9</f>
        <v>1215100</v>
      </c>
      <c r="L130" s="10" t="s">
        <v>36</v>
      </c>
      <c r="M130" s="3" t="s">
        <v>47</v>
      </c>
      <c r="R130" s="2">
        <f>SMALL(J131:M131,1)+T126</f>
        <v>64565074.775739998</v>
      </c>
    </row>
    <row r="131" spans="1:21" x14ac:dyDescent="0.35">
      <c r="A131" t="s">
        <v>44</v>
      </c>
      <c r="B131">
        <v>23</v>
      </c>
      <c r="C131">
        <f>MAX(B131,(_xlfn.CEILING.MATH(ROUNDUP(B131*$D$121*((1-1%)*(1-2%)*(1-$B$132)),1),1)))</f>
        <v>44</v>
      </c>
      <c r="E131" s="5">
        <f>E86</f>
        <v>0</v>
      </c>
      <c r="F131">
        <f t="shared" si="69"/>
        <v>44</v>
      </c>
      <c r="J131" s="3">
        <f>SUM(J122:J128)</f>
        <v>67351304</v>
      </c>
      <c r="L131" s="3">
        <f>SUM(M122:M128)</f>
        <v>74774564.950000018</v>
      </c>
      <c r="M131" s="17">
        <f>SUM(R122:R128)</f>
        <v>57622101.258000001</v>
      </c>
      <c r="P131" s="4"/>
      <c r="R131" s="23">
        <f>Pricing!J39</f>
        <v>36130000</v>
      </c>
      <c r="S131" t="str">
        <f>A121</f>
        <v>Sabre Requirements</v>
      </c>
    </row>
    <row r="132" spans="1:21" x14ac:dyDescent="0.35">
      <c r="A132" t="s">
        <v>104</v>
      </c>
      <c r="B132" s="32">
        <v>0.03</v>
      </c>
      <c r="C132" s="11" t="s">
        <v>199</v>
      </c>
      <c r="K132" t="s">
        <v>38</v>
      </c>
      <c r="L132" s="9">
        <f>1-(M131/J131)</f>
        <v>0.14445455639581972</v>
      </c>
      <c r="P132" s="9"/>
      <c r="R132" s="2">
        <f>(R131*(D121*D123))</f>
        <v>72260000</v>
      </c>
      <c r="S132" s="4">
        <f>R132-R130</f>
        <v>7694925.2242600024</v>
      </c>
      <c r="T132" t="s">
        <v>45</v>
      </c>
    </row>
    <row r="133" spans="1:21" x14ac:dyDescent="0.35">
      <c r="B133" s="66"/>
      <c r="C133" s="11"/>
      <c r="L133" s="9"/>
      <c r="P133" s="9"/>
      <c r="R133" s="2"/>
      <c r="S133" s="9">
        <f>((R132-R130)/R132)</f>
        <v>0.10648941633351788</v>
      </c>
      <c r="T133" t="s">
        <v>45</v>
      </c>
    </row>
    <row r="134" spans="1:21" x14ac:dyDescent="0.35">
      <c r="B134" s="66"/>
      <c r="C134" s="11"/>
      <c r="L134" s="9"/>
      <c r="P134" s="9"/>
      <c r="R134" s="2"/>
      <c r="S134" s="4">
        <f>R130-T123-T124</f>
        <v>61963714.775739998</v>
      </c>
      <c r="T134" t="s">
        <v>297</v>
      </c>
    </row>
    <row r="135" spans="1:21" s="18" customFormat="1" x14ac:dyDescent="0.35">
      <c r="B135" s="67"/>
      <c r="C135" s="63"/>
      <c r="L135" s="20"/>
      <c r="M135" s="19"/>
      <c r="P135" s="20"/>
      <c r="R135" s="31"/>
      <c r="S135" s="64"/>
    </row>
    <row r="136" spans="1:21" s="6" customFormat="1" x14ac:dyDescent="0.35">
      <c r="A136" t="s">
        <v>366</v>
      </c>
      <c r="B136" t="s">
        <v>103</v>
      </c>
      <c r="C136" s="33" t="s">
        <v>19</v>
      </c>
      <c r="D136" s="36">
        <v>4</v>
      </c>
      <c r="E136" t="s">
        <v>17</v>
      </c>
      <c r="F136" t="s">
        <v>18</v>
      </c>
      <c r="G136"/>
      <c r="H136" t="s">
        <v>20</v>
      </c>
      <c r="I136" t="s">
        <v>26</v>
      </c>
      <c r="J136"/>
      <c r="K136" t="s">
        <v>23</v>
      </c>
      <c r="L136" t="s">
        <v>195</v>
      </c>
      <c r="M136" s="8" t="s">
        <v>33</v>
      </c>
      <c r="N136"/>
      <c r="O136" t="s">
        <v>31</v>
      </c>
      <c r="P136"/>
      <c r="Q136"/>
      <c r="R136" t="s">
        <v>47</v>
      </c>
      <c r="S136" t="s">
        <v>289</v>
      </c>
      <c r="T136" s="2">
        <f>H145</f>
        <v>1843600</v>
      </c>
      <c r="U136"/>
    </row>
    <row r="137" spans="1:21" s="6" customFormat="1" x14ac:dyDescent="0.35">
      <c r="A137" t="s">
        <v>175</v>
      </c>
      <c r="B137">
        <v>3</v>
      </c>
      <c r="C137">
        <f t="shared" ref="C137:C143" si="72">MAX(B137,(_xlfn.CEILING.MATH(ROUNDUP(B137*$D$2*((1-1%)*(1-$B$13)),1),1)))</f>
        <v>9</v>
      </c>
      <c r="D137" s="34" t="s">
        <v>97</v>
      </c>
      <c r="E137" s="5">
        <v>0</v>
      </c>
      <c r="F137">
        <f>IF(C137-E137&lt;0,0,(C137*$D$4)-E137)</f>
        <v>36</v>
      </c>
      <c r="G137"/>
      <c r="H137" t="str">
        <f t="shared" ref="H137:H143" si="73">A137</f>
        <v>Plasma Thruster</v>
      </c>
      <c r="I137" s="23">
        <f t="shared" ref="I137:I143" si="74">I122</f>
        <v>30140</v>
      </c>
      <c r="J137" s="3">
        <f t="shared" ref="J137:J143" si="75">IF(F137=0,E137*I137,IF(F137&lt;0,0,(F137*I137)))</f>
        <v>1085040</v>
      </c>
      <c r="K137"/>
      <c r="L137" t="str">
        <f t="shared" ref="L137:L143" si="76">H137</f>
        <v>Plasma Thruster</v>
      </c>
      <c r="M137" s="3">
        <f>'Component BP'!F442</f>
        <v>853863.40800000005</v>
      </c>
      <c r="N137"/>
      <c r="O137" t="str">
        <f t="shared" ref="O137:O143" si="77">IF(AND(J137=0,M137=0),"Not Necessary",IF(J137&lt;M137,$H$2,$L$2))</f>
        <v>Manufacture</v>
      </c>
      <c r="P137"/>
      <c r="Q137" s="2">
        <f t="shared" ref="Q137:Q143" si="78">IF(O137="Manufacture",M137,"")</f>
        <v>853863.40800000005</v>
      </c>
      <c r="R137" s="2">
        <f t="shared" ref="R137:R143" si="79">SMALL(J137:M137,1)</f>
        <v>853863.40800000005</v>
      </c>
      <c r="S137" t="s">
        <v>171</v>
      </c>
      <c r="T137" s="2">
        <v>1020000</v>
      </c>
      <c r="U137"/>
    </row>
    <row r="138" spans="1:21" s="6" customFormat="1" x14ac:dyDescent="0.35">
      <c r="A138" t="s">
        <v>176</v>
      </c>
      <c r="B138">
        <v>30</v>
      </c>
      <c r="C138">
        <f t="shared" si="72"/>
        <v>87</v>
      </c>
      <c r="D138" s="35">
        <v>4</v>
      </c>
      <c r="E138" s="5">
        <v>0</v>
      </c>
      <c r="F138">
        <f t="shared" ref="F138:F143" si="80">IF((C138*$D$4)-E138&lt;0,0,(C138*$D$4)-E138)</f>
        <v>348</v>
      </c>
      <c r="G138"/>
      <c r="H138" t="str">
        <f t="shared" si="73"/>
        <v>Nanomechanical Microprocessor</v>
      </c>
      <c r="I138" s="23">
        <f t="shared" si="74"/>
        <v>36610</v>
      </c>
      <c r="J138" s="3">
        <f t="shared" si="75"/>
        <v>12740280</v>
      </c>
      <c r="K138"/>
      <c r="L138" t="str">
        <f t="shared" si="76"/>
        <v>Nanomechanical Microprocessor</v>
      </c>
      <c r="M138" s="3">
        <f>'Component BP'!F448</f>
        <v>9437292.5999999996</v>
      </c>
      <c r="N138"/>
      <c r="O138" t="str">
        <f t="shared" si="77"/>
        <v>Manufacture</v>
      </c>
      <c r="P138"/>
      <c r="Q138" s="2">
        <f t="shared" si="78"/>
        <v>9437292.5999999996</v>
      </c>
      <c r="R138" s="2">
        <f t="shared" si="79"/>
        <v>9437292.5999999996</v>
      </c>
      <c r="S138" t="s">
        <v>77</v>
      </c>
      <c r="T138" s="4">
        <f>U138*(R146*(D136*D138))</f>
        <v>9596160</v>
      </c>
      <c r="U138" s="26">
        <v>3.5999999999999997E-2</v>
      </c>
    </row>
    <row r="139" spans="1:21" s="6" customFormat="1" x14ac:dyDescent="0.35">
      <c r="A139" t="s">
        <v>177</v>
      </c>
      <c r="B139">
        <v>15</v>
      </c>
      <c r="C139">
        <f t="shared" si="72"/>
        <v>44</v>
      </c>
      <c r="D139"/>
      <c r="E139" s="5">
        <v>0</v>
      </c>
      <c r="F139">
        <f t="shared" si="80"/>
        <v>176</v>
      </c>
      <c r="G139"/>
      <c r="H139" t="str">
        <f t="shared" si="73"/>
        <v>Fernite Carbide Composite AP</v>
      </c>
      <c r="I139" s="23">
        <f t="shared" si="74"/>
        <v>7474</v>
      </c>
      <c r="J139" s="3">
        <f t="shared" si="75"/>
        <v>1315424</v>
      </c>
      <c r="K139"/>
      <c r="L139" t="str">
        <f t="shared" si="76"/>
        <v>Fernite Carbide Composite AP</v>
      </c>
      <c r="M139" s="3">
        <f>'Component BP'!F452</f>
        <v>2353915.4439999997</v>
      </c>
      <c r="N139"/>
      <c r="O139" t="str">
        <f t="shared" si="77"/>
        <v>Jita Buy Price</v>
      </c>
      <c r="P139"/>
      <c r="Q139" s="2" t="str">
        <f t="shared" si="78"/>
        <v/>
      </c>
      <c r="R139" s="2">
        <f t="shared" si="79"/>
        <v>1315424</v>
      </c>
      <c r="S139" t="s">
        <v>172</v>
      </c>
      <c r="T139" s="4">
        <f>U139*(R146*(D136*D138))</f>
        <v>0</v>
      </c>
      <c r="U139" s="26">
        <v>0</v>
      </c>
    </row>
    <row r="140" spans="1:21" s="6" customFormat="1" x14ac:dyDescent="0.35">
      <c r="A140" t="s">
        <v>178</v>
      </c>
      <c r="B140">
        <v>165</v>
      </c>
      <c r="C140">
        <f t="shared" si="72"/>
        <v>476</v>
      </c>
      <c r="D140">
        <f>D138*D136</f>
        <v>16</v>
      </c>
      <c r="E140" s="5">
        <v>0</v>
      </c>
      <c r="F140">
        <f t="shared" si="80"/>
        <v>1904</v>
      </c>
      <c r="G140"/>
      <c r="H140" t="str">
        <f t="shared" si="73"/>
        <v>Ladar Sensor Cluster</v>
      </c>
      <c r="I140" s="23">
        <f t="shared" si="74"/>
        <v>17400</v>
      </c>
      <c r="J140" s="3">
        <f t="shared" si="75"/>
        <v>33129600</v>
      </c>
      <c r="K140"/>
      <c r="L140" t="str">
        <f t="shared" si="76"/>
        <v>Ladar Sensor Cluster</v>
      </c>
      <c r="M140" s="3">
        <f>'Component BP'!F457</f>
        <v>26553515.772</v>
      </c>
      <c r="N140"/>
      <c r="O140" t="str">
        <f t="shared" si="77"/>
        <v>Manufacture</v>
      </c>
      <c r="P140"/>
      <c r="Q140" s="2">
        <f t="shared" si="78"/>
        <v>26553515.772</v>
      </c>
      <c r="R140" s="2">
        <f t="shared" si="79"/>
        <v>26553515.772</v>
      </c>
      <c r="S140" t="s">
        <v>173</v>
      </c>
      <c r="T140" s="4">
        <f>(SUM(Q137:Q143)*0.03)+(R146*0.03)</f>
        <v>6078998.593919999</v>
      </c>
      <c r="U140"/>
    </row>
    <row r="141" spans="1:21" s="6" customFormat="1" x14ac:dyDescent="0.35">
      <c r="A141" t="s">
        <v>179</v>
      </c>
      <c r="B141">
        <v>68</v>
      </c>
      <c r="C141">
        <f t="shared" si="72"/>
        <v>196</v>
      </c>
      <c r="D141"/>
      <c r="E141" s="5">
        <v>0</v>
      </c>
      <c r="F141">
        <f t="shared" si="80"/>
        <v>784</v>
      </c>
      <c r="G141"/>
      <c r="H141" t="str">
        <f t="shared" si="73"/>
        <v>Deflection Shield Emitter</v>
      </c>
      <c r="I141" s="23">
        <f t="shared" si="74"/>
        <v>27430</v>
      </c>
      <c r="J141" s="3">
        <f t="shared" si="75"/>
        <v>21505120</v>
      </c>
      <c r="K141"/>
      <c r="L141" t="str">
        <f t="shared" si="76"/>
        <v>Deflection Shield Emitter</v>
      </c>
      <c r="M141" s="3">
        <f>'Component BP'!F462</f>
        <v>23236742.732000001</v>
      </c>
      <c r="N141"/>
      <c r="O141" t="str">
        <f t="shared" si="77"/>
        <v>Jita Buy Price</v>
      </c>
      <c r="P141"/>
      <c r="Q141" s="2" t="str">
        <f t="shared" si="78"/>
        <v/>
      </c>
      <c r="R141" s="2">
        <f t="shared" si="79"/>
        <v>21505120</v>
      </c>
      <c r="S141"/>
      <c r="T141" s="4">
        <f>SUM(T136:T140)</f>
        <v>18538758.59392</v>
      </c>
      <c r="U141"/>
    </row>
    <row r="142" spans="1:21" s="6" customFormat="1" x14ac:dyDescent="0.35">
      <c r="A142" t="s">
        <v>180</v>
      </c>
      <c r="B142">
        <v>60</v>
      </c>
      <c r="C142">
        <f t="shared" si="72"/>
        <v>173</v>
      </c>
      <c r="D142"/>
      <c r="E142" s="5">
        <v>0</v>
      </c>
      <c r="F142">
        <f t="shared" si="80"/>
        <v>692</v>
      </c>
      <c r="G142"/>
      <c r="H142" t="str">
        <f t="shared" si="73"/>
        <v>Nuclear Reactor Unit</v>
      </c>
      <c r="I142" s="23">
        <f t="shared" si="74"/>
        <v>73490</v>
      </c>
      <c r="J142" s="3">
        <f t="shared" si="75"/>
        <v>50855080</v>
      </c>
      <c r="K142"/>
      <c r="L142" t="str">
        <f t="shared" si="76"/>
        <v>Nuclear Reactor Unit</v>
      </c>
      <c r="M142" s="3">
        <f>'Component BP'!F466</f>
        <v>46263866.868000001</v>
      </c>
      <c r="N142"/>
      <c r="O142" t="str">
        <f t="shared" si="77"/>
        <v>Manufacture</v>
      </c>
      <c r="P142"/>
      <c r="Q142" s="2">
        <f t="shared" si="78"/>
        <v>46263866.868000001</v>
      </c>
      <c r="R142" s="2">
        <f t="shared" si="79"/>
        <v>46263866.868000001</v>
      </c>
      <c r="S142"/>
      <c r="T142"/>
      <c r="U142"/>
    </row>
    <row r="143" spans="1:21" s="6" customFormat="1" x14ac:dyDescent="0.35">
      <c r="A143" t="s">
        <v>181</v>
      </c>
      <c r="B143">
        <v>300</v>
      </c>
      <c r="C143">
        <f t="shared" si="72"/>
        <v>865</v>
      </c>
      <c r="D143"/>
      <c r="E143" s="5">
        <v>0</v>
      </c>
      <c r="F143">
        <f t="shared" si="80"/>
        <v>3460</v>
      </c>
      <c r="G143"/>
      <c r="H143" t="str">
        <f t="shared" si="73"/>
        <v>Electrolytic Capacitor Unit</v>
      </c>
      <c r="I143" s="23">
        <f t="shared" si="74"/>
        <v>35750</v>
      </c>
      <c r="J143" s="3">
        <f t="shared" si="75"/>
        <v>123695000</v>
      </c>
      <c r="K143"/>
      <c r="L143" t="str">
        <f t="shared" si="76"/>
        <v>Electrolytic Capacitor Unit</v>
      </c>
      <c r="M143" s="3">
        <f>'Component BP'!F472</f>
        <v>102864747.816</v>
      </c>
      <c r="N143"/>
      <c r="O143" t="str">
        <f t="shared" si="77"/>
        <v>Manufacture</v>
      </c>
      <c r="P143"/>
      <c r="Q143" s="2">
        <f t="shared" si="78"/>
        <v>102864747.816</v>
      </c>
      <c r="R143" s="2">
        <f t="shared" si="79"/>
        <v>102864747.816</v>
      </c>
      <c r="S143"/>
      <c r="T143"/>
      <c r="U143"/>
    </row>
    <row r="144" spans="1:21" s="6" customForma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 s="3"/>
      <c r="N144"/>
      <c r="O144"/>
      <c r="P144"/>
      <c r="Q144"/>
      <c r="R144"/>
      <c r="S144"/>
      <c r="T144"/>
      <c r="U144"/>
    </row>
    <row r="145" spans="1:21" s="6" customFormat="1" x14ac:dyDescent="0.35">
      <c r="A145" t="s">
        <v>43</v>
      </c>
      <c r="B145">
        <v>15</v>
      </c>
      <c r="C145">
        <f>MAX(B145,(_xlfn.CEILING.MATH(ROUNDUP(B145*$D$2*((1-1%)*(1-$B$13)),1),1)))</f>
        <v>44</v>
      </c>
      <c r="D145"/>
      <c r="E145" s="5">
        <v>0</v>
      </c>
      <c r="F145">
        <f>IF(C145-E145&lt;0,0,(C145*$D$4)-E145)</f>
        <v>176</v>
      </c>
      <c r="G145"/>
      <c r="H145" s="4">
        <f>C145*Pricing!$J$9</f>
        <v>1843600</v>
      </c>
      <c r="I145"/>
      <c r="J145"/>
      <c r="K145"/>
      <c r="L145" s="10" t="s">
        <v>36</v>
      </c>
      <c r="M145" s="3" t="s">
        <v>47</v>
      </c>
      <c r="N145"/>
      <c r="O145"/>
      <c r="P145"/>
      <c r="Q145"/>
      <c r="R145" s="2">
        <f>SMALL(J146:M146,1)+T141</f>
        <v>227332589.05791998</v>
      </c>
      <c r="S145"/>
      <c r="T145"/>
      <c r="U145"/>
    </row>
    <row r="146" spans="1:21" s="6" customFormat="1" x14ac:dyDescent="0.35">
      <c r="A146" t="s">
        <v>44</v>
      </c>
      <c r="B146">
        <v>23</v>
      </c>
      <c r="C146">
        <f>MAX(B146,(_xlfn.CEILING.MATH(ROUNDUP(B146*$D$2*((1-1%)*(1-$B$13)),1),1)))</f>
        <v>67</v>
      </c>
      <c r="D146"/>
      <c r="E146" s="5">
        <v>0</v>
      </c>
      <c r="F146">
        <f>IF(C146-E146&lt;0,0,C146-E146)</f>
        <v>67</v>
      </c>
      <c r="G146"/>
      <c r="H146" s="4"/>
      <c r="I146"/>
      <c r="J146" s="3">
        <f>SUM(J137:J143)</f>
        <v>244325544</v>
      </c>
      <c r="K146"/>
      <c r="L146" s="3">
        <f>SUM(M137:M143)</f>
        <v>211563944.63999999</v>
      </c>
      <c r="M146" s="17">
        <f>SUM(R137:R143)</f>
        <v>208793830.46399999</v>
      </c>
      <c r="N146"/>
      <c r="O146" s="4"/>
      <c r="P146" s="4"/>
      <c r="Q146"/>
      <c r="R146" s="23">
        <f>Pricing!J40</f>
        <v>16660000</v>
      </c>
      <c r="S146" t="str">
        <f>A136</f>
        <v>Hound  Requirements</v>
      </c>
      <c r="T146"/>
      <c r="U146"/>
    </row>
    <row r="147" spans="1:21" s="6" customFormat="1" x14ac:dyDescent="0.35">
      <c r="A147" t="s">
        <v>104</v>
      </c>
      <c r="B147" s="32">
        <v>0.03</v>
      </c>
      <c r="C147" s="30"/>
      <c r="D147"/>
      <c r="E147"/>
      <c r="F147"/>
      <c r="G147"/>
      <c r="H147"/>
      <c r="I147"/>
      <c r="J147"/>
      <c r="K147"/>
      <c r="L147"/>
      <c r="M147" s="3"/>
      <c r="N147"/>
      <c r="O147"/>
      <c r="P147" s="9"/>
      <c r="Q147"/>
      <c r="R147" s="2">
        <f>(R146*(D136*D138))</f>
        <v>266560000</v>
      </c>
      <c r="S147" s="4">
        <f>R147-R145</f>
        <v>39227410.942080021</v>
      </c>
      <c r="T147" t="s">
        <v>45</v>
      </c>
      <c r="U147"/>
    </row>
    <row r="148" spans="1:21" s="6" customFormat="1" x14ac:dyDescent="0.35">
      <c r="A148" s="11"/>
      <c r="B148"/>
      <c r="C148" s="11" t="s">
        <v>199</v>
      </c>
      <c r="D148"/>
      <c r="E148"/>
      <c r="F148"/>
      <c r="G148"/>
      <c r="H148"/>
      <c r="I148"/>
      <c r="J148"/>
      <c r="K148" t="s">
        <v>37</v>
      </c>
      <c r="L148" s="4">
        <f>-1*(M146-J146)</f>
        <v>35531713.536000013</v>
      </c>
      <c r="M148" s="3"/>
      <c r="N148"/>
      <c r="O148"/>
      <c r="P148"/>
      <c r="Q148"/>
      <c r="R148"/>
      <c r="S148" s="9">
        <f>((R147-R145)/R147)</f>
        <v>0.14716165569507811</v>
      </c>
      <c r="T148" t="s">
        <v>45</v>
      </c>
      <c r="U148"/>
    </row>
    <row r="149" spans="1:21" s="6" customFormat="1" x14ac:dyDescent="0.35">
      <c r="A149"/>
      <c r="B149"/>
      <c r="C149"/>
      <c r="D149"/>
      <c r="E149"/>
      <c r="F149"/>
      <c r="G149"/>
      <c r="H149"/>
      <c r="I149"/>
      <c r="J149"/>
      <c r="K149" t="s">
        <v>38</v>
      </c>
      <c r="L149" s="9">
        <f>1-(M146/J146)</f>
        <v>0.14542774756289911</v>
      </c>
      <c r="M149" s="3"/>
      <c r="N149"/>
      <c r="O149"/>
      <c r="P149"/>
      <c r="Q149"/>
      <c r="R149"/>
      <c r="S149" s="4">
        <f>R145-T138-T139</f>
        <v>217736429.05791998</v>
      </c>
      <c r="T149" t="s">
        <v>297</v>
      </c>
      <c r="U149"/>
    </row>
    <row r="150" spans="1:21" s="18" customFormat="1" x14ac:dyDescent="0.35">
      <c r="A150" s="58" t="s">
        <v>194</v>
      </c>
      <c r="K150" s="20" t="s">
        <v>37</v>
      </c>
      <c r="L150" s="18">
        <f>-1*(M131-J131)</f>
        <v>9729202.7419999987</v>
      </c>
      <c r="M150" s="19"/>
      <c r="R150" s="18">
        <f>((R132-R130)/R132)</f>
        <v>0.10648941633351788</v>
      </c>
    </row>
    <row r="151" spans="1:21" x14ac:dyDescent="0.35">
      <c r="A151" t="s">
        <v>239</v>
      </c>
      <c r="C151" s="33" t="s">
        <v>19</v>
      </c>
      <c r="D151" s="36">
        <v>4</v>
      </c>
      <c r="E151" t="s">
        <v>17</v>
      </c>
      <c r="F151" t="s">
        <v>18</v>
      </c>
      <c r="H151" t="s">
        <v>20</v>
      </c>
      <c r="I151" t="s">
        <v>26</v>
      </c>
      <c r="K151" t="s">
        <v>23</v>
      </c>
      <c r="L151" t="s">
        <v>32</v>
      </c>
      <c r="M151" s="8" t="s">
        <v>33</v>
      </c>
      <c r="O151" t="s">
        <v>31</v>
      </c>
      <c r="R151" t="s">
        <v>47</v>
      </c>
      <c r="S151" t="s">
        <v>289</v>
      </c>
      <c r="T151" s="2">
        <f>H160</f>
        <v>22626000</v>
      </c>
    </row>
    <row r="152" spans="1:21" x14ac:dyDescent="0.35">
      <c r="A152" t="s">
        <v>247</v>
      </c>
      <c r="B152">
        <v>200</v>
      </c>
      <c r="C152">
        <f t="shared" ref="C152:C158" si="81">MAX(B152,(_xlfn.CEILING.MATH(ROUNDUP(B152*$D$151*((1-1%)*(1-$B$162)),1),1)))</f>
        <v>769</v>
      </c>
      <c r="D152" s="34" t="s">
        <v>97</v>
      </c>
      <c r="E152" s="5"/>
      <c r="F152">
        <f t="shared" ref="F152:F158" si="82">IF(((C152*$D$153)-E152)&lt;0,0,(C152*$D$153)-E152)</f>
        <v>3076</v>
      </c>
      <c r="H152" t="s">
        <v>241</v>
      </c>
      <c r="I152" s="23">
        <f>Pricing!$B$29</f>
        <v>7338</v>
      </c>
      <c r="J152" s="3">
        <f t="shared" ref="J152:J158" si="83">IF(F152&lt;0,0,(F152*I152))</f>
        <v>22571688</v>
      </c>
      <c r="L152" t="s">
        <v>247</v>
      </c>
      <c r="M152" s="3">
        <f>'Component BP'!F478</f>
        <v>19016550.615000002</v>
      </c>
      <c r="O152" t="str">
        <f t="shared" ref="O152:O158" si="84">IF(AND(J152=0,M152=0),"Not Necessary",IF(J152&lt;M152,$H$2,$L$2))</f>
        <v>Manufacture</v>
      </c>
      <c r="Q152" s="2">
        <f>IF(O152="Manufacture",M152,"")</f>
        <v>19016550.615000002</v>
      </c>
      <c r="R152" s="2">
        <f t="shared" ref="R152:R158" si="85">IF(O152="Jita Buy Price",J152,IF(O152="Manufacture",M152,""))</f>
        <v>19016550.615000002</v>
      </c>
      <c r="S152" t="s">
        <v>171</v>
      </c>
      <c r="T152" s="2">
        <v>1020000</v>
      </c>
    </row>
    <row r="153" spans="1:21" x14ac:dyDescent="0.35">
      <c r="A153" t="s">
        <v>242</v>
      </c>
      <c r="B153">
        <v>3</v>
      </c>
      <c r="C153">
        <f t="shared" si="81"/>
        <v>12</v>
      </c>
      <c r="D153" s="35">
        <v>4</v>
      </c>
      <c r="E153" s="5"/>
      <c r="F153">
        <f t="shared" si="82"/>
        <v>48</v>
      </c>
      <c r="H153" t="s">
        <v>242</v>
      </c>
      <c r="I153" s="23">
        <f>Pricing!$B$30</f>
        <v>80770</v>
      </c>
      <c r="J153" s="3">
        <f t="shared" si="83"/>
        <v>3876960</v>
      </c>
      <c r="L153" t="str">
        <f t="shared" ref="L153:L158" si="86">H153</f>
        <v>Fusion Reactor Unit</v>
      </c>
      <c r="M153" s="3">
        <f>'Component BP'!F482</f>
        <v>3215775.36</v>
      </c>
      <c r="O153" t="str">
        <f t="shared" si="84"/>
        <v>Manufacture</v>
      </c>
      <c r="Q153" s="2">
        <f t="shared" ref="Q153:Q158" si="87">IF(O153="Manufacture",M153,"")</f>
        <v>3215775.36</v>
      </c>
      <c r="R153" s="2">
        <f t="shared" si="85"/>
        <v>3215775.36</v>
      </c>
      <c r="S153" t="s">
        <v>77</v>
      </c>
      <c r="T153" s="4">
        <f>U153*(R161*(D151*D153))</f>
        <v>8645760</v>
      </c>
      <c r="U153" s="26">
        <v>3.5999999999999997E-2</v>
      </c>
    </row>
    <row r="154" spans="1:21" x14ac:dyDescent="0.35">
      <c r="A154" t="s">
        <v>240</v>
      </c>
      <c r="B154">
        <v>18</v>
      </c>
      <c r="C154">
        <f t="shared" si="81"/>
        <v>70</v>
      </c>
      <c r="E154" s="5"/>
      <c r="F154">
        <f t="shared" si="82"/>
        <v>280</v>
      </c>
      <c r="H154" t="s">
        <v>240</v>
      </c>
      <c r="I154" s="23">
        <f>Pricing!$B$31</f>
        <v>28880</v>
      </c>
      <c r="J154" s="3">
        <f t="shared" si="83"/>
        <v>8086400</v>
      </c>
      <c r="L154" t="str">
        <f t="shared" si="86"/>
        <v>Ion Thruster</v>
      </c>
      <c r="M154" s="3">
        <f>'Component BP'!F487</f>
        <v>6647945.4800000004</v>
      </c>
      <c r="O154" t="str">
        <f t="shared" si="84"/>
        <v>Manufacture</v>
      </c>
      <c r="Q154" s="2">
        <f t="shared" si="87"/>
        <v>6647945.4800000004</v>
      </c>
      <c r="R154" s="2">
        <f t="shared" si="85"/>
        <v>6647945.4800000004</v>
      </c>
      <c r="S154" t="s">
        <v>172</v>
      </c>
      <c r="T154" s="4">
        <f>U154*(R161*(D151*D153))</f>
        <v>0</v>
      </c>
      <c r="U154" s="26">
        <v>0</v>
      </c>
    </row>
    <row r="155" spans="1:21" x14ac:dyDescent="0.35">
      <c r="A155" t="s">
        <v>246</v>
      </c>
      <c r="B155">
        <v>15</v>
      </c>
      <c r="C155">
        <f t="shared" si="81"/>
        <v>58</v>
      </c>
      <c r="E155" s="5"/>
      <c r="F155">
        <f t="shared" si="82"/>
        <v>232</v>
      </c>
      <c r="H155" t="s">
        <v>246</v>
      </c>
      <c r="I155" s="23">
        <f>Pricing!$B$32</f>
        <v>17490</v>
      </c>
      <c r="J155" s="3">
        <f t="shared" si="83"/>
        <v>4057680</v>
      </c>
      <c r="L155" t="str">
        <f t="shared" si="86"/>
        <v>Magnetometric Sensor Cluster</v>
      </c>
      <c r="M155" s="3">
        <f>'Component BP'!F492</f>
        <v>3255881.5</v>
      </c>
      <c r="O155" t="str">
        <f t="shared" si="84"/>
        <v>Manufacture</v>
      </c>
      <c r="Q155" s="2">
        <f t="shared" si="87"/>
        <v>3255881.5</v>
      </c>
      <c r="R155" s="2">
        <f t="shared" si="85"/>
        <v>3255881.5</v>
      </c>
      <c r="S155" t="s">
        <v>173</v>
      </c>
      <c r="T155" s="4">
        <f>(SUM(Q152:Q158)*0.03)+(R161*0.03)</f>
        <v>4032617.8436699999</v>
      </c>
    </row>
    <row r="156" spans="1:21" x14ac:dyDescent="0.35">
      <c r="A156" t="s">
        <v>243</v>
      </c>
      <c r="B156">
        <v>42</v>
      </c>
      <c r="C156">
        <f t="shared" si="81"/>
        <v>162</v>
      </c>
      <c r="E156" s="5"/>
      <c r="F156">
        <f t="shared" si="82"/>
        <v>648</v>
      </c>
      <c r="H156" t="s">
        <v>243</v>
      </c>
      <c r="I156" s="23">
        <f>Pricing!$B$33</f>
        <v>27920</v>
      </c>
      <c r="J156" s="3">
        <f t="shared" si="83"/>
        <v>18092160</v>
      </c>
      <c r="L156" t="str">
        <f t="shared" si="86"/>
        <v>Oscillator Capacitor</v>
      </c>
      <c r="M156" s="3">
        <f>'Component BP'!F498</f>
        <v>15028196.460000001</v>
      </c>
      <c r="O156" t="str">
        <f t="shared" si="84"/>
        <v>Manufacture</v>
      </c>
      <c r="Q156" s="2">
        <f t="shared" si="87"/>
        <v>15028196.460000001</v>
      </c>
      <c r="R156" s="2">
        <f t="shared" si="85"/>
        <v>15028196.460000001</v>
      </c>
      <c r="T156" s="4">
        <f>SUM(T151:T155)</f>
        <v>36324377.843670003</v>
      </c>
    </row>
    <row r="157" spans="1:21" x14ac:dyDescent="0.35">
      <c r="A157" t="s">
        <v>244</v>
      </c>
      <c r="B157">
        <v>170</v>
      </c>
      <c r="C157">
        <f t="shared" si="81"/>
        <v>654</v>
      </c>
      <c r="E157" s="5"/>
      <c r="F157">
        <f t="shared" si="82"/>
        <v>2616</v>
      </c>
      <c r="H157" t="s">
        <v>244</v>
      </c>
      <c r="I157" s="23">
        <f>Pricing!$B$34</f>
        <v>28580</v>
      </c>
      <c r="J157" s="3">
        <f t="shared" si="83"/>
        <v>74765280</v>
      </c>
      <c r="L157" t="str">
        <f t="shared" si="86"/>
        <v>Photon Microprocessor</v>
      </c>
      <c r="M157" s="3">
        <f>'Component BP'!F504</f>
        <v>64184735.310000002</v>
      </c>
      <c r="O157" t="str">
        <f t="shared" si="84"/>
        <v>Manufacture</v>
      </c>
      <c r="Q157" s="2">
        <f t="shared" si="87"/>
        <v>64184735.310000002</v>
      </c>
      <c r="R157" s="2">
        <f t="shared" si="85"/>
        <v>64184735.310000002</v>
      </c>
    </row>
    <row r="158" spans="1:21" x14ac:dyDescent="0.35">
      <c r="A158" t="s">
        <v>245</v>
      </c>
      <c r="B158">
        <v>22</v>
      </c>
      <c r="C158">
        <f t="shared" si="81"/>
        <v>85</v>
      </c>
      <c r="E158" s="5"/>
      <c r="F158">
        <f t="shared" si="82"/>
        <v>340</v>
      </c>
      <c r="H158" t="s">
        <v>245</v>
      </c>
      <c r="I158" s="23">
        <f>Pricing!$B$35</f>
        <v>30840</v>
      </c>
      <c r="J158" s="3">
        <f t="shared" si="83"/>
        <v>10485600</v>
      </c>
      <c r="L158" t="str">
        <f t="shared" si="86"/>
        <v>Pulse Shield Emitter</v>
      </c>
      <c r="M158" s="3">
        <f>'Component BP'!F509</f>
        <v>8061510.0640000002</v>
      </c>
      <c r="O158" t="str">
        <f t="shared" si="84"/>
        <v>Manufacture</v>
      </c>
      <c r="Q158" s="2">
        <f t="shared" si="87"/>
        <v>8061510.0640000002</v>
      </c>
      <c r="R158" s="2">
        <f t="shared" si="85"/>
        <v>8061510.0640000002</v>
      </c>
    </row>
    <row r="160" spans="1:21" x14ac:dyDescent="0.35">
      <c r="A160" t="s">
        <v>43</v>
      </c>
      <c r="B160">
        <v>35</v>
      </c>
      <c r="C160">
        <f>MAX(B160,(_xlfn.CEILING.MATH(ROUNDUP(B160*$D$151*((1-1%)*(1-$B$162)),1),1)))</f>
        <v>135</v>
      </c>
      <c r="E160" s="5">
        <f>E128</f>
        <v>0</v>
      </c>
      <c r="F160">
        <f>IF(C160-E160&lt;0,0,(C160*D153)-E160)</f>
        <v>540</v>
      </c>
      <c r="H160" s="4">
        <f>F160*Pricing!$J$9</f>
        <v>22626000</v>
      </c>
      <c r="L160" s="10" t="s">
        <v>36</v>
      </c>
      <c r="M160" s="3" t="s">
        <v>47</v>
      </c>
      <c r="R160" s="2">
        <f>SMALL(J161:M161,1)+T156</f>
        <v>155734972.63267002</v>
      </c>
    </row>
    <row r="161" spans="1:21" x14ac:dyDescent="0.35">
      <c r="A161" t="s">
        <v>44</v>
      </c>
      <c r="B161" s="85"/>
      <c r="C161" s="85"/>
      <c r="E161" s="5">
        <f>E129</f>
        <v>0</v>
      </c>
      <c r="F161">
        <f>IF(C161-E161&lt;0,0,(C161*$D$123)-E161)</f>
        <v>0</v>
      </c>
      <c r="J161" s="3">
        <f>SUM(J152:J158)</f>
        <v>141935768</v>
      </c>
      <c r="L161" s="3">
        <f>SUM(M152:M158)</f>
        <v>119410594.789</v>
      </c>
      <c r="M161" s="17">
        <f>SUM(R152:R158)</f>
        <v>119410594.789</v>
      </c>
      <c r="P161" s="4"/>
      <c r="R161" s="23">
        <f>Pricing!J41</f>
        <v>15010000</v>
      </c>
      <c r="S161" t="str">
        <f>A151</f>
        <v>Prospect Requirements</v>
      </c>
    </row>
    <row r="162" spans="1:21" x14ac:dyDescent="0.35">
      <c r="A162" t="s">
        <v>104</v>
      </c>
      <c r="B162" s="32">
        <v>0.03</v>
      </c>
      <c r="C162" s="11" t="s">
        <v>199</v>
      </c>
      <c r="K162" t="s">
        <v>38</v>
      </c>
      <c r="L162" s="9">
        <f>1-(M161/J161)</f>
        <v>0.15869976629851323</v>
      </c>
      <c r="P162" s="9"/>
      <c r="R162" s="2">
        <f>(R161*(D151*D153))</f>
        <v>240160000</v>
      </c>
      <c r="S162" s="4">
        <f>R162-R160</f>
        <v>84425027.367329985</v>
      </c>
      <c r="T162" t="s">
        <v>45</v>
      </c>
    </row>
    <row r="163" spans="1:21" x14ac:dyDescent="0.35">
      <c r="S163" s="9">
        <f>((R162-R160)/R162)</f>
        <v>0.35153658963744999</v>
      </c>
      <c r="T163" t="s">
        <v>45</v>
      </c>
    </row>
    <row r="164" spans="1:21" x14ac:dyDescent="0.35">
      <c r="S164" s="4">
        <f>R160-T153-T154</f>
        <v>147089212.63267002</v>
      </c>
      <c r="T164" t="s">
        <v>297</v>
      </c>
    </row>
    <row r="165" spans="1:21" s="18" customFormat="1" x14ac:dyDescent="0.35">
      <c r="M165" s="19"/>
    </row>
    <row r="166" spans="1:21" x14ac:dyDescent="0.35">
      <c r="A166" t="s">
        <v>298</v>
      </c>
      <c r="C166" s="33" t="s">
        <v>19</v>
      </c>
      <c r="D166" s="36">
        <v>4</v>
      </c>
      <c r="E166" t="s">
        <v>17</v>
      </c>
      <c r="F166" t="s">
        <v>18</v>
      </c>
      <c r="H166" t="s">
        <v>20</v>
      </c>
      <c r="I166" t="s">
        <v>26</v>
      </c>
      <c r="K166" t="s">
        <v>23</v>
      </c>
      <c r="L166" t="s">
        <v>32</v>
      </c>
      <c r="M166" s="8" t="s">
        <v>33</v>
      </c>
      <c r="O166" t="s">
        <v>31</v>
      </c>
      <c r="R166" t="s">
        <v>47</v>
      </c>
      <c r="S166" t="s">
        <v>289</v>
      </c>
      <c r="T166" s="2">
        <f>H175</f>
        <v>9720800</v>
      </c>
    </row>
    <row r="167" spans="1:21" x14ac:dyDescent="0.35">
      <c r="A167" t="s">
        <v>247</v>
      </c>
      <c r="B167">
        <v>300</v>
      </c>
      <c r="C167">
        <f>MAX(B167,(_xlfn.CEILING.MATH(ROUNDUP(B167*$D$166*((1-1%)*(1-$B$177)),1),1)))</f>
        <v>1153</v>
      </c>
      <c r="D167" s="34" t="s">
        <v>97</v>
      </c>
      <c r="E167" s="5"/>
      <c r="F167">
        <f>IF((C167*$D$168)-E167&lt;0,0,(C167*$D$168)-E167)</f>
        <v>4612</v>
      </c>
      <c r="H167" t="s">
        <v>241</v>
      </c>
      <c r="I167" s="23">
        <f>Pricing!$B$29</f>
        <v>7338</v>
      </c>
      <c r="J167" s="3">
        <f>IF(F167&lt;0,0,(F167*I167))</f>
        <v>33842856</v>
      </c>
      <c r="L167" t="s">
        <v>247</v>
      </c>
      <c r="M167" s="3">
        <f>'Component BP'!F515</f>
        <v>28512597.093000002</v>
      </c>
      <c r="O167" t="str">
        <f t="shared" ref="O167:O173" si="88">IF(AND(J167=0,M167=0),"Not Necessary",IF(J167&lt;M167,$H$2,$L$2))</f>
        <v>Manufacture</v>
      </c>
      <c r="Q167" s="2">
        <f>IF(O167="Manufacture",M167,"")</f>
        <v>28512597.093000002</v>
      </c>
      <c r="R167" s="2">
        <f t="shared" ref="R167:R173" si="89">IF(O167="Jita Buy Price",J167,IF(O167="Manufacture",M167,""))</f>
        <v>28512597.093000002</v>
      </c>
      <c r="S167" t="s">
        <v>171</v>
      </c>
      <c r="T167" s="2">
        <v>1020000</v>
      </c>
    </row>
    <row r="168" spans="1:21" x14ac:dyDescent="0.35">
      <c r="A168" t="s">
        <v>242</v>
      </c>
      <c r="B168">
        <v>3</v>
      </c>
      <c r="C168">
        <f t="shared" ref="C168:C175" si="90">MAX(B168,(_xlfn.CEILING.MATH(ROUNDUP(B168*$D$166*((1-1%)*(1-$B$177)),1),1)))</f>
        <v>12</v>
      </c>
      <c r="D168" s="35">
        <v>4</v>
      </c>
      <c r="E168" s="5"/>
      <c r="F168">
        <f t="shared" ref="F168:F173" si="91">IF((C168*$D$168)-E168&lt;0,0,(C168*$D$168)-E168)</f>
        <v>48</v>
      </c>
      <c r="G168">
        <f>F168+F153</f>
        <v>96</v>
      </c>
      <c r="H168" t="s">
        <v>242</v>
      </c>
      <c r="I168" s="23">
        <f>Pricing!$B$30</f>
        <v>80770</v>
      </c>
      <c r="J168" s="3">
        <f t="shared" ref="J168:J173" si="92">IF(F168&lt;0,0,(F168*I168))</f>
        <v>3876960</v>
      </c>
      <c r="L168" t="str">
        <f t="shared" ref="L168:L173" si="93">H168</f>
        <v>Fusion Reactor Unit</v>
      </c>
      <c r="M168" s="3">
        <f>'Component BP'!F519</f>
        <v>3215775.36</v>
      </c>
      <c r="O168" t="str">
        <f t="shared" si="88"/>
        <v>Manufacture</v>
      </c>
      <c r="Q168" s="2">
        <f t="shared" ref="Q168:Q173" si="94">IF(O168="Manufacture",M168,"")</f>
        <v>3215775.36</v>
      </c>
      <c r="R168" s="2">
        <f t="shared" si="89"/>
        <v>3215775.36</v>
      </c>
      <c r="S168" t="s">
        <v>77</v>
      </c>
      <c r="T168" s="4">
        <f>U168*(R176*(D166*D168))</f>
        <v>11157120</v>
      </c>
      <c r="U168" s="26">
        <v>3.5999999999999997E-2</v>
      </c>
    </row>
    <row r="169" spans="1:21" x14ac:dyDescent="0.35">
      <c r="A169" t="s">
        <v>240</v>
      </c>
      <c r="B169">
        <v>30</v>
      </c>
      <c r="C169">
        <f t="shared" si="90"/>
        <v>116</v>
      </c>
      <c r="E169" s="5"/>
      <c r="F169">
        <f>IF((C169*$D$168)-E169&lt;0,0,(C169*$D$168)-E169)</f>
        <v>464</v>
      </c>
      <c r="H169" t="s">
        <v>240</v>
      </c>
      <c r="I169" s="23">
        <f>Pricing!$B$31</f>
        <v>28880</v>
      </c>
      <c r="J169" s="3">
        <f t="shared" si="92"/>
        <v>13400320</v>
      </c>
      <c r="L169" t="str">
        <f t="shared" si="93"/>
        <v>Ion Thruster</v>
      </c>
      <c r="M169" s="3">
        <f>'Component BP'!F524</f>
        <v>11016253.76</v>
      </c>
      <c r="O169" t="str">
        <f t="shared" si="88"/>
        <v>Manufacture</v>
      </c>
      <c r="Q169" s="2">
        <f t="shared" si="94"/>
        <v>11016253.76</v>
      </c>
      <c r="R169" s="2">
        <f t="shared" si="89"/>
        <v>11016253.76</v>
      </c>
      <c r="S169" t="s">
        <v>172</v>
      </c>
      <c r="T169" s="4">
        <f>U169*(R176*(D166*D168))</f>
        <v>0</v>
      </c>
      <c r="U169" s="26">
        <v>0</v>
      </c>
    </row>
    <row r="170" spans="1:21" x14ac:dyDescent="0.35">
      <c r="A170" t="s">
        <v>246</v>
      </c>
      <c r="B170">
        <v>68</v>
      </c>
      <c r="C170">
        <f t="shared" si="90"/>
        <v>262</v>
      </c>
      <c r="E170" s="5"/>
      <c r="F170">
        <f t="shared" si="91"/>
        <v>1048</v>
      </c>
      <c r="H170" t="s">
        <v>246</v>
      </c>
      <c r="I170" s="23">
        <f>Pricing!$B$32</f>
        <v>17490</v>
      </c>
      <c r="J170" s="3">
        <f t="shared" si="92"/>
        <v>18329520</v>
      </c>
      <c r="L170" t="str">
        <f t="shared" si="93"/>
        <v>Magnetometric Sensor Cluster</v>
      </c>
      <c r="M170" s="3">
        <f>'Component BP'!F529</f>
        <v>14691908.67</v>
      </c>
      <c r="O170" t="str">
        <f t="shared" si="88"/>
        <v>Manufacture</v>
      </c>
      <c r="Q170" s="2">
        <f t="shared" si="94"/>
        <v>14691908.67</v>
      </c>
      <c r="R170" s="2">
        <f t="shared" si="89"/>
        <v>14691908.67</v>
      </c>
      <c r="S170" t="s">
        <v>173</v>
      </c>
      <c r="T170" s="4">
        <f>(SUM(Q167:Q173)*0.03)+(R176*0.03)</f>
        <v>4978633.0272300001</v>
      </c>
    </row>
    <row r="171" spans="1:21" x14ac:dyDescent="0.35">
      <c r="A171" t="s">
        <v>243</v>
      </c>
      <c r="B171">
        <v>60</v>
      </c>
      <c r="C171">
        <f t="shared" si="90"/>
        <v>231</v>
      </c>
      <c r="E171" s="5"/>
      <c r="F171">
        <f t="shared" si="91"/>
        <v>924</v>
      </c>
      <c r="H171" t="s">
        <v>243</v>
      </c>
      <c r="I171" s="23">
        <f>Pricing!$B$33</f>
        <v>27920</v>
      </c>
      <c r="J171" s="3">
        <f t="shared" si="92"/>
        <v>25798080</v>
      </c>
      <c r="L171" t="str">
        <f t="shared" si="93"/>
        <v>Oscillator Capacitor</v>
      </c>
      <c r="M171" s="3">
        <f>'Component BP'!F535</f>
        <v>21427771.859999999</v>
      </c>
      <c r="O171" t="str">
        <f t="shared" si="88"/>
        <v>Manufacture</v>
      </c>
      <c r="Q171" s="2">
        <f t="shared" si="94"/>
        <v>21427771.859999999</v>
      </c>
      <c r="R171" s="2">
        <f t="shared" si="89"/>
        <v>21427771.859999999</v>
      </c>
      <c r="T171" s="4">
        <f>SUM(T166:T170)</f>
        <v>26876553.027230002</v>
      </c>
    </row>
    <row r="172" spans="1:21" x14ac:dyDescent="0.35">
      <c r="A172" t="s">
        <v>244</v>
      </c>
      <c r="B172">
        <v>165</v>
      </c>
      <c r="C172">
        <f t="shared" si="90"/>
        <v>634</v>
      </c>
      <c r="E172" s="5"/>
      <c r="F172">
        <f t="shared" si="91"/>
        <v>2536</v>
      </c>
      <c r="H172" t="s">
        <v>244</v>
      </c>
      <c r="I172" s="23">
        <f>Pricing!$B$34</f>
        <v>28580</v>
      </c>
      <c r="J172" s="3">
        <f t="shared" si="92"/>
        <v>72478880</v>
      </c>
      <c r="L172" t="str">
        <f t="shared" si="93"/>
        <v>Photon Microprocessor</v>
      </c>
      <c r="M172" s="3">
        <f>'Component BP'!F541</f>
        <v>62219184.25</v>
      </c>
      <c r="O172" t="str">
        <f t="shared" si="88"/>
        <v>Manufacture</v>
      </c>
      <c r="Q172" s="2">
        <f t="shared" si="94"/>
        <v>62219184.25</v>
      </c>
      <c r="R172" s="2">
        <f t="shared" si="89"/>
        <v>62219184.25</v>
      </c>
    </row>
    <row r="173" spans="1:21" x14ac:dyDescent="0.35">
      <c r="A173" t="s">
        <v>245</v>
      </c>
      <c r="B173">
        <v>15</v>
      </c>
      <c r="C173">
        <f t="shared" si="90"/>
        <v>58</v>
      </c>
      <c r="E173" s="5"/>
      <c r="F173">
        <f t="shared" si="91"/>
        <v>232</v>
      </c>
      <c r="H173" t="s">
        <v>245</v>
      </c>
      <c r="I173" s="23">
        <f>Pricing!$B$35</f>
        <v>30840</v>
      </c>
      <c r="J173" s="3">
        <f t="shared" si="92"/>
        <v>7154880</v>
      </c>
      <c r="L173" t="str">
        <f t="shared" si="93"/>
        <v>Pulse Shield Emitter</v>
      </c>
      <c r="M173" s="3">
        <f>'Component BP'!F546</f>
        <v>5500943.2479999997</v>
      </c>
      <c r="O173" t="str">
        <f t="shared" si="88"/>
        <v>Manufacture</v>
      </c>
      <c r="Q173" s="2">
        <f t="shared" si="94"/>
        <v>5500943.2479999997</v>
      </c>
      <c r="R173" s="2">
        <f t="shared" si="89"/>
        <v>5500943.2479999997</v>
      </c>
    </row>
    <row r="175" spans="1:21" x14ac:dyDescent="0.35">
      <c r="A175" t="s">
        <v>43</v>
      </c>
      <c r="B175">
        <v>15</v>
      </c>
      <c r="C175">
        <f t="shared" si="90"/>
        <v>58</v>
      </c>
      <c r="E175" s="5">
        <v>0</v>
      </c>
      <c r="F175">
        <f>IF(C175-E175&lt;0,0,(C175*$D$168)-E175)</f>
        <v>232</v>
      </c>
      <c r="H175" s="4">
        <f>F175*Pricing!$J$9</f>
        <v>9720800</v>
      </c>
      <c r="L175" s="10" t="s">
        <v>36</v>
      </c>
      <c r="M175" s="3" t="s">
        <v>47</v>
      </c>
      <c r="R175" s="2">
        <f>SMALL(J176:M176,1)+T171</f>
        <v>173460987.26822999</v>
      </c>
    </row>
    <row r="176" spans="1:21" x14ac:dyDescent="0.35">
      <c r="A176" t="s">
        <v>44</v>
      </c>
      <c r="E176" s="5">
        <f>E159</f>
        <v>0</v>
      </c>
      <c r="F176">
        <f>IF(C176-E176&lt;0,0,(C176*$D$183)-E176)</f>
        <v>0</v>
      </c>
      <c r="J176" s="3">
        <f>SUM(J167:J173)</f>
        <v>174881496</v>
      </c>
      <c r="L176" s="3">
        <f>SUM(M167:M173)</f>
        <v>146584434.241</v>
      </c>
      <c r="M176" s="17">
        <f>SUM(R167:R173)</f>
        <v>146584434.241</v>
      </c>
      <c r="P176" s="4"/>
      <c r="R176" s="23">
        <f>Pricing!J42</f>
        <v>19370000</v>
      </c>
      <c r="S176" t="str">
        <f>A166</f>
        <v>Helios Requirements</v>
      </c>
    </row>
    <row r="177" spans="1:21" x14ac:dyDescent="0.35">
      <c r="A177" t="s">
        <v>104</v>
      </c>
      <c r="B177" s="32">
        <v>0.03</v>
      </c>
      <c r="C177" s="11" t="s">
        <v>199</v>
      </c>
      <c r="K177" t="s">
        <v>38</v>
      </c>
      <c r="L177" s="9">
        <f>1-(M176/J176)</f>
        <v>0.16180706596311367</v>
      </c>
      <c r="P177" s="9"/>
      <c r="R177" s="2">
        <f>(R176*(D166*D168))</f>
        <v>309920000</v>
      </c>
      <c r="S177" s="4">
        <f>R177-R175</f>
        <v>136459012.73177001</v>
      </c>
      <c r="T177" t="s">
        <v>45</v>
      </c>
    </row>
    <row r="178" spans="1:21" x14ac:dyDescent="0.35">
      <c r="S178" s="9">
        <f>((R177-R175)/R177)</f>
        <v>0.44030399048712576</v>
      </c>
      <c r="T178" t="s">
        <v>45</v>
      </c>
    </row>
    <row r="179" spans="1:21" x14ac:dyDescent="0.35">
      <c r="S179" s="4">
        <f>R175-T168-T169</f>
        <v>162303867.26822999</v>
      </c>
      <c r="T179" t="s">
        <v>297</v>
      </c>
    </row>
    <row r="180" spans="1:21" s="18" customFormat="1" x14ac:dyDescent="0.35">
      <c r="M180" s="19"/>
    </row>
    <row r="181" spans="1:21" x14ac:dyDescent="0.35">
      <c r="A181" t="s">
        <v>300</v>
      </c>
      <c r="C181" s="33" t="s">
        <v>19</v>
      </c>
      <c r="D181" s="36">
        <v>4</v>
      </c>
      <c r="E181" t="s">
        <v>17</v>
      </c>
      <c r="F181" t="s">
        <v>18</v>
      </c>
      <c r="H181" t="s">
        <v>20</v>
      </c>
      <c r="I181" t="s">
        <v>26</v>
      </c>
      <c r="K181" t="s">
        <v>23</v>
      </c>
      <c r="L181" t="s">
        <v>32</v>
      </c>
      <c r="M181" s="8" t="s">
        <v>33</v>
      </c>
      <c r="O181" t="s">
        <v>31</v>
      </c>
      <c r="R181" t="s">
        <v>47</v>
      </c>
      <c r="S181" t="s">
        <v>289</v>
      </c>
      <c r="T181" s="2">
        <f>H190</f>
        <v>18352200</v>
      </c>
    </row>
    <row r="182" spans="1:21" x14ac:dyDescent="0.35">
      <c r="A182" t="s">
        <v>247</v>
      </c>
      <c r="B182">
        <v>300</v>
      </c>
      <c r="C182">
        <f>MAX(B182,(_xlfn.CEILING.MATH(ROUNDUP(B182*$D$181*((1-1%)*(1-$B$192)),1),1)))</f>
        <v>1153</v>
      </c>
      <c r="D182" s="34" t="s">
        <v>97</v>
      </c>
      <c r="E182" s="5">
        <v>0</v>
      </c>
      <c r="F182">
        <f>IF(C182-E182&lt;0,0,(C182*$D$183)-E182)</f>
        <v>3459</v>
      </c>
      <c r="H182" t="s">
        <v>241</v>
      </c>
      <c r="I182" s="23">
        <f>Pricing!$B$29</f>
        <v>7338</v>
      </c>
      <c r="J182" s="3">
        <f>IF(F182&lt;0,0,(F182*I182))</f>
        <v>25382142</v>
      </c>
      <c r="L182" t="s">
        <v>247</v>
      </c>
      <c r="M182" s="3">
        <f>'Component BP'!F552</f>
        <v>21384420.808000002</v>
      </c>
      <c r="O182" t="str">
        <f t="shared" ref="O182:O188" si="95">IF(AND(J182=0,M182=0),"Not Necessary",IF(J182&lt;M182,$H$2,$L$2))</f>
        <v>Manufacture</v>
      </c>
      <c r="Q182" s="2">
        <f>IF(O182="Manufacture",M182,"")</f>
        <v>21384420.808000002</v>
      </c>
      <c r="R182" s="2">
        <f t="shared" ref="R182:R188" si="96">IF(O182="Jita Buy Price",J182,IF(O182="Manufacture",M182,""))</f>
        <v>21384420.808000002</v>
      </c>
      <c r="S182" t="s">
        <v>171</v>
      </c>
      <c r="T182" s="2">
        <v>1020000</v>
      </c>
    </row>
    <row r="183" spans="1:21" x14ac:dyDescent="0.35">
      <c r="A183" t="s">
        <v>242</v>
      </c>
      <c r="B183">
        <v>6</v>
      </c>
      <c r="C183">
        <f t="shared" ref="C183:C190" si="97">MAX(B183,(_xlfn.CEILING.MATH(ROUNDUP(B183*$D$181*((1-1%)*(1-$B$192)),1),1)))</f>
        <v>24</v>
      </c>
      <c r="D183" s="35">
        <v>3</v>
      </c>
      <c r="E183" s="5">
        <v>0</v>
      </c>
      <c r="F183">
        <f t="shared" ref="F183:F188" si="98">IF(C183-E183&lt;0,0,(C183*$D$183)-E183)</f>
        <v>72</v>
      </c>
      <c r="H183" t="s">
        <v>242</v>
      </c>
      <c r="I183" s="23">
        <f>Pricing!$B$30</f>
        <v>80770</v>
      </c>
      <c r="J183" s="3">
        <f t="shared" ref="J183:J188" si="99">IF(F183&lt;0,0,(F183*I183))</f>
        <v>5815440</v>
      </c>
      <c r="L183" t="str">
        <f t="shared" ref="L183:L188" si="100">H183</f>
        <v>Fusion Reactor Unit</v>
      </c>
      <c r="M183" s="3">
        <f>'Component BP'!F556</f>
        <v>4823555.92</v>
      </c>
      <c r="O183" t="str">
        <f t="shared" si="95"/>
        <v>Manufacture</v>
      </c>
      <c r="Q183" s="2">
        <f t="shared" ref="Q183:Q188" si="101">IF(O183="Manufacture",M183,"")</f>
        <v>4823555.92</v>
      </c>
      <c r="R183" s="2">
        <f t="shared" si="96"/>
        <v>4823555.92</v>
      </c>
      <c r="S183" t="s">
        <v>77</v>
      </c>
      <c r="T183" s="4">
        <f>U183*(R191*(D181*D183))</f>
        <v>5749920</v>
      </c>
      <c r="U183" s="26">
        <v>3.5999999999999997E-2</v>
      </c>
    </row>
    <row r="184" spans="1:21" x14ac:dyDescent="0.35">
      <c r="A184" t="s">
        <v>240</v>
      </c>
      <c r="B184">
        <v>30</v>
      </c>
      <c r="C184">
        <f t="shared" si="97"/>
        <v>116</v>
      </c>
      <c r="E184" s="5">
        <v>0</v>
      </c>
      <c r="F184">
        <f t="shared" si="98"/>
        <v>348</v>
      </c>
      <c r="H184" t="s">
        <v>240</v>
      </c>
      <c r="I184" s="23">
        <f>Pricing!$B$31</f>
        <v>28880</v>
      </c>
      <c r="J184" s="3">
        <f t="shared" si="99"/>
        <v>10050240</v>
      </c>
      <c r="L184" t="str">
        <f t="shared" si="100"/>
        <v>Ion Thruster</v>
      </c>
      <c r="M184" s="3">
        <f>'Component BP'!F561</f>
        <v>8262190.3200000003</v>
      </c>
      <c r="O184" t="str">
        <f t="shared" si="95"/>
        <v>Manufacture</v>
      </c>
      <c r="Q184" s="2">
        <f t="shared" si="101"/>
        <v>8262190.3200000003</v>
      </c>
      <c r="R184" s="2">
        <f t="shared" si="96"/>
        <v>8262190.3200000003</v>
      </c>
      <c r="S184" t="s">
        <v>172</v>
      </c>
      <c r="T184" s="4">
        <f>U184*(R191*(D181*D183))</f>
        <v>0</v>
      </c>
      <c r="U184" s="26">
        <v>0</v>
      </c>
    </row>
    <row r="185" spans="1:21" x14ac:dyDescent="0.35">
      <c r="A185" t="s">
        <v>246</v>
      </c>
      <c r="B185">
        <v>60</v>
      </c>
      <c r="C185">
        <f t="shared" si="97"/>
        <v>231</v>
      </c>
      <c r="E185" s="5">
        <v>0</v>
      </c>
      <c r="F185">
        <f t="shared" si="98"/>
        <v>693</v>
      </c>
      <c r="H185" t="s">
        <v>246</v>
      </c>
      <c r="I185" s="23">
        <f>Pricing!$B$32</f>
        <v>17490</v>
      </c>
      <c r="J185" s="3">
        <f t="shared" si="99"/>
        <v>12120570</v>
      </c>
      <c r="L185" t="str">
        <f t="shared" si="100"/>
        <v>Magnetometric Sensor Cluster</v>
      </c>
      <c r="M185" s="3">
        <f>'Component BP'!F566</f>
        <v>9716370.0700000003</v>
      </c>
      <c r="O185" t="str">
        <f t="shared" si="95"/>
        <v>Manufacture</v>
      </c>
      <c r="Q185" s="2">
        <f t="shared" si="101"/>
        <v>9716370.0700000003</v>
      </c>
      <c r="R185" s="2">
        <f t="shared" si="96"/>
        <v>9716370.0700000003</v>
      </c>
      <c r="S185" t="s">
        <v>173</v>
      </c>
      <c r="T185" s="4">
        <f>(SUM(Q182:Q188)*0.03)+(R191*0.03)</f>
        <v>3859021.9237199998</v>
      </c>
    </row>
    <row r="186" spans="1:21" x14ac:dyDescent="0.35">
      <c r="A186" t="s">
        <v>243</v>
      </c>
      <c r="B186">
        <v>60</v>
      </c>
      <c r="C186">
        <f t="shared" si="97"/>
        <v>231</v>
      </c>
      <c r="E186" s="5">
        <v>0</v>
      </c>
      <c r="F186">
        <f t="shared" si="98"/>
        <v>693</v>
      </c>
      <c r="H186" t="s">
        <v>243</v>
      </c>
      <c r="I186" s="23">
        <f>Pricing!$B$33</f>
        <v>27920</v>
      </c>
      <c r="J186" s="3">
        <f t="shared" si="99"/>
        <v>19348560</v>
      </c>
      <c r="L186" t="str">
        <f t="shared" si="100"/>
        <v>Oscillator Capacitor</v>
      </c>
      <c r="M186" s="3">
        <f>'Component BP'!F572</f>
        <v>16074535.35</v>
      </c>
      <c r="O186" t="str">
        <f t="shared" si="95"/>
        <v>Manufacture</v>
      </c>
      <c r="Q186" s="2">
        <f t="shared" si="101"/>
        <v>16074535.35</v>
      </c>
      <c r="R186" s="2">
        <f t="shared" si="96"/>
        <v>16074535.35</v>
      </c>
      <c r="T186" s="4">
        <f>SUM(T181:T185)</f>
        <v>28981141.923719998</v>
      </c>
    </row>
    <row r="187" spans="1:21" x14ac:dyDescent="0.35">
      <c r="A187" t="s">
        <v>244</v>
      </c>
      <c r="B187">
        <v>180</v>
      </c>
      <c r="C187">
        <f t="shared" si="97"/>
        <v>692</v>
      </c>
      <c r="E187" s="5">
        <v>0</v>
      </c>
      <c r="F187">
        <f t="shared" si="98"/>
        <v>2076</v>
      </c>
      <c r="H187" t="s">
        <v>244</v>
      </c>
      <c r="I187" s="23">
        <f>Pricing!$B$34</f>
        <v>28580</v>
      </c>
      <c r="J187" s="3">
        <f t="shared" si="99"/>
        <v>59332080</v>
      </c>
      <c r="L187" t="str">
        <f t="shared" si="100"/>
        <v>Photon Microprocessor</v>
      </c>
      <c r="M187" s="3">
        <f>'Component BP'!F578</f>
        <v>50937257.439999998</v>
      </c>
      <c r="O187" t="str">
        <f t="shared" si="95"/>
        <v>Manufacture</v>
      </c>
      <c r="Q187" s="2">
        <f t="shared" si="101"/>
        <v>50937257.439999998</v>
      </c>
      <c r="R187" s="2">
        <f t="shared" si="96"/>
        <v>50937257.439999998</v>
      </c>
    </row>
    <row r="188" spans="1:21" x14ac:dyDescent="0.35">
      <c r="A188" t="s">
        <v>245</v>
      </c>
      <c r="B188">
        <v>15</v>
      </c>
      <c r="C188">
        <f t="shared" si="97"/>
        <v>58</v>
      </c>
      <c r="E188" s="5">
        <v>0</v>
      </c>
      <c r="F188">
        <f t="shared" si="98"/>
        <v>174</v>
      </c>
      <c r="H188" t="s">
        <v>245</v>
      </c>
      <c r="I188" s="23">
        <f>Pricing!$B$35</f>
        <v>30840</v>
      </c>
      <c r="J188" s="3">
        <f t="shared" si="99"/>
        <v>5366160</v>
      </c>
      <c r="L188" t="str">
        <f t="shared" si="100"/>
        <v>Pulse Shield Emitter</v>
      </c>
      <c r="M188" s="3">
        <f>'Component BP'!F583</f>
        <v>4125734.2160000005</v>
      </c>
      <c r="O188" t="str">
        <f t="shared" si="95"/>
        <v>Manufacture</v>
      </c>
      <c r="Q188" s="2">
        <f t="shared" si="101"/>
        <v>4125734.2160000005</v>
      </c>
      <c r="R188" s="2">
        <f t="shared" si="96"/>
        <v>4125734.2160000005</v>
      </c>
    </row>
    <row r="190" spans="1:21" x14ac:dyDescent="0.35">
      <c r="A190" t="s">
        <v>43</v>
      </c>
      <c r="B190">
        <v>38</v>
      </c>
      <c r="C190">
        <f t="shared" si="97"/>
        <v>146</v>
      </c>
      <c r="E190" s="5">
        <f>E173</f>
        <v>0</v>
      </c>
      <c r="F190">
        <f>IF(C190-E190&lt;0,0,(C190*$D$183)-E190)</f>
        <v>438</v>
      </c>
      <c r="H190" s="4">
        <f>F190*Pricing!$J$9</f>
        <v>18352200</v>
      </c>
      <c r="L190" s="10" t="s">
        <v>36</v>
      </c>
      <c r="M190" s="3" t="s">
        <v>47</v>
      </c>
      <c r="R190" s="2">
        <f>SMALL(J191:M191,1)+T186</f>
        <v>144305206.04771999</v>
      </c>
    </row>
    <row r="191" spans="1:21" x14ac:dyDescent="0.35">
      <c r="A191" t="s">
        <v>44</v>
      </c>
      <c r="E191" s="5">
        <f>E174</f>
        <v>0</v>
      </c>
      <c r="F191">
        <f>IF(C191-E191&lt;0,0,(C191*$D$183)-E191)</f>
        <v>0</v>
      </c>
      <c r="J191" s="3">
        <f>SUM(J182:J188)</f>
        <v>137415192</v>
      </c>
      <c r="L191" s="3">
        <f>SUM(M182:M188)</f>
        <v>115324064.124</v>
      </c>
      <c r="M191" s="17">
        <f>SUM(R182:R188)</f>
        <v>115324064.124</v>
      </c>
      <c r="P191" s="4"/>
      <c r="R191" s="23">
        <f>Pricing!J43</f>
        <v>13310000</v>
      </c>
      <c r="S191" t="str">
        <f>A181</f>
        <v>Nemesis Requirements</v>
      </c>
    </row>
    <row r="192" spans="1:21" x14ac:dyDescent="0.35">
      <c r="A192" t="s">
        <v>104</v>
      </c>
      <c r="B192" s="32">
        <v>0.03</v>
      </c>
      <c r="C192" s="11" t="s">
        <v>199</v>
      </c>
      <c r="K192" t="s">
        <v>38</v>
      </c>
      <c r="L192" s="9">
        <f>1-(M191/J191)</f>
        <v>0.16076190379299549</v>
      </c>
      <c r="P192" s="9"/>
      <c r="R192" s="2">
        <f>(R191*(D181*D183))</f>
        <v>159720000</v>
      </c>
      <c r="S192" s="4">
        <f>R192-R190</f>
        <v>15414793.952280015</v>
      </c>
      <c r="T192" t="s">
        <v>45</v>
      </c>
    </row>
    <row r="193" spans="19:20" x14ac:dyDescent="0.35">
      <c r="S193" s="9">
        <f>((R192-R190)/R192)</f>
        <v>9.6511357076634205E-2</v>
      </c>
      <c r="T193" t="s">
        <v>45</v>
      </c>
    </row>
    <row r="194" spans="19:20" x14ac:dyDescent="0.35">
      <c r="S194" s="4">
        <f>R190-T183-T184</f>
        <v>138555286.04771999</v>
      </c>
      <c r="T194" t="s">
        <v>297</v>
      </c>
    </row>
  </sheetData>
  <sortState xmlns:xlrd2="http://schemas.microsoft.com/office/spreadsheetml/2017/richdata2" ref="A3:F9">
    <sortCondition ref="A3:A9"/>
  </sortState>
  <conditionalFormatting sqref="O69:O74 O163:O165 O2:O31 O180 O195:O1048576">
    <cfRule type="cellIs" dxfId="54" priority="40" operator="equal">
      <formula>"Jita Buy Price"</formula>
    </cfRule>
  </conditionalFormatting>
  <conditionalFormatting sqref="O30 O32:O44">
    <cfRule type="cellIs" dxfId="53" priority="39" operator="equal">
      <formula>"Jita Buy Price"</formula>
    </cfRule>
  </conditionalFormatting>
  <conditionalFormatting sqref="O60">
    <cfRule type="cellIs" dxfId="52" priority="38" operator="equal">
      <formula>"Jita Buy Price"</formula>
    </cfRule>
  </conditionalFormatting>
  <conditionalFormatting sqref="O61:O68">
    <cfRule type="cellIs" dxfId="51" priority="37" operator="equal">
      <formula>"Jita Buy Price"</formula>
    </cfRule>
  </conditionalFormatting>
  <conditionalFormatting sqref="O84:O90">
    <cfRule type="cellIs" dxfId="50" priority="36" operator="equal">
      <formula>"Jita Buy Price"</formula>
    </cfRule>
  </conditionalFormatting>
  <conditionalFormatting sqref="O75">
    <cfRule type="cellIs" dxfId="49" priority="35" operator="equal">
      <formula>"Jita Buy Price"</formula>
    </cfRule>
  </conditionalFormatting>
  <conditionalFormatting sqref="O76:O83">
    <cfRule type="cellIs" dxfId="48" priority="34" operator="equal">
      <formula>"Jita Buy Price"</formula>
    </cfRule>
  </conditionalFormatting>
  <conditionalFormatting sqref="O129:O135">
    <cfRule type="cellIs" dxfId="47" priority="33" operator="equal">
      <formula>"Jita Buy Price"</formula>
    </cfRule>
  </conditionalFormatting>
  <conditionalFormatting sqref="O16">
    <cfRule type="cellIs" dxfId="46" priority="30" operator="equal">
      <formula>"Jita Buy Price"</formula>
    </cfRule>
  </conditionalFormatting>
  <conditionalFormatting sqref="O121:O128">
    <cfRule type="cellIs" dxfId="45" priority="31" operator="equal">
      <formula>"Jita Buy Price"</formula>
    </cfRule>
  </conditionalFormatting>
  <conditionalFormatting sqref="O17:O29">
    <cfRule type="cellIs" dxfId="44" priority="29" operator="equal">
      <formula>"Jita Buy Price"</formula>
    </cfRule>
  </conditionalFormatting>
  <conditionalFormatting sqref="O150">
    <cfRule type="cellIs" dxfId="43" priority="28" operator="equal">
      <formula>"Jita Buy Price"</formula>
    </cfRule>
  </conditionalFormatting>
  <conditionalFormatting sqref="O1">
    <cfRule type="cellIs" dxfId="42" priority="27" operator="equal">
      <formula>"Jita Buy Price"</formula>
    </cfRule>
  </conditionalFormatting>
  <conditionalFormatting sqref="O1">
    <cfRule type="cellIs" dxfId="41" priority="26" operator="equal">
      <formula>"Jita Buy Price"</formula>
    </cfRule>
  </conditionalFormatting>
  <conditionalFormatting sqref="O159:O162">
    <cfRule type="cellIs" dxfId="40" priority="25" operator="equal">
      <formula>"Jita Buy Price"</formula>
    </cfRule>
  </conditionalFormatting>
  <conditionalFormatting sqref="O151:O158">
    <cfRule type="cellIs" dxfId="39" priority="24" operator="equal">
      <formula>"Jita Buy Price"</formula>
    </cfRule>
  </conditionalFormatting>
  <conditionalFormatting sqref="O99:O105 O120">
    <cfRule type="cellIs" dxfId="38" priority="23" operator="equal">
      <formula>"Jita Buy Price"</formula>
    </cfRule>
  </conditionalFormatting>
  <conditionalFormatting sqref="O91:O98">
    <cfRule type="cellIs" dxfId="37" priority="22" operator="equal">
      <formula>"Jita Buy Price"</formula>
    </cfRule>
  </conditionalFormatting>
  <conditionalFormatting sqref="O106">
    <cfRule type="cellIs" dxfId="36" priority="19" operator="equal">
      <formula>"Jita Buy Price"</formula>
    </cfRule>
  </conditionalFormatting>
  <conditionalFormatting sqref="O114:O119">
    <cfRule type="cellIs" dxfId="35" priority="21" operator="equal">
      <formula>"Jita Buy Price"</formula>
    </cfRule>
  </conditionalFormatting>
  <conditionalFormatting sqref="O107:O113">
    <cfRule type="cellIs" dxfId="34" priority="20" operator="equal">
      <formula>"Jita Buy Price"</formula>
    </cfRule>
  </conditionalFormatting>
  <conditionalFormatting sqref="O178:O179">
    <cfRule type="cellIs" dxfId="33" priority="15" operator="equal">
      <formula>"Jita Buy Price"</formula>
    </cfRule>
  </conditionalFormatting>
  <conditionalFormatting sqref="O174:O177">
    <cfRule type="cellIs" dxfId="32" priority="14" operator="equal">
      <formula>"Jita Buy Price"</formula>
    </cfRule>
  </conditionalFormatting>
  <conditionalFormatting sqref="O166:O173">
    <cfRule type="cellIs" dxfId="31" priority="13" operator="equal">
      <formula>"Jita Buy Price"</formula>
    </cfRule>
  </conditionalFormatting>
  <conditionalFormatting sqref="O193:O194">
    <cfRule type="cellIs" dxfId="30" priority="12" operator="equal">
      <formula>"Jita Buy Price"</formula>
    </cfRule>
  </conditionalFormatting>
  <conditionalFormatting sqref="O189:O192">
    <cfRule type="cellIs" dxfId="29" priority="11" operator="equal">
      <formula>"Jita Buy Price"</formula>
    </cfRule>
  </conditionalFormatting>
  <conditionalFormatting sqref="O181:O188">
    <cfRule type="cellIs" dxfId="28" priority="10" operator="equal">
      <formula>"Jita Buy Price"</formula>
    </cfRule>
  </conditionalFormatting>
  <conditionalFormatting sqref="O45">
    <cfRule type="cellIs" dxfId="27" priority="5" operator="equal">
      <formula>"Jita Buy Price"</formula>
    </cfRule>
  </conditionalFormatting>
  <conditionalFormatting sqref="O46:O59">
    <cfRule type="cellIs" dxfId="26" priority="4" operator="equal">
      <formula>"Jita Buy Price"</formula>
    </cfRule>
  </conditionalFormatting>
  <conditionalFormatting sqref="O59">
    <cfRule type="cellIs" dxfId="25" priority="3" operator="equal">
      <formula>"Jita Buy Price"</formula>
    </cfRule>
  </conditionalFormatting>
  <conditionalFormatting sqref="O46:O58">
    <cfRule type="cellIs" dxfId="24" priority="2" operator="equal">
      <formula>"Jita Buy Price"</formula>
    </cfRule>
  </conditionalFormatting>
  <conditionalFormatting sqref="O136:O149">
    <cfRule type="cellIs" dxfId="23" priority="1" operator="equal">
      <formula>"Jita Buy Price"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E2CF-CDC6-45B4-B823-B97E4AED4FDF}">
  <sheetPr>
    <tabColor rgb="FFFF0000"/>
  </sheetPr>
  <dimension ref="A1:R583"/>
  <sheetViews>
    <sheetView topLeftCell="A515" zoomScaleNormal="100" workbookViewId="0">
      <selection activeCell="G548" sqref="G548"/>
    </sheetView>
  </sheetViews>
  <sheetFormatPr defaultRowHeight="14.5" x14ac:dyDescent="0.35"/>
  <cols>
    <col min="4" max="4" width="11.54296875" style="2" bestFit="1" customWidth="1"/>
    <col min="6" max="6" width="16.26953125" bestFit="1" customWidth="1"/>
    <col min="7" max="7" width="10.1796875" customWidth="1"/>
    <col min="8" max="8" width="14.26953125" bestFit="1" customWidth="1"/>
    <col min="9" max="9" width="10.54296875" bestFit="1" customWidth="1"/>
    <col min="10" max="10" width="14.26953125" bestFit="1" customWidth="1"/>
    <col min="11" max="11" width="13.26953125" style="3" bestFit="1" customWidth="1"/>
    <col min="12" max="12" width="10.453125" style="3" bestFit="1" customWidth="1"/>
    <col min="13" max="13" width="13.7265625" style="3" bestFit="1" customWidth="1"/>
    <col min="14" max="14" width="13.26953125" bestFit="1" customWidth="1"/>
    <col min="15" max="15" width="20.453125" bestFit="1" customWidth="1"/>
    <col min="16" max="17" width="14.26953125" customWidth="1"/>
    <col min="18" max="18" width="22.81640625" bestFit="1" customWidth="1"/>
  </cols>
  <sheetData>
    <row r="1" spans="1:18" x14ac:dyDescent="0.35">
      <c r="A1" t="s">
        <v>39</v>
      </c>
    </row>
    <row r="2" spans="1:18" x14ac:dyDescent="0.35">
      <c r="A2" t="s">
        <v>6</v>
      </c>
      <c r="D2" s="2" t="s">
        <v>21</v>
      </c>
      <c r="E2" t="s">
        <v>19</v>
      </c>
      <c r="G2" t="s">
        <v>24</v>
      </c>
      <c r="J2" t="s">
        <v>25</v>
      </c>
      <c r="K2" s="3" t="s">
        <v>30</v>
      </c>
      <c r="L2" s="3" t="s">
        <v>27</v>
      </c>
      <c r="M2" s="3" t="s">
        <v>35</v>
      </c>
      <c r="N2" t="s">
        <v>26</v>
      </c>
      <c r="O2" s="3" t="s">
        <v>34</v>
      </c>
      <c r="P2" s="3"/>
      <c r="Q2" s="3"/>
      <c r="R2" s="3"/>
    </row>
    <row r="3" spans="1:18" x14ac:dyDescent="0.35">
      <c r="A3" t="s">
        <v>8</v>
      </c>
      <c r="B3">
        <v>9</v>
      </c>
      <c r="C3">
        <v>9</v>
      </c>
      <c r="D3" s="23">
        <f>Pricing!F3</f>
        <v>130</v>
      </c>
      <c r="E3">
        <f>IF('Ship Component Reqs'!F3&lt;0,0,'Ship Component Reqs'!F3)</f>
        <v>36</v>
      </c>
      <c r="F3" s="13">
        <f>MAX(E3,_xlfn.CEILING.MATH(ROUNDUP(E3*C3*((1-10%)*(1-2%)*(1-1%)),20)))*D3</f>
        <v>36790</v>
      </c>
      <c r="G3" s="16">
        <f>MAX(E3,_xlfn.CEILING.MATH(ROUNDUP(E3*C3*((1-10%)*(1-2%)*(1-1%)),20)))</f>
        <v>283</v>
      </c>
      <c r="H3" s="4"/>
      <c r="I3" s="4"/>
      <c r="J3" t="str">
        <f>A3</f>
        <v>Tungsten Carbide</v>
      </c>
      <c r="K3" s="3">
        <f>G3+G7+G12+G17+G23+G28+G34</f>
        <v>200188</v>
      </c>
      <c r="L3" s="21"/>
      <c r="M3" s="7">
        <f t="shared" ref="M3:M11" si="0">((K3)-L3)</f>
        <v>200188</v>
      </c>
      <c r="N3">
        <f>D3</f>
        <v>130</v>
      </c>
      <c r="O3" s="14">
        <f>IF(M3&lt;0,0,M3*N3)</f>
        <v>26024440</v>
      </c>
      <c r="P3" s="2"/>
      <c r="Q3" s="2"/>
      <c r="R3" s="2"/>
    </row>
    <row r="4" spans="1:18" ht="16" x14ac:dyDescent="0.5">
      <c r="A4" t="s">
        <v>9</v>
      </c>
      <c r="B4">
        <v>2</v>
      </c>
      <c r="C4">
        <v>2</v>
      </c>
      <c r="D4" s="23">
        <f>Pricing!F26</f>
        <v>36700</v>
      </c>
      <c r="E4">
        <f>E3</f>
        <v>36</v>
      </c>
      <c r="F4" s="39">
        <f>MAX(E4,_xlfn.CEILING.MATH(ROUNDUP(E4*C4*((1-10%)*(1-2%)*(1-1%)),20)))*D4</f>
        <v>2312100</v>
      </c>
      <c r="G4" s="16">
        <f>MAX(E4,_xlfn.CEILING.MATH(ROUNDUP(E4*C4*((1-10%)*(1-2%)*(1-1%)),20)))</f>
        <v>63</v>
      </c>
      <c r="H4" s="4"/>
      <c r="J4" t="str">
        <f>A4</f>
        <v>Fermionic Condensates</v>
      </c>
      <c r="K4" s="3">
        <f>G4</f>
        <v>63</v>
      </c>
      <c r="L4" s="21"/>
      <c r="M4" s="7">
        <f t="shared" si="0"/>
        <v>63</v>
      </c>
      <c r="N4">
        <f>D4</f>
        <v>36700</v>
      </c>
      <c r="O4" s="14">
        <f t="shared" ref="O4:O10" si="1">IF(M4&lt;0,0,M4*N4)</f>
        <v>2312100</v>
      </c>
      <c r="P4" s="2"/>
      <c r="Q4" s="2"/>
      <c r="R4" s="2"/>
    </row>
    <row r="5" spans="1:18" x14ac:dyDescent="0.35">
      <c r="E5" s="1" t="str">
        <f>A2</f>
        <v>Antimatter Reactor Unit</v>
      </c>
      <c r="F5" s="4">
        <f>SUM(F3:F4)</f>
        <v>2348890</v>
      </c>
      <c r="G5" s="6"/>
      <c r="J5" t="str">
        <f>A8</f>
        <v>Phenolic Composites</v>
      </c>
      <c r="K5" s="3">
        <f>G8+G18</f>
        <v>10888</v>
      </c>
      <c r="L5" s="21"/>
      <c r="M5" s="7">
        <f t="shared" si="0"/>
        <v>10888</v>
      </c>
      <c r="N5">
        <f>D8</f>
        <v>950</v>
      </c>
      <c r="O5" s="14">
        <f t="shared" si="1"/>
        <v>10343600</v>
      </c>
      <c r="P5" s="2"/>
      <c r="Q5" s="2"/>
      <c r="R5" s="2"/>
    </row>
    <row r="6" spans="1:18" x14ac:dyDescent="0.35">
      <c r="A6" t="s">
        <v>1</v>
      </c>
      <c r="F6" s="4"/>
      <c r="G6" s="6"/>
      <c r="J6" t="str">
        <f>A9</f>
        <v>Ferrogel</v>
      </c>
      <c r="K6" s="3">
        <f>G9+G13</f>
        <v>524</v>
      </c>
      <c r="L6" s="21"/>
      <c r="M6" s="7">
        <f t="shared" si="0"/>
        <v>524</v>
      </c>
      <c r="N6">
        <f>D9</f>
        <v>19380</v>
      </c>
      <c r="O6" s="14">
        <f>IF(M6&lt;0,0,M6*N6)</f>
        <v>10155120</v>
      </c>
      <c r="P6" s="2"/>
      <c r="Q6" s="2"/>
      <c r="R6" s="2"/>
    </row>
    <row r="7" spans="1:18" x14ac:dyDescent="0.35">
      <c r="A7" t="str">
        <f>A3</f>
        <v>Tungsten Carbide</v>
      </c>
      <c r="B7">
        <v>12</v>
      </c>
      <c r="C7">
        <v>13</v>
      </c>
      <c r="D7" s="38">
        <f>D3</f>
        <v>130</v>
      </c>
      <c r="E7">
        <f>IF('Ship Component Reqs'!F4&lt;0,0,'Ship Component Reqs'!F4)</f>
        <v>348</v>
      </c>
      <c r="F7" s="13">
        <f t="shared" ref="F7:F8" si="2">MAX(E7,_xlfn.CEILING.MATH(ROUNDUP(E7*C7*((1-10%)*(1-2%)*(1-1%)),20)))*D7</f>
        <v>513630</v>
      </c>
      <c r="G7" s="16">
        <f t="shared" ref="G7:G8" si="3">MAX(E7,_xlfn.CEILING.MATH(ROUNDUP(E7*C7*((1-10%)*(1-2%)*(1-1%)),20)))</f>
        <v>3951</v>
      </c>
      <c r="J7" t="str">
        <f>A14</f>
        <v>Sylramic Fibers</v>
      </c>
      <c r="K7" s="3">
        <f>G14+G35</f>
        <v>35324</v>
      </c>
      <c r="L7" s="21"/>
      <c r="M7" s="7">
        <f t="shared" si="0"/>
        <v>35324</v>
      </c>
      <c r="N7">
        <f>D14</f>
        <v>208.9</v>
      </c>
      <c r="O7" s="14">
        <f t="shared" si="1"/>
        <v>7379183.6000000006</v>
      </c>
      <c r="P7" s="2"/>
      <c r="Q7" s="2"/>
      <c r="R7" s="2"/>
    </row>
    <row r="8" spans="1:18" x14ac:dyDescent="0.35">
      <c r="A8" t="s">
        <v>10</v>
      </c>
      <c r="B8">
        <v>3</v>
      </c>
      <c r="C8">
        <v>3</v>
      </c>
      <c r="D8" s="23">
        <f>Pricing!F27</f>
        <v>950</v>
      </c>
      <c r="E8">
        <f>E7</f>
        <v>348</v>
      </c>
      <c r="F8" s="13">
        <f t="shared" si="2"/>
        <v>866400</v>
      </c>
      <c r="G8" s="16">
        <f t="shared" si="3"/>
        <v>912</v>
      </c>
      <c r="J8" t="str">
        <f>A19</f>
        <v>Terahertz Meta Materials</v>
      </c>
      <c r="K8" s="3">
        <f>G19+G30</f>
        <v>4535</v>
      </c>
      <c r="L8" s="21"/>
      <c r="M8" s="7">
        <f t="shared" si="0"/>
        <v>4535</v>
      </c>
      <c r="N8">
        <f>D19</f>
        <v>9951</v>
      </c>
      <c r="O8" s="14">
        <f t="shared" si="1"/>
        <v>45127785</v>
      </c>
      <c r="P8" s="2"/>
      <c r="Q8" s="2"/>
      <c r="R8" s="2"/>
    </row>
    <row r="9" spans="1:18" ht="16" x14ac:dyDescent="0.5">
      <c r="A9" t="s">
        <v>11</v>
      </c>
      <c r="B9">
        <v>1</v>
      </c>
      <c r="C9">
        <v>1</v>
      </c>
      <c r="D9" s="23">
        <f>Pricing!F28</f>
        <v>19380</v>
      </c>
      <c r="E9">
        <f>E7</f>
        <v>348</v>
      </c>
      <c r="F9" s="39">
        <f>MAX(E9,_xlfn.CEILING.MATH(ROUNDUP(E9*C9*((1-10%)*(1-2%)*(1-1%)),20)))*D9</f>
        <v>6744240</v>
      </c>
      <c r="G9" s="16">
        <f>MAX(E9,_xlfn.CEILING.MATH(ROUNDUP(E9*C9*((1-10%)*(1-1%)),20)))</f>
        <v>348</v>
      </c>
      <c r="J9" t="str">
        <f>A20</f>
        <v>Nano Transistors</v>
      </c>
      <c r="K9" s="3">
        <f>G24+G29+G20</f>
        <v>4869</v>
      </c>
      <c r="L9" s="21">
        <v>36431</v>
      </c>
      <c r="M9" s="7">
        <f t="shared" si="0"/>
        <v>-31562</v>
      </c>
      <c r="N9">
        <f>D20</f>
        <v>2760</v>
      </c>
      <c r="O9" s="14">
        <f t="shared" si="1"/>
        <v>0</v>
      </c>
      <c r="P9" s="2"/>
      <c r="Q9" s="2"/>
      <c r="R9" s="2"/>
    </row>
    <row r="10" spans="1:18" x14ac:dyDescent="0.35">
      <c r="E10" s="1" t="str">
        <f>A6</f>
        <v>Fusion Thruster</v>
      </c>
      <c r="F10" s="4">
        <f>SUM(F7:F9)*1.03</f>
        <v>8367998.1000000006</v>
      </c>
      <c r="G10" s="6"/>
      <c r="J10" t="str">
        <f>A25</f>
        <v>Hypersynaptic Fibers</v>
      </c>
      <c r="K10" s="3">
        <f>G25</f>
        <v>1398</v>
      </c>
      <c r="L10" s="21"/>
      <c r="M10" s="7">
        <f t="shared" si="0"/>
        <v>1398</v>
      </c>
      <c r="N10">
        <f>D25</f>
        <v>5067</v>
      </c>
      <c r="O10" s="14">
        <f t="shared" si="1"/>
        <v>7083666</v>
      </c>
      <c r="P10" s="2"/>
      <c r="Q10" s="2"/>
      <c r="R10" s="2"/>
    </row>
    <row r="11" spans="1:18" ht="16" x14ac:dyDescent="0.5">
      <c r="A11" t="s">
        <v>7</v>
      </c>
      <c r="F11" s="4"/>
      <c r="G11" s="6"/>
      <c r="J11" t="str">
        <f>A31</f>
        <v>Fullerides</v>
      </c>
      <c r="K11" s="3">
        <f>G31</f>
        <v>6783</v>
      </c>
      <c r="L11" s="21"/>
      <c r="M11" s="7">
        <f t="shared" si="0"/>
        <v>6783</v>
      </c>
      <c r="N11">
        <f>D31</f>
        <v>502</v>
      </c>
      <c r="O11" s="12">
        <f>IF(M11&lt;0,0,M11*N11)</f>
        <v>3405066</v>
      </c>
      <c r="P11" s="2"/>
      <c r="Q11" s="12"/>
      <c r="R11" s="2"/>
    </row>
    <row r="12" spans="1:18" x14ac:dyDescent="0.35">
      <c r="A12" t="str">
        <f>A7</f>
        <v>Tungsten Carbide</v>
      </c>
      <c r="B12">
        <v>20</v>
      </c>
      <c r="C12">
        <v>22</v>
      </c>
      <c r="D12" s="38">
        <f>D3</f>
        <v>130</v>
      </c>
      <c r="E12">
        <f>IF('Ship Component Reqs'!F5&lt;0,0,'Ship Component Reqs'!F5)</f>
        <v>176</v>
      </c>
      <c r="F12" s="13">
        <f t="shared" ref="F12:F13" si="4">MAX(E12,_xlfn.CEILING.MATH(ROUNDUP(E12*C12*((1-10%)*(1-2%)*(1-1%)),20)))*D12</f>
        <v>439530</v>
      </c>
      <c r="G12" s="16">
        <f t="shared" ref="G12:G13" si="5">MAX(E12,_xlfn.CEILING.MATH(ROUNDUP(E12*C12*((1-10%)*(1-2%)*(1-1%)),20)))</f>
        <v>3381</v>
      </c>
      <c r="H12" s="4"/>
      <c r="K12" s="11"/>
      <c r="O12" s="4">
        <f>SUM(O3:O11)</f>
        <v>111830960.59999999</v>
      </c>
      <c r="P12" s="4"/>
      <c r="Q12" s="4"/>
      <c r="R12" s="4"/>
    </row>
    <row r="13" spans="1:18" x14ac:dyDescent="0.35">
      <c r="A13" t="str">
        <f>A9</f>
        <v>Ferrogel</v>
      </c>
      <c r="B13">
        <v>1</v>
      </c>
      <c r="C13">
        <v>1</v>
      </c>
      <c r="D13" s="38">
        <f>D9</f>
        <v>19380</v>
      </c>
      <c r="E13">
        <f>E12</f>
        <v>176</v>
      </c>
      <c r="F13" s="13">
        <f t="shared" si="4"/>
        <v>3410880</v>
      </c>
      <c r="G13" s="16">
        <f t="shared" si="5"/>
        <v>176</v>
      </c>
      <c r="J13" s="4"/>
      <c r="K13" t="s">
        <v>46</v>
      </c>
      <c r="R13" s="4"/>
    </row>
    <row r="14" spans="1:18" ht="16" x14ac:dyDescent="0.5">
      <c r="A14" t="s">
        <v>12</v>
      </c>
      <c r="B14">
        <v>9</v>
      </c>
      <c r="C14">
        <v>9</v>
      </c>
      <c r="D14" s="23">
        <f>Pricing!F29</f>
        <v>208.9</v>
      </c>
      <c r="E14">
        <f>E12</f>
        <v>176</v>
      </c>
      <c r="F14" s="39">
        <f>MAX(E14,_xlfn.CEILING.MATH(ROUNDUP(E14*C14*((1-10%)*(1-2%)*(1-1%)),20)))*D14</f>
        <v>289117.60000000003</v>
      </c>
      <c r="G14" s="16">
        <f>MAX(E14,_xlfn.CEILING.MATH(ROUNDUP(E14*C14*((1-10%)*(1-1%)),20)))</f>
        <v>1412</v>
      </c>
    </row>
    <row r="15" spans="1:18" x14ac:dyDescent="0.35">
      <c r="E15" s="1" t="str">
        <f>A11</f>
        <v>Linear Shield Emitter</v>
      </c>
      <c r="F15" s="4">
        <f>SUM(F12:F14)*1.03</f>
        <v>4263713.4280000003</v>
      </c>
      <c r="G15" s="6"/>
      <c r="J15" s="4" t="s">
        <v>285</v>
      </c>
    </row>
    <row r="16" spans="1:18" x14ac:dyDescent="0.35">
      <c r="A16" t="s">
        <v>4</v>
      </c>
      <c r="F16" s="4"/>
      <c r="G16" s="6"/>
      <c r="J16" t="s">
        <v>283</v>
      </c>
    </row>
    <row r="17" spans="1:15" x14ac:dyDescent="0.35">
      <c r="A17" t="str">
        <f>A12</f>
        <v>Tungsten Carbide</v>
      </c>
      <c r="B17">
        <v>16</v>
      </c>
      <c r="C17">
        <v>17</v>
      </c>
      <c r="D17" s="2">
        <f>D12</f>
        <v>130</v>
      </c>
      <c r="E17">
        <f>IF('Ship Component Reqs'!F6&lt;0,0,'Ship Component Reqs'!F6)</f>
        <v>1904</v>
      </c>
      <c r="F17" s="13">
        <f t="shared" ref="F17:F19" si="6">MAX(E17,_xlfn.CEILING.MATH(ROUNDUP(E17*C17*((1-10%)*(1-2%)*(1-1%)),20)))*D17</f>
        <v>3674320</v>
      </c>
      <c r="G17" s="16">
        <f t="shared" ref="G17:G19" si="7">MAX(E17,_xlfn.CEILING.MATH(ROUNDUP(E17*C17*((1-10%)*(1-2%)*(1-1%)),20)))</f>
        <v>28264</v>
      </c>
      <c r="H17" s="4"/>
      <c r="J17" t="str">
        <f>A3</f>
        <v>Tungsten Carbide</v>
      </c>
      <c r="K17" s="3">
        <v>31</v>
      </c>
      <c r="L17" s="3">
        <f>D3</f>
        <v>130</v>
      </c>
      <c r="M17" s="3">
        <f>'BP Tech 2 Manufacture Nonship'!$F$33</f>
        <v>288</v>
      </c>
      <c r="N17" s="2">
        <f>MAX(M17,_xlfn.CEILING.MATH(ROUNDUP(M17*K17*((1-10%)*(1-1%)),20)))*L17</f>
        <v>1034150</v>
      </c>
      <c r="O17" s="16">
        <f>MAX(M17,_xlfn.CEILING.MATH(ROUNDUP(M17*K17*((1-10%)*(1-1%)),20)))</f>
        <v>7955</v>
      </c>
    </row>
    <row r="18" spans="1:15" x14ac:dyDescent="0.35">
      <c r="A18" t="str">
        <f>A8</f>
        <v>Phenolic Composites</v>
      </c>
      <c r="B18">
        <v>6</v>
      </c>
      <c r="C18">
        <v>6</v>
      </c>
      <c r="D18" s="2">
        <f>D8</f>
        <v>950</v>
      </c>
      <c r="E18">
        <f>E17</f>
        <v>1904</v>
      </c>
      <c r="F18" s="13">
        <f t="shared" si="6"/>
        <v>9477200</v>
      </c>
      <c r="G18" s="16">
        <f t="shared" si="7"/>
        <v>9976</v>
      </c>
      <c r="J18" t="str">
        <f>A25</f>
        <v>Hypersynaptic Fibers</v>
      </c>
      <c r="K18" s="3">
        <v>1</v>
      </c>
      <c r="L18" s="3">
        <f>D25</f>
        <v>5067</v>
      </c>
      <c r="M18" s="3">
        <f>'BP Tech 2 Manufacture Nonship'!$F$33</f>
        <v>288</v>
      </c>
      <c r="N18" s="2">
        <f>MAX(M18,_xlfn.CEILING.MATH(ROUNDUP(M18*K18*((1-10%)*(1-1%)),20)))*L18</f>
        <v>1459296</v>
      </c>
      <c r="O18" s="16">
        <f>MAX(M18,_xlfn.CEILING.MATH(ROUNDUP(M18*K18*((1-10%)*(1-1%)),20)))</f>
        <v>288</v>
      </c>
    </row>
    <row r="19" spans="1:15" x14ac:dyDescent="0.35">
      <c r="A19" t="s">
        <v>13</v>
      </c>
      <c r="B19">
        <v>2</v>
      </c>
      <c r="C19">
        <v>2</v>
      </c>
      <c r="D19" s="23">
        <f>Pricing!F5</f>
        <v>9951</v>
      </c>
      <c r="E19">
        <f>E17</f>
        <v>1904</v>
      </c>
      <c r="F19" s="13">
        <f t="shared" si="6"/>
        <v>33097026</v>
      </c>
      <c r="G19" s="16">
        <f t="shared" si="7"/>
        <v>3326</v>
      </c>
      <c r="J19" t="str">
        <f>A31</f>
        <v>Fullerides</v>
      </c>
      <c r="K19" s="3">
        <v>11</v>
      </c>
      <c r="L19" s="3">
        <f>D31</f>
        <v>502</v>
      </c>
      <c r="M19" s="3">
        <f>'BP Tech 2 Manufacture Nonship'!$F$33</f>
        <v>288</v>
      </c>
      <c r="N19" s="2">
        <f>MAX(M19,_xlfn.CEILING.MATH(ROUNDUP(M19*K19*((1-10%)*(1-1%)),20)))*L19</f>
        <v>1417146</v>
      </c>
      <c r="O19" s="16">
        <f>MAX(M19,_xlfn.CEILING.MATH(ROUNDUP(M19*K19*((1-10%)*(1-1%)),20)))</f>
        <v>2823</v>
      </c>
    </row>
    <row r="20" spans="1:15" ht="16" x14ac:dyDescent="0.5">
      <c r="A20" t="s">
        <v>14</v>
      </c>
      <c r="B20">
        <v>2</v>
      </c>
      <c r="C20">
        <v>2</v>
      </c>
      <c r="D20" s="23">
        <f>Pricing!F30</f>
        <v>2760</v>
      </c>
      <c r="E20">
        <f>E18</f>
        <v>1904</v>
      </c>
      <c r="F20" s="39">
        <f>MAX(E20,_xlfn.CEILING.MATH(ROUNDUP(E20*C20*((1-10%)*(1-2%)*(1-1%)),20)))*D20</f>
        <v>9179760</v>
      </c>
      <c r="G20" s="16">
        <f>MAX(E20,_xlfn.CEILING.MATH(ROUNDUP(E20*C20*((1-10%)*(1-1%)),20)))</f>
        <v>3393</v>
      </c>
      <c r="N20" s="2">
        <f>SUM(N17:N19)</f>
        <v>3910592</v>
      </c>
    </row>
    <row r="21" spans="1:15" x14ac:dyDescent="0.35">
      <c r="E21" s="1" t="str">
        <f>A16</f>
        <v>Nanoelectrical Microprocessor</v>
      </c>
      <c r="F21" s="4">
        <f>SUM(F17:F20)*1.03</f>
        <v>57091155.18</v>
      </c>
      <c r="G21" s="6"/>
    </row>
    <row r="22" spans="1:15" x14ac:dyDescent="0.35">
      <c r="A22" t="s">
        <v>3</v>
      </c>
      <c r="F22" s="4"/>
      <c r="G22" s="6"/>
    </row>
    <row r="23" spans="1:15" x14ac:dyDescent="0.35">
      <c r="A23" t="str">
        <f>A17</f>
        <v>Tungsten Carbide</v>
      </c>
      <c r="B23">
        <v>20</v>
      </c>
      <c r="C23">
        <v>22</v>
      </c>
      <c r="D23" s="2">
        <f>D17</f>
        <v>130</v>
      </c>
      <c r="E23">
        <f>IF('Ship Component Reqs'!F7&lt;0,0,'Ship Component Reqs'!F7)</f>
        <v>784</v>
      </c>
      <c r="F23" s="13">
        <f t="shared" ref="F23:F24" si="8">MAX(E23,_xlfn.CEILING.MATH(ROUNDUP(E23*C23*((1-10%)*(1-2%)*(1-1%)),20)))*D23</f>
        <v>1957930</v>
      </c>
      <c r="G23" s="16">
        <f t="shared" ref="G23:G24" si="9">MAX(E23,_xlfn.CEILING.MATH(ROUNDUP(E23*C23*((1-10%)*(1-2%)*(1-1%)),20)))</f>
        <v>15061</v>
      </c>
      <c r="H23" s="4"/>
      <c r="K23" s="15"/>
    </row>
    <row r="24" spans="1:15" x14ac:dyDescent="0.35">
      <c r="A24" t="s">
        <v>14</v>
      </c>
      <c r="B24">
        <v>1</v>
      </c>
      <c r="C24">
        <v>1</v>
      </c>
      <c r="D24" s="2">
        <f>D20</f>
        <v>2760</v>
      </c>
      <c r="E24">
        <f>E23</f>
        <v>784</v>
      </c>
      <c r="F24" s="13">
        <f t="shared" si="8"/>
        <v>2163840</v>
      </c>
      <c r="G24" s="16">
        <f t="shared" si="9"/>
        <v>784</v>
      </c>
    </row>
    <row r="25" spans="1:15" ht="16" x14ac:dyDescent="0.5">
      <c r="A25" t="s">
        <v>15</v>
      </c>
      <c r="B25">
        <v>2</v>
      </c>
      <c r="C25">
        <v>2</v>
      </c>
      <c r="D25" s="23">
        <f>Pricing!F31</f>
        <v>5067</v>
      </c>
      <c r="E25">
        <f>E24</f>
        <v>784</v>
      </c>
      <c r="F25" s="39">
        <f>MAX(E25,_xlfn.CEILING.MATH(ROUNDUP(E25*C25*((1-10%)*(1-2%)*(1-1%)),20)))*D25</f>
        <v>6941790</v>
      </c>
      <c r="G25" s="16">
        <f>MAX(E25,_xlfn.CEILING.MATH(ROUNDUP(E25*C25*((1-10%)*(1-1%)),20)))</f>
        <v>1398</v>
      </c>
    </row>
    <row r="26" spans="1:15" x14ac:dyDescent="0.35">
      <c r="E26" s="1" t="str">
        <f>A22</f>
        <v>Radar Sensor Cluster</v>
      </c>
      <c r="F26" s="4">
        <f>SUM(F23:F25)*1.03</f>
        <v>11395466.800000001</v>
      </c>
      <c r="G26" s="6"/>
    </row>
    <row r="27" spans="1:15" x14ac:dyDescent="0.35">
      <c r="A27" t="s">
        <v>2</v>
      </c>
      <c r="F27" s="4"/>
      <c r="G27" s="6"/>
    </row>
    <row r="28" spans="1:15" x14ac:dyDescent="0.35">
      <c r="A28" t="str">
        <f>A23</f>
        <v>Tungsten Carbide</v>
      </c>
      <c r="B28">
        <v>25</v>
      </c>
      <c r="C28">
        <v>27</v>
      </c>
      <c r="D28" s="2">
        <f>D23</f>
        <v>130</v>
      </c>
      <c r="E28">
        <f>IF('Ship Component Reqs'!F8&lt;0,0,'Ship Component Reqs'!F8)</f>
        <v>692</v>
      </c>
      <c r="F28" s="13">
        <f t="shared" ref="F28:F30" si="10">MAX(E28,_xlfn.CEILING.MATH(ROUNDUP(E28*C28*((1-10%)*(1-2%)*(1-1%)),20)))*D28</f>
        <v>2120950</v>
      </c>
      <c r="G28" s="16">
        <f t="shared" ref="G28:G30" si="11">MAX(E28,_xlfn.CEILING.MATH(ROUNDUP(E28*C28*((1-10%)*(1-2%)*(1-1%)),20)))</f>
        <v>16315</v>
      </c>
      <c r="H28" s="4"/>
    </row>
    <row r="29" spans="1:15" x14ac:dyDescent="0.35">
      <c r="A29" t="str">
        <f>A24</f>
        <v>Nano Transistors</v>
      </c>
      <c r="B29">
        <v>1</v>
      </c>
      <c r="C29">
        <v>1</v>
      </c>
      <c r="D29" s="2">
        <f>D24</f>
        <v>2760</v>
      </c>
      <c r="E29">
        <f>E28</f>
        <v>692</v>
      </c>
      <c r="F29" s="13">
        <f t="shared" si="10"/>
        <v>1909920</v>
      </c>
      <c r="G29" s="16">
        <f t="shared" si="11"/>
        <v>692</v>
      </c>
    </row>
    <row r="30" spans="1:15" x14ac:dyDescent="0.35">
      <c r="A30" t="str">
        <f>A19</f>
        <v>Terahertz Meta Materials</v>
      </c>
      <c r="B30">
        <v>2</v>
      </c>
      <c r="C30">
        <v>2</v>
      </c>
      <c r="D30" s="2">
        <f>D19</f>
        <v>9951</v>
      </c>
      <c r="E30">
        <f>E28</f>
        <v>692</v>
      </c>
      <c r="F30" s="13">
        <f t="shared" si="10"/>
        <v>12030759</v>
      </c>
      <c r="G30" s="16">
        <f t="shared" si="11"/>
        <v>1209</v>
      </c>
      <c r="I30" s="11"/>
    </row>
    <row r="31" spans="1:15" ht="16" x14ac:dyDescent="0.5">
      <c r="A31" t="s">
        <v>16</v>
      </c>
      <c r="B31">
        <v>10</v>
      </c>
      <c r="C31">
        <v>11</v>
      </c>
      <c r="D31" s="23">
        <f>Pricing!F32</f>
        <v>502</v>
      </c>
      <c r="E31">
        <f>E29</f>
        <v>692</v>
      </c>
      <c r="F31" s="39">
        <f>MAX(E31,_xlfn.CEILING.MATH(ROUNDUP(E31*C31*((1-10%)*(1-2%)*(1-1%)),20)))*D31</f>
        <v>3336794</v>
      </c>
      <c r="G31" s="16">
        <f>MAX(E31,_xlfn.CEILING.MATH(ROUNDUP(E31*C31*((1-10%)*(1-1%)),20)))</f>
        <v>6783</v>
      </c>
    </row>
    <row r="32" spans="1:15" x14ac:dyDescent="0.35">
      <c r="E32" s="1" t="str">
        <f>A27</f>
        <v>Tesseract Capacitor Unit</v>
      </c>
      <c r="F32" s="4">
        <f>SUM(F28:F31)*1.03</f>
        <v>19980375.690000001</v>
      </c>
      <c r="G32" s="6"/>
    </row>
    <row r="33" spans="1:15" x14ac:dyDescent="0.35">
      <c r="A33" t="s">
        <v>5</v>
      </c>
      <c r="F33" s="4"/>
      <c r="G33" s="6"/>
    </row>
    <row r="34" spans="1:15" x14ac:dyDescent="0.35">
      <c r="A34" t="str">
        <f>A28</f>
        <v>Tungsten Carbide</v>
      </c>
      <c r="B34">
        <v>40</v>
      </c>
      <c r="C34">
        <v>44</v>
      </c>
      <c r="D34" s="2">
        <f>D28</f>
        <v>130</v>
      </c>
      <c r="E34">
        <f>IF('Ship Component Reqs'!F9&lt;0,0,'Ship Component Reqs'!F9)</f>
        <v>3460</v>
      </c>
      <c r="F34" s="13">
        <f>MAX(E34,_xlfn.CEILING.MATH(ROUNDUP(E34*C34*((1-10%)*(1-2%)*(1-1%)),20)))*D34</f>
        <v>17281290</v>
      </c>
      <c r="G34" s="16">
        <f>MAX(E34,_xlfn.CEILING.MATH(ROUNDUP(E34*C34*((1-10%)*(1-2%)*(1-1%)),20)))</f>
        <v>132933</v>
      </c>
      <c r="H34" s="4"/>
    </row>
    <row r="35" spans="1:15" ht="16" x14ac:dyDescent="0.5">
      <c r="A35" t="str">
        <f>A14</f>
        <v>Sylramic Fibers</v>
      </c>
      <c r="B35">
        <v>10</v>
      </c>
      <c r="C35">
        <v>11</v>
      </c>
      <c r="D35" s="2">
        <f>D14</f>
        <v>208.9</v>
      </c>
      <c r="E35">
        <f>E34</f>
        <v>3460</v>
      </c>
      <c r="F35" s="39">
        <f>MAX(E35,_xlfn.CEILING.MATH(ROUNDUP(E35*C35*((1-10%)*(1-2%)*(1-1%)),20)))*D35</f>
        <v>6942582.6000000006</v>
      </c>
      <c r="G35" s="16">
        <f>MAX(E35,_xlfn.CEILING.MATH(ROUNDUP(E35*C35*((1-10%)*(1-1%)),20)))</f>
        <v>33912</v>
      </c>
    </row>
    <row r="36" spans="1:15" x14ac:dyDescent="0.35">
      <c r="E36" s="1" t="str">
        <f>A33</f>
        <v>Tungsten Carbide Armor Plate</v>
      </c>
      <c r="F36" s="4">
        <f>SUM(F34:F35)*1.03</f>
        <v>24950588.778000001</v>
      </c>
      <c r="G36" s="4"/>
      <c r="H36" s="4"/>
    </row>
    <row r="37" spans="1:15" s="18" customFormat="1" x14ac:dyDescent="0.35">
      <c r="D37" s="31"/>
      <c r="K37" s="19"/>
      <c r="L37" s="19"/>
      <c r="M37" s="19"/>
    </row>
    <row r="38" spans="1:15" x14ac:dyDescent="0.35">
      <c r="A38" t="s">
        <v>187</v>
      </c>
    </row>
    <row r="39" spans="1:15" x14ac:dyDescent="0.35">
      <c r="A39" t="s">
        <v>6</v>
      </c>
      <c r="D39" s="2" t="s">
        <v>21</v>
      </c>
      <c r="E39" t="s">
        <v>19</v>
      </c>
      <c r="G39" t="s">
        <v>24</v>
      </c>
      <c r="J39" t="s">
        <v>25</v>
      </c>
      <c r="K39" s="3" t="s">
        <v>30</v>
      </c>
      <c r="L39" s="3" t="s">
        <v>27</v>
      </c>
      <c r="M39" s="3" t="s">
        <v>35</v>
      </c>
      <c r="N39" t="s">
        <v>26</v>
      </c>
      <c r="O39" s="3" t="s">
        <v>34</v>
      </c>
    </row>
    <row r="40" spans="1:15" x14ac:dyDescent="0.35">
      <c r="A40" t="s">
        <v>8</v>
      </c>
      <c r="B40">
        <v>9</v>
      </c>
      <c r="C40">
        <v>9</v>
      </c>
      <c r="D40" s="23">
        <f>D3</f>
        <v>130</v>
      </c>
      <c r="E40">
        <f>IF('Ship Component Reqs'!F18&lt;0,0,'Ship Component Reqs'!F18)</f>
        <v>96</v>
      </c>
      <c r="F40" s="13">
        <f>MAX(E40,_xlfn.CEILING.MATH(ROUNDUP(E40*C40*((1-10%)*(1-2%)*(1-1%)),20)))*D40</f>
        <v>98150</v>
      </c>
      <c r="G40" s="16">
        <f>MAX(E40,_xlfn.CEILING.MATH(ROUNDUP(E40*C40*((1-10%)*(1-2%)*(1-1%)),20)))</f>
        <v>755</v>
      </c>
      <c r="H40" s="4"/>
      <c r="I40" s="4"/>
      <c r="J40" t="str">
        <f>A40</f>
        <v>Tungsten Carbide</v>
      </c>
      <c r="K40" s="3">
        <f>G40+G44+G49+G54+G60+G65+G71</f>
        <v>268298</v>
      </c>
      <c r="L40" s="21">
        <v>0</v>
      </c>
      <c r="M40" s="7">
        <f t="shared" ref="M40:M48" si="12">((K40)-L40)</f>
        <v>268298</v>
      </c>
      <c r="N40" s="4">
        <f>D40</f>
        <v>130</v>
      </c>
      <c r="O40" s="14">
        <f t="shared" ref="O40:O48" si="13">IF(M40&lt;0,0,M40*N40)</f>
        <v>34878740</v>
      </c>
    </row>
    <row r="41" spans="1:15" ht="16" x14ac:dyDescent="0.5">
      <c r="A41" t="s">
        <v>9</v>
      </c>
      <c r="B41">
        <v>2</v>
      </c>
      <c r="C41">
        <v>2</v>
      </c>
      <c r="D41" s="23">
        <f>D4</f>
        <v>36700</v>
      </c>
      <c r="E41">
        <f>E40</f>
        <v>96</v>
      </c>
      <c r="F41" s="39">
        <f>MAX(E41,_xlfn.CEILING.MATH(ROUNDUP(E41*C41*((1-10%)*(1-2%)*(1-1%)),20)))*D41</f>
        <v>6165600</v>
      </c>
      <c r="G41" s="16">
        <f>MAX(E41,_xlfn.CEILING.MATH(ROUNDUP(E41*C41*((1-10%)*(1-2%)*(1-1%)),20)))</f>
        <v>168</v>
      </c>
      <c r="H41" s="4"/>
      <c r="J41" t="str">
        <f>A41</f>
        <v>Fermionic Condensates</v>
      </c>
      <c r="K41" s="3">
        <f>G41</f>
        <v>168</v>
      </c>
      <c r="L41" s="21">
        <v>0</v>
      </c>
      <c r="M41" s="7">
        <f t="shared" si="12"/>
        <v>168</v>
      </c>
      <c r="N41" s="2">
        <f>D41</f>
        <v>36700</v>
      </c>
      <c r="O41" s="14">
        <f t="shared" si="13"/>
        <v>6165600</v>
      </c>
    </row>
    <row r="42" spans="1:15" x14ac:dyDescent="0.35">
      <c r="E42" s="1" t="str">
        <f>A39</f>
        <v>Antimatter Reactor Unit</v>
      </c>
      <c r="F42" s="4">
        <f>SUM(F40:F41)</f>
        <v>6263750</v>
      </c>
      <c r="G42" s="6"/>
      <c r="J42" t="str">
        <f>A45</f>
        <v>Phenolic Composites</v>
      </c>
      <c r="K42" s="3">
        <f>G45+G55</f>
        <v>15718</v>
      </c>
      <c r="L42" s="21">
        <v>0</v>
      </c>
      <c r="M42" s="7">
        <f t="shared" si="12"/>
        <v>15718</v>
      </c>
      <c r="N42" s="4">
        <f>D45</f>
        <v>950</v>
      </c>
      <c r="O42" s="14">
        <f t="shared" si="13"/>
        <v>14932100</v>
      </c>
    </row>
    <row r="43" spans="1:15" x14ac:dyDescent="0.35">
      <c r="A43" t="s">
        <v>1</v>
      </c>
      <c r="F43" s="4"/>
      <c r="G43" s="6"/>
      <c r="J43" t="str">
        <f>A46</f>
        <v>Ferrogel</v>
      </c>
      <c r="K43" s="3">
        <f>G46+G50</f>
        <v>696</v>
      </c>
      <c r="L43" s="21">
        <v>0</v>
      </c>
      <c r="M43" s="7">
        <f t="shared" si="12"/>
        <v>696</v>
      </c>
      <c r="N43" s="4">
        <f>D46</f>
        <v>19380</v>
      </c>
      <c r="O43" s="14">
        <f t="shared" si="13"/>
        <v>13488480</v>
      </c>
    </row>
    <row r="44" spans="1:15" x14ac:dyDescent="0.35">
      <c r="A44" t="str">
        <f>A40</f>
        <v>Tungsten Carbide</v>
      </c>
      <c r="B44">
        <v>12</v>
      </c>
      <c r="C44">
        <v>13</v>
      </c>
      <c r="D44" s="38">
        <f>D40</f>
        <v>130</v>
      </c>
      <c r="E44">
        <f>IF('Ship Component Reqs'!F19&lt;0,0,'Ship Component Reqs'!F19)</f>
        <v>464</v>
      </c>
      <c r="F44" s="13">
        <f t="shared" ref="F44:F45" si="14">MAX(E44,_xlfn.CEILING.MATH(ROUNDUP(E44*C44*((1-10%)*(1-2%)*(1-1%)),20)))*D44</f>
        <v>684840</v>
      </c>
      <c r="G44" s="16">
        <f t="shared" ref="G44:G45" si="15">MAX(E44,_xlfn.CEILING.MATH(ROUNDUP(E44*C44*((1-10%)*(1-2%)*(1-1%)),20)))</f>
        <v>5268</v>
      </c>
      <c r="J44" t="str">
        <f>A51</f>
        <v>Sylramic Fibers</v>
      </c>
      <c r="K44" s="3">
        <f>G51+G72</f>
        <v>47064</v>
      </c>
      <c r="L44" s="21">
        <v>0</v>
      </c>
      <c r="M44" s="7">
        <f t="shared" si="12"/>
        <v>47064</v>
      </c>
      <c r="N44" s="4">
        <f>D51</f>
        <v>208.9</v>
      </c>
      <c r="O44" s="14">
        <f t="shared" si="13"/>
        <v>9831669.5999999996</v>
      </c>
    </row>
    <row r="45" spans="1:15" x14ac:dyDescent="0.35">
      <c r="A45" t="s">
        <v>10</v>
      </c>
      <c r="B45">
        <v>3</v>
      </c>
      <c r="C45">
        <v>3</v>
      </c>
      <c r="D45" s="23">
        <f>D8</f>
        <v>950</v>
      </c>
      <c r="E45">
        <f>E44</f>
        <v>464</v>
      </c>
      <c r="F45" s="13">
        <f t="shared" si="14"/>
        <v>1155200</v>
      </c>
      <c r="G45" s="16">
        <f t="shared" si="15"/>
        <v>1216</v>
      </c>
      <c r="J45" t="str">
        <f>A56</f>
        <v>Terahertz Meta Materials</v>
      </c>
      <c r="K45" s="3">
        <f>G56+G67</f>
        <v>6448</v>
      </c>
      <c r="L45" s="21"/>
      <c r="M45" s="7">
        <f t="shared" si="12"/>
        <v>6448</v>
      </c>
      <c r="N45" s="4">
        <f>D56</f>
        <v>9951</v>
      </c>
      <c r="O45" s="14">
        <f t="shared" si="13"/>
        <v>64164048</v>
      </c>
    </row>
    <row r="46" spans="1:15" ht="16" x14ac:dyDescent="0.5">
      <c r="A46" t="s">
        <v>11</v>
      </c>
      <c r="B46">
        <v>1</v>
      </c>
      <c r="C46">
        <v>1</v>
      </c>
      <c r="D46" s="23">
        <f>D9</f>
        <v>19380</v>
      </c>
      <c r="E46">
        <f>E44</f>
        <v>464</v>
      </c>
      <c r="F46" s="39">
        <f>MAX(E46,_xlfn.CEILING.MATH(ROUNDUP(E46*C46*((1-10%)*(1-2%)*(1-1%)),20)))*D46</f>
        <v>8992320</v>
      </c>
      <c r="G46" s="16">
        <f>MAX(E46,_xlfn.CEILING.MATH(ROUNDUP(E46*C46*((1-10%)*(1-1%)),20)))</f>
        <v>464</v>
      </c>
      <c r="J46" t="str">
        <f>A57</f>
        <v>Nano Transistors</v>
      </c>
      <c r="K46" s="3">
        <f>G61+G66+G57</f>
        <v>6781</v>
      </c>
      <c r="L46" s="21">
        <v>0</v>
      </c>
      <c r="M46" s="7">
        <f>((K46)-L46)</f>
        <v>6781</v>
      </c>
      <c r="N46" s="4">
        <f>D57</f>
        <v>2760</v>
      </c>
      <c r="O46" s="14">
        <f t="shared" si="13"/>
        <v>18715560</v>
      </c>
    </row>
    <row r="47" spans="1:15" x14ac:dyDescent="0.35">
      <c r="E47" s="1" t="str">
        <f>A43</f>
        <v>Fusion Thruster</v>
      </c>
      <c r="F47" s="4">
        <f>SUM(F44:F46)*1.03</f>
        <v>11157330.800000001</v>
      </c>
      <c r="G47" s="6"/>
      <c r="J47" t="str">
        <f>A62</f>
        <v>Hypersynaptic Fibers</v>
      </c>
      <c r="K47" s="3">
        <f>G62</f>
        <v>1647</v>
      </c>
      <c r="L47" s="21">
        <v>0</v>
      </c>
      <c r="M47" s="7">
        <f t="shared" si="12"/>
        <v>1647</v>
      </c>
      <c r="N47" s="4">
        <f>D62</f>
        <v>5067</v>
      </c>
      <c r="O47" s="14">
        <f t="shared" si="13"/>
        <v>8345349</v>
      </c>
    </row>
    <row r="48" spans="1:15" ht="16" x14ac:dyDescent="0.5">
      <c r="A48" t="s">
        <v>7</v>
      </c>
      <c r="F48" s="4"/>
      <c r="G48" s="6"/>
      <c r="J48" t="str">
        <f>A68</f>
        <v>Fullerides</v>
      </c>
      <c r="K48" s="3">
        <f>G68</f>
        <v>9057</v>
      </c>
      <c r="L48" s="21">
        <v>0</v>
      </c>
      <c r="M48" s="7">
        <f t="shared" si="12"/>
        <v>9057</v>
      </c>
      <c r="N48" s="4">
        <f>D68</f>
        <v>502</v>
      </c>
      <c r="O48" s="12">
        <f t="shared" si="13"/>
        <v>4546614</v>
      </c>
    </row>
    <row r="49" spans="1:15" x14ac:dyDescent="0.35">
      <c r="A49" t="str">
        <f>A44</f>
        <v>Tungsten Carbide</v>
      </c>
      <c r="B49">
        <v>20</v>
      </c>
      <c r="C49">
        <v>22</v>
      </c>
      <c r="D49" s="38">
        <f>D40</f>
        <v>130</v>
      </c>
      <c r="E49">
        <f>IF('Ship Component Reqs'!F20&lt;0,0,'Ship Component Reqs'!F20)</f>
        <v>232</v>
      </c>
      <c r="F49" s="13">
        <f t="shared" ref="F49:F50" si="16">MAX(E49,_xlfn.CEILING.MATH(ROUNDUP(E49*C49*((1-10%)*(1-2%)*(1-1%)),20)))*D49</f>
        <v>579410</v>
      </c>
      <c r="G49" s="16">
        <f t="shared" ref="G49:G50" si="17">MAX(E49,_xlfn.CEILING.MATH(ROUNDUP(E49*C49*((1-10%)*(1-2%)*(1-1%)),20)))</f>
        <v>4457</v>
      </c>
      <c r="H49" s="4"/>
      <c r="K49" s="11"/>
      <c r="O49" s="4">
        <f>SUM(O40:O48)</f>
        <v>175068160.59999999</v>
      </c>
    </row>
    <row r="50" spans="1:15" x14ac:dyDescent="0.35">
      <c r="A50" t="str">
        <f>A46</f>
        <v>Ferrogel</v>
      </c>
      <c r="B50">
        <v>1</v>
      </c>
      <c r="C50">
        <v>1</v>
      </c>
      <c r="D50" s="38">
        <f>D46</f>
        <v>19380</v>
      </c>
      <c r="E50">
        <f>E49</f>
        <v>232</v>
      </c>
      <c r="F50" s="13">
        <f t="shared" si="16"/>
        <v>4496160</v>
      </c>
      <c r="G50" s="16">
        <f t="shared" si="17"/>
        <v>232</v>
      </c>
      <c r="J50" s="4"/>
      <c r="K50" t="s">
        <v>46</v>
      </c>
    </row>
    <row r="51" spans="1:15" ht="16" x14ac:dyDescent="0.5">
      <c r="A51" t="s">
        <v>12</v>
      </c>
      <c r="B51">
        <v>9</v>
      </c>
      <c r="C51">
        <v>9</v>
      </c>
      <c r="D51" s="23">
        <f>D14</f>
        <v>208.9</v>
      </c>
      <c r="E51">
        <f>E49</f>
        <v>232</v>
      </c>
      <c r="F51" s="39">
        <f>MAX(E51,_xlfn.CEILING.MATH(ROUNDUP(E51*C51*((1-10%)*(1-2%)*(1-1%)),20)))*D51</f>
        <v>381033.60000000003</v>
      </c>
      <c r="G51" s="16">
        <f>MAX(E51,_xlfn.CEILING.MATH(ROUNDUP(E51*C51*((1-10%)*(1-1%)),20)))</f>
        <v>1861</v>
      </c>
    </row>
    <row r="52" spans="1:15" x14ac:dyDescent="0.35">
      <c r="E52" s="1" t="str">
        <f>A48</f>
        <v>Linear Shield Emitter</v>
      </c>
      <c r="F52" s="4">
        <f>SUM(F49:F51)*1.03</f>
        <v>5620301.7079999996</v>
      </c>
      <c r="G52" s="6"/>
      <c r="J52" s="4"/>
    </row>
    <row r="53" spans="1:15" x14ac:dyDescent="0.35">
      <c r="A53" t="s">
        <v>4</v>
      </c>
      <c r="F53" s="4"/>
      <c r="G53" s="6"/>
    </row>
    <row r="54" spans="1:15" x14ac:dyDescent="0.35">
      <c r="A54" t="str">
        <f>A49</f>
        <v>Tungsten Carbide</v>
      </c>
      <c r="B54">
        <v>16</v>
      </c>
      <c r="C54">
        <v>17</v>
      </c>
      <c r="D54" s="2">
        <f>D49</f>
        <v>130</v>
      </c>
      <c r="E54">
        <f>IF('Ship Component Reqs'!F21&lt;0,0,'Ship Component Reqs'!F21)</f>
        <v>2768</v>
      </c>
      <c r="F54" s="13">
        <f t="shared" ref="F54:F56" si="18">MAX(E54,_xlfn.CEILING.MATH(ROUNDUP(E54*C54*((1-10%)*(1-2%)*(1-1%)),20)))*D54</f>
        <v>5341570</v>
      </c>
      <c r="G54" s="16">
        <f t="shared" ref="G54:G56" si="19">MAX(E54,_xlfn.CEILING.MATH(ROUNDUP(E54*C54*((1-10%)*(1-2%)*(1-1%)),20)))</f>
        <v>41089</v>
      </c>
      <c r="H54" s="4"/>
    </row>
    <row r="55" spans="1:15" x14ac:dyDescent="0.35">
      <c r="A55" t="str">
        <f>A45</f>
        <v>Phenolic Composites</v>
      </c>
      <c r="B55">
        <v>6</v>
      </c>
      <c r="C55">
        <v>6</v>
      </c>
      <c r="D55" s="2">
        <f>D45</f>
        <v>950</v>
      </c>
      <c r="E55">
        <f>E54</f>
        <v>2768</v>
      </c>
      <c r="F55" s="13">
        <f t="shared" si="18"/>
        <v>13776900</v>
      </c>
      <c r="G55" s="16">
        <f t="shared" si="19"/>
        <v>14502</v>
      </c>
      <c r="N55" s="17"/>
    </row>
    <row r="56" spans="1:15" x14ac:dyDescent="0.35">
      <c r="A56" t="s">
        <v>13</v>
      </c>
      <c r="B56">
        <v>2</v>
      </c>
      <c r="C56">
        <v>2</v>
      </c>
      <c r="D56" s="23">
        <f>D19</f>
        <v>9951</v>
      </c>
      <c r="E56">
        <f>E54</f>
        <v>2768</v>
      </c>
      <c r="F56" s="13">
        <f t="shared" si="18"/>
        <v>48103134</v>
      </c>
      <c r="G56" s="16">
        <f t="shared" si="19"/>
        <v>4834</v>
      </c>
    </row>
    <row r="57" spans="1:15" ht="16" x14ac:dyDescent="0.5">
      <c r="A57" t="s">
        <v>14</v>
      </c>
      <c r="B57">
        <v>2</v>
      </c>
      <c r="C57">
        <v>2</v>
      </c>
      <c r="D57" s="23">
        <f>D20</f>
        <v>2760</v>
      </c>
      <c r="E57">
        <f>E55</f>
        <v>2768</v>
      </c>
      <c r="F57" s="39">
        <f>MAX(E57,_xlfn.CEILING.MATH(ROUNDUP(E57*C57*((1-10%)*(1-2%)*(1-1%)),20)))*D57</f>
        <v>13341840</v>
      </c>
      <c r="G57" s="16">
        <f>MAX(E57,_xlfn.CEILING.MATH(ROUNDUP(E57*C57*((1-10%)*(1-1%)),20)))</f>
        <v>4933</v>
      </c>
    </row>
    <row r="58" spans="1:15" x14ac:dyDescent="0.35">
      <c r="E58" s="1" t="str">
        <f>A53</f>
        <v>Nanoelectrical Microprocessor</v>
      </c>
      <c r="F58" s="4">
        <f>SUM(F54:F57)*1.03</f>
        <v>82980347.320000008</v>
      </c>
      <c r="G58" s="6"/>
    </row>
    <row r="59" spans="1:15" x14ac:dyDescent="0.35">
      <c r="A59" t="s">
        <v>3</v>
      </c>
      <c r="F59" s="4"/>
      <c r="G59" s="6"/>
    </row>
    <row r="60" spans="1:15" x14ac:dyDescent="0.35">
      <c r="A60" t="str">
        <f>A54</f>
        <v>Tungsten Carbide</v>
      </c>
      <c r="B60">
        <v>20</v>
      </c>
      <c r="C60">
        <v>22</v>
      </c>
      <c r="D60" s="2">
        <f>D54</f>
        <v>130</v>
      </c>
      <c r="E60">
        <f>IF('Ship Component Reqs'!F22&lt;0,0,'Ship Component Reqs'!F22)</f>
        <v>924</v>
      </c>
      <c r="F60" s="13">
        <f t="shared" ref="F60:F61" si="20">MAX(E60,_xlfn.CEILING.MATH(ROUNDUP(E60*C60*((1-10%)*(1-2%)*(1-1%)),20)))*D60</f>
        <v>2307630</v>
      </c>
      <c r="G60" s="16">
        <f t="shared" ref="G60:G61" si="21">MAX(E60,_xlfn.CEILING.MATH(ROUNDUP(E60*C60*((1-10%)*(1-2%)*(1-1%)),20)))</f>
        <v>17751</v>
      </c>
      <c r="H60" s="4"/>
      <c r="K60" s="15"/>
    </row>
    <row r="61" spans="1:15" x14ac:dyDescent="0.35">
      <c r="A61" t="s">
        <v>14</v>
      </c>
      <c r="B61">
        <v>1</v>
      </c>
      <c r="C61">
        <v>1</v>
      </c>
      <c r="D61" s="2">
        <f>D57</f>
        <v>2760</v>
      </c>
      <c r="E61">
        <f>E60</f>
        <v>924</v>
      </c>
      <c r="F61" s="13">
        <f t="shared" si="20"/>
        <v>2550240</v>
      </c>
      <c r="G61" s="16">
        <f t="shared" si="21"/>
        <v>924</v>
      </c>
    </row>
    <row r="62" spans="1:15" ht="16" x14ac:dyDescent="0.5">
      <c r="A62" t="s">
        <v>15</v>
      </c>
      <c r="B62">
        <v>2</v>
      </c>
      <c r="C62">
        <v>2</v>
      </c>
      <c r="D62" s="23">
        <f>D25</f>
        <v>5067</v>
      </c>
      <c r="E62">
        <f>E61</f>
        <v>924</v>
      </c>
      <c r="F62" s="39">
        <f>MAX(E62,_xlfn.CEILING.MATH(ROUNDUP(E62*C62*((1-10%)*(1-2%)*(1-1%)),20)))*D62</f>
        <v>8178138</v>
      </c>
      <c r="G62" s="16">
        <f>MAX(E62,_xlfn.CEILING.MATH(ROUNDUP(E62*C62*((1-10%)*(1-1%)),20)))</f>
        <v>1647</v>
      </c>
    </row>
    <row r="63" spans="1:15" x14ac:dyDescent="0.35">
      <c r="E63" s="1" t="str">
        <f>A59</f>
        <v>Radar Sensor Cluster</v>
      </c>
      <c r="F63" s="4">
        <f>SUM(F60:F62)*1.03</f>
        <v>13427088.24</v>
      </c>
      <c r="G63" s="6"/>
    </row>
    <row r="64" spans="1:15" x14ac:dyDescent="0.35">
      <c r="A64" t="s">
        <v>2</v>
      </c>
      <c r="F64" s="4"/>
      <c r="G64" s="6"/>
    </row>
    <row r="65" spans="1:15" x14ac:dyDescent="0.35">
      <c r="A65" t="str">
        <f>A60</f>
        <v>Tungsten Carbide</v>
      </c>
      <c r="B65">
        <v>25</v>
      </c>
      <c r="C65">
        <v>27</v>
      </c>
      <c r="D65" s="2">
        <f>D60</f>
        <v>130</v>
      </c>
      <c r="E65">
        <f>IF('Ship Component Reqs'!F23&lt;0,0,'Ship Component Reqs'!F23)</f>
        <v>924</v>
      </c>
      <c r="F65" s="13">
        <f t="shared" ref="F65:F67" si="22">MAX(E65,_xlfn.CEILING.MATH(ROUNDUP(E65*C65*((1-10%)*(1-2%)*(1-1%)),20)))*D65</f>
        <v>2832050</v>
      </c>
      <c r="G65" s="16">
        <f t="shared" ref="G65:G67" si="23">MAX(E65,_xlfn.CEILING.MATH(ROUNDUP(E65*C65*((1-10%)*(1-2%)*(1-1%)),20)))</f>
        <v>21785</v>
      </c>
      <c r="H65" s="4"/>
    </row>
    <row r="66" spans="1:15" x14ac:dyDescent="0.35">
      <c r="A66" t="str">
        <f>A61</f>
        <v>Nano Transistors</v>
      </c>
      <c r="B66">
        <v>1</v>
      </c>
      <c r="C66">
        <v>1</v>
      </c>
      <c r="D66" s="2">
        <f>D61</f>
        <v>2760</v>
      </c>
      <c r="E66">
        <f>E65</f>
        <v>924</v>
      </c>
      <c r="F66" s="13">
        <f t="shared" si="22"/>
        <v>2550240</v>
      </c>
      <c r="G66" s="16">
        <f t="shared" si="23"/>
        <v>924</v>
      </c>
    </row>
    <row r="67" spans="1:15" x14ac:dyDescent="0.35">
      <c r="A67" t="str">
        <f>A56</f>
        <v>Terahertz Meta Materials</v>
      </c>
      <c r="B67">
        <v>2</v>
      </c>
      <c r="C67">
        <v>2</v>
      </c>
      <c r="D67" s="2">
        <f>D56</f>
        <v>9951</v>
      </c>
      <c r="E67">
        <f>E65</f>
        <v>924</v>
      </c>
      <c r="F67" s="13">
        <f t="shared" si="22"/>
        <v>16060914</v>
      </c>
      <c r="G67" s="16">
        <f t="shared" si="23"/>
        <v>1614</v>
      </c>
      <c r="I67" s="11"/>
    </row>
    <row r="68" spans="1:15" ht="16" x14ac:dyDescent="0.5">
      <c r="A68" t="s">
        <v>16</v>
      </c>
      <c r="B68">
        <v>10</v>
      </c>
      <c r="C68">
        <v>11</v>
      </c>
      <c r="D68" s="23">
        <f>D31</f>
        <v>502</v>
      </c>
      <c r="E68">
        <f>E66</f>
        <v>924</v>
      </c>
      <c r="F68" s="39">
        <f>MAX(E68,_xlfn.CEILING.MATH(ROUNDUP(E68*C68*((1-10%)*(1-2%)*(1-1%)),20)))*D68</f>
        <v>4455752</v>
      </c>
      <c r="G68" s="16">
        <f>MAX(E68,_xlfn.CEILING.MATH(ROUNDUP(E68*C68*((1-10%)*(1-1%)),20)))</f>
        <v>9057</v>
      </c>
    </row>
    <row r="69" spans="1:15" x14ac:dyDescent="0.35">
      <c r="E69" s="1" t="str">
        <f>A64</f>
        <v>Tesseract Capacitor Unit</v>
      </c>
      <c r="F69" s="4">
        <f>SUM(F65:F68)*1.03</f>
        <v>26675924.68</v>
      </c>
      <c r="G69" s="6"/>
    </row>
    <row r="70" spans="1:15" x14ac:dyDescent="0.35">
      <c r="A70" t="s">
        <v>5</v>
      </c>
      <c r="F70" s="4"/>
      <c r="G70" s="6"/>
    </row>
    <row r="71" spans="1:15" x14ac:dyDescent="0.35">
      <c r="A71" t="str">
        <f>A65</f>
        <v>Tungsten Carbide</v>
      </c>
      <c r="B71">
        <v>40</v>
      </c>
      <c r="C71">
        <v>44</v>
      </c>
      <c r="D71" s="2">
        <f>D65</f>
        <v>130</v>
      </c>
      <c r="E71">
        <f>IF('Ship Component Reqs'!F24&lt;0,0,'Ship Component Reqs'!F24)</f>
        <v>4612</v>
      </c>
      <c r="F71" s="13">
        <f>MAX(E71,_xlfn.CEILING.MATH(ROUNDUP(E71*C71*((1-10%)*(1-2%)*(1-1%)),20)))*D71</f>
        <v>23035090</v>
      </c>
      <c r="G71" s="16">
        <f>MAX(E71,_xlfn.CEILING.MATH(ROUNDUP(E71*C71*((1-10%)*(1-2%)*(1-1%)),20)))</f>
        <v>177193</v>
      </c>
      <c r="H71" s="4"/>
    </row>
    <row r="72" spans="1:15" ht="16" x14ac:dyDescent="0.5">
      <c r="A72" t="str">
        <f>A51</f>
        <v>Sylramic Fibers</v>
      </c>
      <c r="B72">
        <v>10</v>
      </c>
      <c r="C72">
        <v>11</v>
      </c>
      <c r="D72" s="2">
        <f>D51</f>
        <v>208.9</v>
      </c>
      <c r="E72">
        <f>E71</f>
        <v>4612</v>
      </c>
      <c r="F72" s="39">
        <f>MAX(E72,_xlfn.CEILING.MATH(ROUNDUP(E72*C72*((1-10%)*(1-2%)*(1-1%)),20)))*D72</f>
        <v>9254061.0999999996</v>
      </c>
      <c r="G72" s="16">
        <f>MAX(E72,_xlfn.CEILING.MATH(ROUNDUP(E72*C72*((1-10%)*(1-1%)),20)))</f>
        <v>45203</v>
      </c>
    </row>
    <row r="73" spans="1:15" x14ac:dyDescent="0.35">
      <c r="E73" s="1" t="str">
        <f>A70</f>
        <v>Tungsten Carbide Armor Plate</v>
      </c>
      <c r="F73" s="4">
        <f>SUM(F71:F72)*1.03</f>
        <v>33257825.633000001</v>
      </c>
      <c r="G73" s="4"/>
    </row>
    <row r="74" spans="1:15" s="18" customFormat="1" x14ac:dyDescent="0.35">
      <c r="D74" s="31"/>
      <c r="K74" s="19"/>
      <c r="L74" s="19"/>
      <c r="M74" s="19"/>
    </row>
    <row r="75" spans="1:15" x14ac:dyDescent="0.35">
      <c r="A75" t="s">
        <v>236</v>
      </c>
      <c r="E75" s="1"/>
      <c r="F75" s="4"/>
    </row>
    <row r="76" spans="1:15" x14ac:dyDescent="0.35">
      <c r="A76" t="s">
        <v>6</v>
      </c>
      <c r="D76" s="2" t="s">
        <v>21</v>
      </c>
      <c r="E76" t="s">
        <v>19</v>
      </c>
      <c r="G76" t="s">
        <v>24</v>
      </c>
      <c r="J76" t="s">
        <v>25</v>
      </c>
      <c r="K76" s="3" t="s">
        <v>30</v>
      </c>
      <c r="L76" s="3" t="s">
        <v>27</v>
      </c>
      <c r="M76" s="3" t="s">
        <v>35</v>
      </c>
      <c r="N76" t="s">
        <v>26</v>
      </c>
      <c r="O76" s="3" t="s">
        <v>34</v>
      </c>
    </row>
    <row r="77" spans="1:15" x14ac:dyDescent="0.35">
      <c r="A77" t="s">
        <v>8</v>
      </c>
      <c r="B77">
        <v>9</v>
      </c>
      <c r="C77">
        <v>9</v>
      </c>
      <c r="D77" s="23">
        <f>D40</f>
        <v>130</v>
      </c>
      <c r="E77">
        <f>E3+E40</f>
        <v>132</v>
      </c>
      <c r="F77" s="13">
        <f>MAX(E77,_xlfn.CEILING.MATH(ROUNDUP(E77*C77*((1-10%)*(1-2%)*(1-1%)),20)))*D77</f>
        <v>134940</v>
      </c>
      <c r="G77" s="16">
        <f>MAX(E77,_xlfn.CEILING.MATH(ROUNDUP(E77*C77*((1-10%)*(1-2%)*(1-1%)),20)))</f>
        <v>1038</v>
      </c>
      <c r="H77" s="4"/>
      <c r="I77" s="4"/>
      <c r="J77" t="str">
        <f>A77</f>
        <v>Tungsten Carbide</v>
      </c>
      <c r="K77" s="3">
        <f>G77+G81+G86+G91+G97+G102+G108</f>
        <v>468482</v>
      </c>
      <c r="L77" s="21"/>
      <c r="M77" s="7">
        <f t="shared" ref="M77:M82" si="24">((K77)-L77)</f>
        <v>468482</v>
      </c>
      <c r="N77" s="4">
        <f>D77</f>
        <v>130</v>
      </c>
      <c r="O77" s="14">
        <f t="shared" ref="O77:O85" si="25">IF(M77&lt;0,0,M77*N77)</f>
        <v>60902660</v>
      </c>
    </row>
    <row r="78" spans="1:15" ht="16" x14ac:dyDescent="0.5">
      <c r="A78" t="s">
        <v>9</v>
      </c>
      <c r="B78">
        <v>2</v>
      </c>
      <c r="C78">
        <v>2</v>
      </c>
      <c r="D78" s="23">
        <f>D41</f>
        <v>36700</v>
      </c>
      <c r="E78">
        <f>E77</f>
        <v>132</v>
      </c>
      <c r="F78" s="39">
        <f>MAX(E78,_xlfn.CEILING.MATH(ROUNDUP(E78*C78*((1-10%)*(1-2%)*(1-1%)),20)))*D78</f>
        <v>8477700</v>
      </c>
      <c r="G78" s="16">
        <f>MAX(E78,_xlfn.CEILING.MATH(ROUNDUP(E78*C78*((1-10%)*(1-2%)*(1-1%)),20)))</f>
        <v>231</v>
      </c>
      <c r="H78" s="4"/>
      <c r="J78" t="str">
        <f>A78</f>
        <v>Fermionic Condensates</v>
      </c>
      <c r="K78" s="3">
        <f>G78</f>
        <v>231</v>
      </c>
      <c r="L78" s="21">
        <v>0</v>
      </c>
      <c r="M78" s="7">
        <f t="shared" si="24"/>
        <v>231</v>
      </c>
      <c r="N78" s="2">
        <f>D78</f>
        <v>36700</v>
      </c>
      <c r="O78" s="14">
        <f t="shared" si="25"/>
        <v>8477700</v>
      </c>
    </row>
    <row r="79" spans="1:15" x14ac:dyDescent="0.35">
      <c r="E79" s="1" t="str">
        <f>A76</f>
        <v>Antimatter Reactor Unit</v>
      </c>
      <c r="F79" s="4">
        <f>SUM(F77:F78)</f>
        <v>8612640</v>
      </c>
      <c r="G79" s="6"/>
      <c r="J79" t="str">
        <f>A82</f>
        <v>Phenolic Composites</v>
      </c>
      <c r="K79" s="3">
        <f>G82+G92</f>
        <v>26605</v>
      </c>
      <c r="L79" s="21">
        <v>0</v>
      </c>
      <c r="M79" s="7">
        <f t="shared" si="24"/>
        <v>26605</v>
      </c>
      <c r="N79" s="4">
        <f>D82</f>
        <v>950</v>
      </c>
      <c r="O79" s="14">
        <f t="shared" si="25"/>
        <v>25274750</v>
      </c>
    </row>
    <row r="80" spans="1:15" x14ac:dyDescent="0.35">
      <c r="A80" t="s">
        <v>1</v>
      </c>
      <c r="F80" s="4"/>
      <c r="G80" s="6"/>
      <c r="J80" t="str">
        <f>A83</f>
        <v>Ferrogel</v>
      </c>
      <c r="K80" s="3">
        <f>G83+G87</f>
        <v>1220</v>
      </c>
      <c r="L80" s="21">
        <v>0</v>
      </c>
      <c r="M80" s="7">
        <f t="shared" si="24"/>
        <v>1220</v>
      </c>
      <c r="N80" s="4">
        <f>D83</f>
        <v>19380</v>
      </c>
      <c r="O80" s="14">
        <f t="shared" si="25"/>
        <v>23643600</v>
      </c>
    </row>
    <row r="81" spans="1:15" x14ac:dyDescent="0.35">
      <c r="A81" t="str">
        <f>A77</f>
        <v>Tungsten Carbide</v>
      </c>
      <c r="B81">
        <v>12</v>
      </c>
      <c r="C81">
        <v>13</v>
      </c>
      <c r="D81" s="38">
        <f>D77</f>
        <v>130</v>
      </c>
      <c r="E81">
        <f>E7+E44</f>
        <v>812</v>
      </c>
      <c r="F81" s="13">
        <f t="shared" ref="F81:F82" si="26">MAX(E81,_xlfn.CEILING.MATH(ROUNDUP(E81*C81*((1-10%)*(1-2%)*(1-1%)),20)))*D81</f>
        <v>1198340</v>
      </c>
      <c r="G81" s="16">
        <f t="shared" ref="G81:G82" si="27">MAX(E81,_xlfn.CEILING.MATH(ROUNDUP(E81*C81*((1-10%)*(1-2%)*(1-1%)),20)))</f>
        <v>9218</v>
      </c>
      <c r="J81" t="str">
        <f>A88</f>
        <v>Sylramic Fibers</v>
      </c>
      <c r="K81" s="3">
        <f>G88+G109</f>
        <v>82386</v>
      </c>
      <c r="L81" s="21"/>
      <c r="M81" s="7">
        <f t="shared" si="24"/>
        <v>82386</v>
      </c>
      <c r="N81" s="4">
        <f>D88</f>
        <v>208.9</v>
      </c>
      <c r="O81" s="14">
        <f t="shared" si="25"/>
        <v>17210435.400000002</v>
      </c>
    </row>
    <row r="82" spans="1:15" x14ac:dyDescent="0.35">
      <c r="A82" t="s">
        <v>10</v>
      </c>
      <c r="B82">
        <v>3</v>
      </c>
      <c r="C82">
        <v>3</v>
      </c>
      <c r="D82" s="23">
        <f>D45</f>
        <v>950</v>
      </c>
      <c r="E82">
        <f>E81</f>
        <v>812</v>
      </c>
      <c r="F82" s="13">
        <f t="shared" si="26"/>
        <v>2021600</v>
      </c>
      <c r="G82" s="16">
        <f t="shared" si="27"/>
        <v>2128</v>
      </c>
      <c r="J82" t="str">
        <f>A93</f>
        <v>Terahertz Meta Materials</v>
      </c>
      <c r="K82" s="3">
        <f>G93+G104</f>
        <v>10982</v>
      </c>
      <c r="L82" s="21">
        <v>0</v>
      </c>
      <c r="M82" s="7">
        <f t="shared" si="24"/>
        <v>10982</v>
      </c>
      <c r="N82" s="4">
        <f>D93</f>
        <v>9951</v>
      </c>
      <c r="O82" s="14">
        <f t="shared" si="25"/>
        <v>109281882</v>
      </c>
    </row>
    <row r="83" spans="1:15" ht="16" x14ac:dyDescent="0.5">
      <c r="A83" t="s">
        <v>11</v>
      </c>
      <c r="B83">
        <v>1</v>
      </c>
      <c r="C83">
        <v>1</v>
      </c>
      <c r="D83" s="23">
        <f>D46</f>
        <v>19380</v>
      </c>
      <c r="E83">
        <f>E81</f>
        <v>812</v>
      </c>
      <c r="F83" s="39">
        <f>MAX(E83,_xlfn.CEILING.MATH(ROUNDUP(E83*C83*((1-10%)*(1-2%)*(1-1%)),20)))*D83</f>
        <v>15736560</v>
      </c>
      <c r="G83" s="16">
        <f>MAX(E83,_xlfn.CEILING.MATH(ROUNDUP(E83*C83*((1-10%)*(1-1%)),20)))</f>
        <v>812</v>
      </c>
      <c r="J83" t="str">
        <f>A94</f>
        <v>Nano Transistors</v>
      </c>
      <c r="K83" s="3">
        <f>G98+G103+G94</f>
        <v>11650</v>
      </c>
      <c r="L83" s="21">
        <v>0</v>
      </c>
      <c r="M83" s="7">
        <f>((K83)-L83)</f>
        <v>11650</v>
      </c>
      <c r="N83" s="4">
        <f>D94</f>
        <v>2760</v>
      </c>
      <c r="O83" s="14">
        <f t="shared" si="25"/>
        <v>32154000</v>
      </c>
    </row>
    <row r="84" spans="1:15" x14ac:dyDescent="0.35">
      <c r="E84" s="1" t="str">
        <f>A80</f>
        <v>Fusion Thruster</v>
      </c>
      <c r="F84" s="4">
        <f>SUM(F81:F83)*1.03</f>
        <v>19525195</v>
      </c>
      <c r="G84" s="6"/>
      <c r="J84" t="str">
        <f>A99</f>
        <v>Hypersynaptic Fibers</v>
      </c>
      <c r="K84" s="3">
        <f>G99</f>
        <v>3044</v>
      </c>
      <c r="L84" s="21">
        <v>0</v>
      </c>
      <c r="M84" s="7">
        <f>((K84)-L84)</f>
        <v>3044</v>
      </c>
      <c r="N84" s="4">
        <f>D99</f>
        <v>5067</v>
      </c>
      <c r="O84" s="14">
        <f t="shared" si="25"/>
        <v>15423948</v>
      </c>
    </row>
    <row r="85" spans="1:15" ht="16" x14ac:dyDescent="0.5">
      <c r="A85" t="s">
        <v>7</v>
      </c>
      <c r="F85" s="4"/>
      <c r="G85" s="6"/>
      <c r="J85" t="str">
        <f>A105</f>
        <v>Fullerides</v>
      </c>
      <c r="K85" s="3">
        <f>G105</f>
        <v>15839</v>
      </c>
      <c r="L85" s="21">
        <v>0</v>
      </c>
      <c r="M85" s="7">
        <f>((K85)-L85)</f>
        <v>15839</v>
      </c>
      <c r="N85" s="4">
        <f>D105</f>
        <v>502</v>
      </c>
      <c r="O85" s="12">
        <f t="shared" si="25"/>
        <v>7951178</v>
      </c>
    </row>
    <row r="86" spans="1:15" x14ac:dyDescent="0.35">
      <c r="A86" t="str">
        <f>A81</f>
        <v>Tungsten Carbide</v>
      </c>
      <c r="B86">
        <v>20</v>
      </c>
      <c r="C86">
        <v>22</v>
      </c>
      <c r="D86" s="38">
        <f>D77</f>
        <v>130</v>
      </c>
      <c r="E86">
        <f>E12+E49</f>
        <v>408</v>
      </c>
      <c r="F86" s="13">
        <f t="shared" ref="F86:F87" si="28">MAX(E86,_xlfn.CEILING.MATH(ROUNDUP(E86*C86*((1-10%)*(1-2%)*(1-1%)),20)))*D86</f>
        <v>1018940</v>
      </c>
      <c r="G86" s="16">
        <f t="shared" ref="G86:G87" si="29">MAX(E86,_xlfn.CEILING.MATH(ROUNDUP(E86*C86*((1-10%)*(1-2%)*(1-1%)),20)))</f>
        <v>7838</v>
      </c>
      <c r="H86" s="4"/>
      <c r="K86" s="11"/>
      <c r="O86" s="4">
        <f>SUM(O77:O85)</f>
        <v>300320153.39999998</v>
      </c>
    </row>
    <row r="87" spans="1:15" x14ac:dyDescent="0.35">
      <c r="A87" t="str">
        <f>A83</f>
        <v>Ferrogel</v>
      </c>
      <c r="B87">
        <v>1</v>
      </c>
      <c r="C87">
        <v>1</v>
      </c>
      <c r="D87" s="38">
        <f>D83</f>
        <v>19380</v>
      </c>
      <c r="E87">
        <f>E86</f>
        <v>408</v>
      </c>
      <c r="F87" s="13">
        <f t="shared" si="28"/>
        <v>7907040</v>
      </c>
      <c r="G87" s="16">
        <f t="shared" si="29"/>
        <v>408</v>
      </c>
      <c r="J87" s="4"/>
      <c r="K87" t="s">
        <v>46</v>
      </c>
    </row>
    <row r="88" spans="1:15" ht="16" x14ac:dyDescent="0.5">
      <c r="A88" t="s">
        <v>12</v>
      </c>
      <c r="B88">
        <v>9</v>
      </c>
      <c r="C88">
        <v>9</v>
      </c>
      <c r="D88" s="23">
        <f>D51</f>
        <v>208.9</v>
      </c>
      <c r="E88">
        <f>E86</f>
        <v>408</v>
      </c>
      <c r="F88" s="39">
        <f>MAX(E88,_xlfn.CEILING.MATH(ROUNDUP(E88*C88*((1-10%)*(1-2%)*(1-1%)),20)))*D88</f>
        <v>669942.30000000005</v>
      </c>
      <c r="G88" s="16">
        <f>MAX(E88,_xlfn.CEILING.MATH(ROUNDUP(E88*C88*((1-10%)*(1-1%)),20)))</f>
        <v>3272</v>
      </c>
    </row>
    <row r="89" spans="1:15" x14ac:dyDescent="0.35">
      <c r="E89" s="1" t="str">
        <f>A85</f>
        <v>Linear Shield Emitter</v>
      </c>
      <c r="F89" s="4">
        <f>SUM(F86:F88)*1.03</f>
        <v>9883799.9690000005</v>
      </c>
      <c r="G89" s="6"/>
      <c r="J89" s="4"/>
    </row>
    <row r="90" spans="1:15" x14ac:dyDescent="0.35">
      <c r="A90" t="s">
        <v>4</v>
      </c>
      <c r="F90" s="4"/>
      <c r="G90" s="6"/>
    </row>
    <row r="91" spans="1:15" x14ac:dyDescent="0.35">
      <c r="A91" t="str">
        <f>A86</f>
        <v>Tungsten Carbide</v>
      </c>
      <c r="B91">
        <v>16</v>
      </c>
      <c r="C91">
        <v>17</v>
      </c>
      <c r="D91" s="2">
        <f>D86</f>
        <v>130</v>
      </c>
      <c r="E91">
        <f>E54+E17</f>
        <v>4672</v>
      </c>
      <c r="F91" s="13">
        <f t="shared" ref="F91:F93" si="30">MAX(E91,_xlfn.CEILING.MATH(ROUNDUP(E91*C91*((1-10%)*(1-2%)*(1-1%)),20)))*D91</f>
        <v>9015760</v>
      </c>
      <c r="G91" s="16">
        <f t="shared" ref="G91:G93" si="31">MAX(E91,_xlfn.CEILING.MATH(ROUNDUP(E91*C91*((1-10%)*(1-2%)*(1-1%)),20)))</f>
        <v>69352</v>
      </c>
      <c r="H91" s="4"/>
    </row>
    <row r="92" spans="1:15" x14ac:dyDescent="0.35">
      <c r="A92" t="str">
        <f>A82</f>
        <v>Phenolic Composites</v>
      </c>
      <c r="B92">
        <v>6</v>
      </c>
      <c r="C92">
        <v>6</v>
      </c>
      <c r="D92" s="2">
        <f>D82</f>
        <v>950</v>
      </c>
      <c r="E92">
        <f>E91</f>
        <v>4672</v>
      </c>
      <c r="F92" s="13">
        <f t="shared" si="30"/>
        <v>23253150</v>
      </c>
      <c r="G92" s="16">
        <f t="shared" si="31"/>
        <v>24477</v>
      </c>
      <c r="N92" s="17"/>
    </row>
    <row r="93" spans="1:15" x14ac:dyDescent="0.35">
      <c r="A93" t="s">
        <v>13</v>
      </c>
      <c r="B93">
        <v>2</v>
      </c>
      <c r="C93">
        <v>2</v>
      </c>
      <c r="D93" s="23">
        <f>D56</f>
        <v>9951</v>
      </c>
      <c r="E93">
        <f>E91</f>
        <v>4672</v>
      </c>
      <c r="F93" s="13">
        <f t="shared" si="30"/>
        <v>81190209</v>
      </c>
      <c r="G93" s="16">
        <f t="shared" si="31"/>
        <v>8159</v>
      </c>
    </row>
    <row r="94" spans="1:15" ht="16" x14ac:dyDescent="0.5">
      <c r="A94" t="s">
        <v>14</v>
      </c>
      <c r="B94">
        <v>2</v>
      </c>
      <c r="C94">
        <v>2</v>
      </c>
      <c r="D94" s="23">
        <f>D57</f>
        <v>2760</v>
      </c>
      <c r="E94">
        <f>E92</f>
        <v>4672</v>
      </c>
      <c r="F94" s="39">
        <f>MAX(E94,_xlfn.CEILING.MATH(ROUNDUP(E94*C94*((1-10%)*(1-2%)*(1-1%)),20)))*D94</f>
        <v>22518840</v>
      </c>
      <c r="G94" s="16">
        <f>MAX(E94,_xlfn.CEILING.MATH(ROUNDUP(E94*C94*((1-10%)*(1-1%)),20)))</f>
        <v>8326</v>
      </c>
    </row>
    <row r="95" spans="1:15" x14ac:dyDescent="0.35">
      <c r="E95" s="1" t="str">
        <f>A90</f>
        <v>Nanoelectrical Microprocessor</v>
      </c>
      <c r="F95" s="4">
        <f>SUM(F91:F94)*1.03</f>
        <v>140057297.77000001</v>
      </c>
      <c r="G95" s="6"/>
    </row>
    <row r="96" spans="1:15" x14ac:dyDescent="0.35">
      <c r="A96" t="s">
        <v>3</v>
      </c>
      <c r="F96" s="4"/>
      <c r="G96" s="6"/>
    </row>
    <row r="97" spans="1:13" x14ac:dyDescent="0.35">
      <c r="A97" t="str">
        <f>A91</f>
        <v>Tungsten Carbide</v>
      </c>
      <c r="B97">
        <v>20</v>
      </c>
      <c r="C97">
        <v>22</v>
      </c>
      <c r="D97" s="2">
        <f>D91</f>
        <v>130</v>
      </c>
      <c r="E97">
        <f>E60+E23</f>
        <v>1708</v>
      </c>
      <c r="F97" s="13">
        <f t="shared" ref="F97:F98" si="32">MAX(E97,_xlfn.CEILING.MATH(ROUNDUP(E97*C97*((1-10%)*(1-2%)*(1-1%)),20)))*D97</f>
        <v>4265430</v>
      </c>
      <c r="G97" s="16">
        <f t="shared" ref="G97:G98" si="33">MAX(E97,_xlfn.CEILING.MATH(ROUNDUP(E97*C97*((1-10%)*(1-2%)*(1-1%)),20)))</f>
        <v>32811</v>
      </c>
      <c r="H97" s="4"/>
      <c r="K97" s="15"/>
    </row>
    <row r="98" spans="1:13" x14ac:dyDescent="0.35">
      <c r="A98" t="s">
        <v>14</v>
      </c>
      <c r="B98">
        <v>1</v>
      </c>
      <c r="C98">
        <v>1</v>
      </c>
      <c r="D98" s="2">
        <f>D94</f>
        <v>2760</v>
      </c>
      <c r="E98">
        <f>E97</f>
        <v>1708</v>
      </c>
      <c r="F98" s="13">
        <f t="shared" si="32"/>
        <v>4714080</v>
      </c>
      <c r="G98" s="16">
        <f t="shared" si="33"/>
        <v>1708</v>
      </c>
    </row>
    <row r="99" spans="1:13" ht="16" x14ac:dyDescent="0.5">
      <c r="A99" t="s">
        <v>15</v>
      </c>
      <c r="B99">
        <v>2</v>
      </c>
      <c r="C99">
        <v>2</v>
      </c>
      <c r="D99" s="23">
        <f>D62</f>
        <v>5067</v>
      </c>
      <c r="E99">
        <f>E98</f>
        <v>1708</v>
      </c>
      <c r="F99" s="39">
        <f>MAX(E99,_xlfn.CEILING.MATH(ROUNDUP(E99*C99*((1-10%)*(1-2%)*(1-1%)),20)))*D99</f>
        <v>15114861</v>
      </c>
      <c r="G99" s="16">
        <f>MAX(E99,_xlfn.CEILING.MATH(ROUNDUP(E99*C99*((1-10%)*(1-1%)),20)))</f>
        <v>3044</v>
      </c>
    </row>
    <row r="100" spans="1:13" x14ac:dyDescent="0.35">
      <c r="E100" s="1" t="str">
        <f>A96</f>
        <v>Radar Sensor Cluster</v>
      </c>
      <c r="F100" s="4">
        <f>SUM(F97:F99)*1.03</f>
        <v>24817202.129999999</v>
      </c>
      <c r="G100" s="6"/>
    </row>
    <row r="101" spans="1:13" x14ac:dyDescent="0.35">
      <c r="A101" t="s">
        <v>2</v>
      </c>
      <c r="F101" s="4"/>
      <c r="G101" s="6"/>
    </row>
    <row r="102" spans="1:13" x14ac:dyDescent="0.35">
      <c r="A102" t="str">
        <f>A97</f>
        <v>Tungsten Carbide</v>
      </c>
      <c r="B102">
        <v>25</v>
      </c>
      <c r="C102">
        <v>27</v>
      </c>
      <c r="D102" s="2">
        <f>D97</f>
        <v>130</v>
      </c>
      <c r="E102">
        <f>E65+E28</f>
        <v>1616</v>
      </c>
      <c r="F102" s="13">
        <f t="shared" ref="F102:F104" si="34">MAX(E102,_xlfn.CEILING.MATH(ROUNDUP(E102*C102*((1-10%)*(1-2%)*(1-1%)),20)))*D102</f>
        <v>4952870</v>
      </c>
      <c r="G102" s="16">
        <f t="shared" ref="G102:G104" si="35">MAX(E102,_xlfn.CEILING.MATH(ROUNDUP(E102*C102*((1-10%)*(1-2%)*(1-1%)),20)))</f>
        <v>38099</v>
      </c>
      <c r="H102" s="4"/>
    </row>
    <row r="103" spans="1:13" x14ac:dyDescent="0.35">
      <c r="A103" t="str">
        <f>A98</f>
        <v>Nano Transistors</v>
      </c>
      <c r="B103">
        <v>1</v>
      </c>
      <c r="C103">
        <v>1</v>
      </c>
      <c r="D103" s="2">
        <f>D98</f>
        <v>2760</v>
      </c>
      <c r="E103">
        <f>E102</f>
        <v>1616</v>
      </c>
      <c r="F103" s="13">
        <f t="shared" si="34"/>
        <v>4460160</v>
      </c>
      <c r="G103" s="16">
        <f t="shared" si="35"/>
        <v>1616</v>
      </c>
    </row>
    <row r="104" spans="1:13" x14ac:dyDescent="0.35">
      <c r="A104" t="str">
        <f>A93</f>
        <v>Terahertz Meta Materials</v>
      </c>
      <c r="B104">
        <v>2</v>
      </c>
      <c r="C104">
        <v>2</v>
      </c>
      <c r="D104" s="2">
        <f>D93</f>
        <v>9951</v>
      </c>
      <c r="E104">
        <f>E102</f>
        <v>1616</v>
      </c>
      <c r="F104" s="13">
        <f t="shared" si="34"/>
        <v>28091673</v>
      </c>
      <c r="G104" s="16">
        <f t="shared" si="35"/>
        <v>2823</v>
      </c>
      <c r="I104" s="11"/>
    </row>
    <row r="105" spans="1:13" ht="16" x14ac:dyDescent="0.5">
      <c r="A105" t="s">
        <v>16</v>
      </c>
      <c r="B105">
        <v>10</v>
      </c>
      <c r="C105">
        <v>11</v>
      </c>
      <c r="D105" s="23">
        <f>D68</f>
        <v>502</v>
      </c>
      <c r="E105">
        <f>E103</f>
        <v>1616</v>
      </c>
      <c r="F105" s="39">
        <f>MAX(E105,_xlfn.CEILING.MATH(ROUNDUP(E105*C105*((1-10%)*(1-2%)*(1-1%)),20)))*D105</f>
        <v>7792044</v>
      </c>
      <c r="G105" s="16">
        <f>MAX(E105,_xlfn.CEILING.MATH(ROUNDUP(E105*C105*((1-10%)*(1-1%)),20)))</f>
        <v>15839</v>
      </c>
    </row>
    <row r="106" spans="1:13" x14ac:dyDescent="0.35">
      <c r="E106" s="1" t="str">
        <f>A101</f>
        <v>Tesseract Capacitor Unit</v>
      </c>
      <c r="F106" s="4">
        <f>SUM(F102:F105)*1.03</f>
        <v>46655649.410000004</v>
      </c>
      <c r="G106" s="6"/>
    </row>
    <row r="107" spans="1:13" x14ac:dyDescent="0.35">
      <c r="A107" t="s">
        <v>5</v>
      </c>
      <c r="F107" s="4"/>
      <c r="G107" s="6"/>
    </row>
    <row r="108" spans="1:13" x14ac:dyDescent="0.35">
      <c r="A108" t="str">
        <f>A102</f>
        <v>Tungsten Carbide</v>
      </c>
      <c r="B108">
        <v>40</v>
      </c>
      <c r="C108">
        <v>44</v>
      </c>
      <c r="D108" s="2">
        <f>D102</f>
        <v>130</v>
      </c>
      <c r="E108">
        <f>+E71+E34</f>
        <v>8072</v>
      </c>
      <c r="F108" s="13">
        <f>MAX(E108,_xlfn.CEILING.MATH(ROUNDUP(E108*C108*((1-10%)*(1-2%)*(1-1%)),20)))*D108</f>
        <v>40316380</v>
      </c>
      <c r="G108" s="16">
        <f>MAX(E108,_xlfn.CEILING.MATH(ROUNDUP(E108*C108*((1-10%)*(1-2%)*(1-1%)),20)))</f>
        <v>310126</v>
      </c>
      <c r="H108" s="4"/>
    </row>
    <row r="109" spans="1:13" ht="16" x14ac:dyDescent="0.5">
      <c r="A109" t="str">
        <f>A88</f>
        <v>Sylramic Fibers</v>
      </c>
      <c r="B109">
        <v>10</v>
      </c>
      <c r="C109">
        <v>11</v>
      </c>
      <c r="D109" s="2">
        <f>D88</f>
        <v>208.9</v>
      </c>
      <c r="E109">
        <f>E108</f>
        <v>8072</v>
      </c>
      <c r="F109" s="39">
        <f>MAX(E109,_xlfn.CEILING.MATH(ROUNDUP(E109*C109*((1-10%)*(1-2%)*(1-1%)),20)))*D109</f>
        <v>16196434.800000001</v>
      </c>
      <c r="G109" s="16">
        <f>MAX(E109,_xlfn.CEILING.MATH(ROUNDUP(E109*C109*((1-10%)*(1-1%)),20)))</f>
        <v>79114</v>
      </c>
    </row>
    <row r="110" spans="1:13" x14ac:dyDescent="0.35">
      <c r="E110" s="1" t="str">
        <f>A107</f>
        <v>Tungsten Carbide Armor Plate</v>
      </c>
      <c r="F110" s="4">
        <f>SUM(F108:F109)*1.03</f>
        <v>58208199.243999995</v>
      </c>
      <c r="G110" s="4"/>
    </row>
    <row r="111" spans="1:13" x14ac:dyDescent="0.35">
      <c r="E111" s="1"/>
      <c r="F111" s="4"/>
    </row>
    <row r="112" spans="1:13" s="18" customFormat="1" x14ac:dyDescent="0.35">
      <c r="D112" s="31"/>
      <c r="K112" s="19"/>
      <c r="L112" s="19"/>
      <c r="M112" s="19"/>
    </row>
    <row r="113" spans="1:15" x14ac:dyDescent="0.35">
      <c r="A113" t="s">
        <v>40</v>
      </c>
    </row>
    <row r="114" spans="1:15" x14ac:dyDescent="0.35">
      <c r="A114" t="s">
        <v>6</v>
      </c>
      <c r="D114" s="2" t="s">
        <v>21</v>
      </c>
      <c r="J114" t="s">
        <v>25</v>
      </c>
      <c r="K114" s="3" t="s">
        <v>30</v>
      </c>
      <c r="L114" s="3" t="s">
        <v>27</v>
      </c>
      <c r="M114" s="3" t="s">
        <v>35</v>
      </c>
      <c r="N114" t="s">
        <v>26</v>
      </c>
      <c r="O114" s="3" t="s">
        <v>34</v>
      </c>
    </row>
    <row r="115" spans="1:15" x14ac:dyDescent="0.35">
      <c r="A115" t="s">
        <v>8</v>
      </c>
      <c r="B115">
        <v>9</v>
      </c>
      <c r="C115">
        <v>9</v>
      </c>
      <c r="D115" s="23">
        <f>D3</f>
        <v>130</v>
      </c>
      <c r="E115">
        <f>IF('Ship Component Reqs'!F33&lt;0,0,'Ship Component Reqs'!F33)</f>
        <v>15</v>
      </c>
      <c r="F115" s="13">
        <f>MAX(E115,_xlfn.CEILING.MATH(ROUNDUP(E115*C115*((1-10%)*(1-2%)*(1-1%)),20)))*D115</f>
        <v>15340</v>
      </c>
      <c r="G115" s="16">
        <f>MAX(E115,_xlfn.CEILING.MATH(ROUNDUP(E115*C115*((1-10%)*(1-2%)*(1-1%)),20)))</f>
        <v>118</v>
      </c>
      <c r="J115" t="str">
        <f>A115</f>
        <v>Tungsten Carbide</v>
      </c>
      <c r="K115" s="3">
        <f>G115+G119+G124+G129+G135+G140+G146</f>
        <v>67481</v>
      </c>
      <c r="L115" s="3">
        <v>0</v>
      </c>
      <c r="M115" s="7">
        <f>((K115*'Ship Component Reqs'!$D$32)-L115)</f>
        <v>67481</v>
      </c>
      <c r="N115">
        <f>D115</f>
        <v>130</v>
      </c>
      <c r="O115" s="14">
        <f>IF(M115&lt;0,0,M115*N115)</f>
        <v>8772530</v>
      </c>
    </row>
    <row r="116" spans="1:15" ht="16" x14ac:dyDescent="0.5">
      <c r="A116" t="s">
        <v>9</v>
      </c>
      <c r="B116">
        <v>2</v>
      </c>
      <c r="C116">
        <v>2</v>
      </c>
      <c r="D116" s="23">
        <f>D4</f>
        <v>36700</v>
      </c>
      <c r="E116">
        <f>E115</f>
        <v>15</v>
      </c>
      <c r="F116" s="39">
        <f>MAX(E116,_xlfn.CEILING.MATH(ROUNDUP(E116*C116*((1-10%)*(1-2%)*(1-1%)),20)))*D116</f>
        <v>990900</v>
      </c>
      <c r="G116" s="16">
        <f>MAX(E116,_xlfn.CEILING.MATH(ROUNDUP(E116*C116*((1-10%)*(1-2%)*(1-1%)),20)))</f>
        <v>27</v>
      </c>
      <c r="J116" t="str">
        <f>A116</f>
        <v>Fermionic Condensates</v>
      </c>
      <c r="K116" s="3">
        <f>G116</f>
        <v>27</v>
      </c>
      <c r="L116" s="3">
        <v>0</v>
      </c>
      <c r="M116" s="7">
        <f>((K116*'Ship Component Reqs'!$D$32)-L116)</f>
        <v>27</v>
      </c>
      <c r="N116">
        <f>D116</f>
        <v>36700</v>
      </c>
      <c r="O116" s="14">
        <f t="shared" ref="O116:O122" si="36">IF(M116&lt;0,0,M116*N116)</f>
        <v>990900</v>
      </c>
    </row>
    <row r="117" spans="1:15" x14ac:dyDescent="0.35">
      <c r="E117" s="1" t="str">
        <f>A114</f>
        <v>Antimatter Reactor Unit</v>
      </c>
      <c r="F117" s="4">
        <f>SUM(F115:F116)</f>
        <v>1006240</v>
      </c>
      <c r="G117" s="6"/>
      <c r="J117" t="str">
        <f>A120</f>
        <v>Phenolic Composites</v>
      </c>
      <c r="K117" s="3">
        <f>G120+G130</f>
        <v>1989</v>
      </c>
      <c r="L117" s="3">
        <v>0</v>
      </c>
      <c r="M117" s="7">
        <f>((K117*'Ship Component Reqs'!$D$32)-L117)</f>
        <v>1989</v>
      </c>
      <c r="N117">
        <f>D120</f>
        <v>950</v>
      </c>
      <c r="O117" s="14">
        <f t="shared" si="36"/>
        <v>1889550</v>
      </c>
    </row>
    <row r="118" spans="1:15" x14ac:dyDescent="0.35">
      <c r="A118" t="s">
        <v>1</v>
      </c>
      <c r="F118" s="4"/>
      <c r="G118" s="6"/>
      <c r="J118" t="str">
        <f>A121</f>
        <v>Ferrogel</v>
      </c>
      <c r="K118" s="3">
        <f>G121+G125</f>
        <v>96</v>
      </c>
      <c r="L118" s="3">
        <v>0</v>
      </c>
      <c r="M118" s="7">
        <f>((K118*'Ship Component Reqs'!$D$32)-L118)</f>
        <v>96</v>
      </c>
      <c r="N118">
        <f>D121</f>
        <v>19380</v>
      </c>
      <c r="O118" s="14">
        <f t="shared" si="36"/>
        <v>1860480</v>
      </c>
    </row>
    <row r="119" spans="1:15" x14ac:dyDescent="0.35">
      <c r="A119" t="str">
        <f>A115</f>
        <v>Tungsten Carbide</v>
      </c>
      <c r="B119">
        <v>12</v>
      </c>
      <c r="C119">
        <v>13</v>
      </c>
      <c r="D119" s="38">
        <f>D115</f>
        <v>130</v>
      </c>
      <c r="E119">
        <f>IF('Ship Component Reqs'!F34&lt;0,0,'Ship Component Reqs'!F34)</f>
        <v>59</v>
      </c>
      <c r="F119" s="13">
        <f t="shared" ref="F119:F120" si="37">MAX(E119,_xlfn.CEILING.MATH(ROUNDUP(E119*C119*((1-10%)*(1-2%)*(1-1%)),20)))*D119</f>
        <v>87100</v>
      </c>
      <c r="G119" s="16">
        <f t="shared" ref="G119:G120" si="38">MAX(E119,_xlfn.CEILING.MATH(ROUNDUP(E119*C119*((1-10%)*(1-2%)*(1-1%)),20)))</f>
        <v>670</v>
      </c>
      <c r="J119" t="str">
        <f>A126</f>
        <v>Sylramic Fibers</v>
      </c>
      <c r="K119" s="3">
        <f>G126+G147</f>
        <v>14568</v>
      </c>
      <c r="L119" s="3">
        <v>0</v>
      </c>
      <c r="M119" s="7">
        <f>((K119*'Ship Component Reqs'!$D$32)-L119)</f>
        <v>14568</v>
      </c>
      <c r="N119">
        <f>D126</f>
        <v>208.9</v>
      </c>
      <c r="O119" s="14">
        <f t="shared" si="36"/>
        <v>3043255.2</v>
      </c>
    </row>
    <row r="120" spans="1:15" x14ac:dyDescent="0.35">
      <c r="A120" t="s">
        <v>10</v>
      </c>
      <c r="B120">
        <v>3</v>
      </c>
      <c r="C120">
        <v>3</v>
      </c>
      <c r="D120" s="23">
        <f>D8</f>
        <v>950</v>
      </c>
      <c r="E120">
        <f>E119</f>
        <v>59</v>
      </c>
      <c r="F120" s="13">
        <f t="shared" si="37"/>
        <v>147250</v>
      </c>
      <c r="G120" s="16">
        <f t="shared" si="38"/>
        <v>155</v>
      </c>
      <c r="J120" t="str">
        <f>A131</f>
        <v>Terahertz Meta Materials</v>
      </c>
      <c r="K120" s="3">
        <f>G131+G142</f>
        <v>867</v>
      </c>
      <c r="L120" s="3">
        <v>0</v>
      </c>
      <c r="M120" s="7">
        <f>((K120*'Ship Component Reqs'!$D$32)-L120)</f>
        <v>867</v>
      </c>
      <c r="N120">
        <f>D131</f>
        <v>9951</v>
      </c>
      <c r="O120" s="14">
        <f t="shared" si="36"/>
        <v>8627517</v>
      </c>
    </row>
    <row r="121" spans="1:15" ht="16" x14ac:dyDescent="0.5">
      <c r="A121" t="s">
        <v>11</v>
      </c>
      <c r="B121">
        <v>1</v>
      </c>
      <c r="C121">
        <v>1</v>
      </c>
      <c r="D121" s="23">
        <f>D9</f>
        <v>19380</v>
      </c>
      <c r="E121">
        <f>E119</f>
        <v>59</v>
      </c>
      <c r="F121" s="39">
        <f>MAX(E121,_xlfn.CEILING.MATH(ROUNDUP(E121*C121*((1-10%)*(1-2%)*(1-1%)),20)))*D121</f>
        <v>1143420</v>
      </c>
      <c r="G121" s="16">
        <f>MAX(E121,_xlfn.CEILING.MATH(ROUNDUP(E121*C121*((1-10%)*(1-1%)),20)))</f>
        <v>59</v>
      </c>
      <c r="J121" t="str">
        <f>A132</f>
        <v>Nano Transistors</v>
      </c>
      <c r="K121" s="3">
        <f>G136+G141+G132</f>
        <v>843</v>
      </c>
      <c r="L121" s="3">
        <v>0</v>
      </c>
      <c r="M121" s="7">
        <f>((K121*'Ship Component Reqs'!$D$32)-L121)</f>
        <v>843</v>
      </c>
      <c r="N121">
        <f>D132</f>
        <v>2760</v>
      </c>
      <c r="O121" s="14">
        <f t="shared" si="36"/>
        <v>2326680</v>
      </c>
    </row>
    <row r="122" spans="1:15" x14ac:dyDescent="0.35">
      <c r="E122" s="1" t="str">
        <f>A118</f>
        <v>Fusion Thruster</v>
      </c>
      <c r="F122" s="4">
        <f>SUM(F119:F121)*1.03</f>
        <v>1419103.1</v>
      </c>
      <c r="G122" s="6"/>
      <c r="J122" t="str">
        <f>A137</f>
        <v>Hypersynaptic Fibers</v>
      </c>
      <c r="K122" s="3">
        <f>G137</f>
        <v>131</v>
      </c>
      <c r="L122" s="3">
        <v>0</v>
      </c>
      <c r="M122" s="7">
        <f>((K122*'Ship Component Reqs'!$D$32)-L122)</f>
        <v>131</v>
      </c>
      <c r="N122">
        <f>D137</f>
        <v>5067</v>
      </c>
      <c r="O122" s="14">
        <f t="shared" si="36"/>
        <v>663777</v>
      </c>
    </row>
    <row r="123" spans="1:15" ht="16" x14ac:dyDescent="0.5">
      <c r="A123" t="s">
        <v>7</v>
      </c>
      <c r="F123" s="4"/>
      <c r="G123" s="6"/>
      <c r="J123" t="str">
        <f>A143</f>
        <v>Fullerides</v>
      </c>
      <c r="K123" s="3">
        <f>G143</f>
        <v>1431</v>
      </c>
      <c r="L123" s="3">
        <v>0</v>
      </c>
      <c r="M123" s="7">
        <f>((K123*'Ship Component Reqs'!$D$32)-L123)</f>
        <v>1431</v>
      </c>
      <c r="N123">
        <f>D143</f>
        <v>502</v>
      </c>
      <c r="O123" s="12">
        <f>IF(M123&lt;0,0,M123*N123)</f>
        <v>718362</v>
      </c>
    </row>
    <row r="124" spans="1:15" x14ac:dyDescent="0.35">
      <c r="A124" t="str">
        <f>A119</f>
        <v>Tungsten Carbide</v>
      </c>
      <c r="B124">
        <v>20</v>
      </c>
      <c r="C124">
        <v>22</v>
      </c>
      <c r="D124" s="38">
        <f>D115</f>
        <v>130</v>
      </c>
      <c r="E124">
        <f>IF('Ship Component Reqs'!F35&lt;0,0,'Ship Component Reqs'!F35)</f>
        <v>37</v>
      </c>
      <c r="F124" s="13">
        <f t="shared" ref="F124:F125" si="39">MAX(E124,_xlfn.CEILING.MATH(ROUNDUP(E124*C124*((1-10%)*(1-2%)*(1-1%)),20)))*D124</f>
        <v>92430</v>
      </c>
      <c r="G124" s="16">
        <f t="shared" ref="G124:G125" si="40">MAX(E124,_xlfn.CEILING.MATH(ROUNDUP(E124*C124*((1-10%)*(1-2%)*(1-1%)),20)))</f>
        <v>711</v>
      </c>
      <c r="K124" s="11"/>
      <c r="O124" s="4">
        <f>SUM(O115:O123)</f>
        <v>28893051.199999999</v>
      </c>
    </row>
    <row r="125" spans="1:15" x14ac:dyDescent="0.35">
      <c r="A125" t="str">
        <f>A121</f>
        <v>Ferrogel</v>
      </c>
      <c r="B125">
        <v>1</v>
      </c>
      <c r="C125">
        <v>1</v>
      </c>
      <c r="D125" s="38">
        <f>D121</f>
        <v>19380</v>
      </c>
      <c r="E125">
        <f>E124</f>
        <v>37</v>
      </c>
      <c r="F125" s="13">
        <f t="shared" si="39"/>
        <v>717060</v>
      </c>
      <c r="G125" s="16">
        <f t="shared" si="40"/>
        <v>37</v>
      </c>
    </row>
    <row r="126" spans="1:15" ht="16" x14ac:dyDescent="0.5">
      <c r="A126" t="s">
        <v>12</v>
      </c>
      <c r="B126">
        <v>9</v>
      </c>
      <c r="C126">
        <v>9</v>
      </c>
      <c r="D126" s="23">
        <f>D14</f>
        <v>208.9</v>
      </c>
      <c r="E126">
        <f>E124</f>
        <v>37</v>
      </c>
      <c r="F126" s="39">
        <f>MAX(E126,_xlfn.CEILING.MATH(ROUNDUP(E126*C126*((1-10%)*(1-2%)*(1-1%)),20)))*D126</f>
        <v>60789.9</v>
      </c>
      <c r="G126" s="16">
        <f>MAX(E126,_xlfn.CEILING.MATH(ROUNDUP(E126*C126*((1-10%)*(1-1%)),20)))</f>
        <v>297</v>
      </c>
    </row>
    <row r="127" spans="1:15" x14ac:dyDescent="0.35">
      <c r="E127" s="1" t="str">
        <f>A123</f>
        <v>Linear Shield Emitter</v>
      </c>
      <c r="F127" s="4">
        <f>SUM(F124:F126)*1.03</f>
        <v>896388.29700000002</v>
      </c>
      <c r="G127" s="6"/>
    </row>
    <row r="128" spans="1:15" x14ac:dyDescent="0.35">
      <c r="A128" t="s">
        <v>4</v>
      </c>
      <c r="F128" s="4"/>
      <c r="G128" s="6"/>
    </row>
    <row r="129" spans="1:7" x14ac:dyDescent="0.35">
      <c r="A129" t="str">
        <f>A124</f>
        <v>Tungsten Carbide</v>
      </c>
      <c r="B129">
        <v>16</v>
      </c>
      <c r="C129">
        <v>17</v>
      </c>
      <c r="D129" s="2">
        <f>D124</f>
        <v>130</v>
      </c>
      <c r="E129">
        <f>IF('Ship Component Reqs'!F36&lt;0,0,'Ship Component Reqs'!F36)</f>
        <v>350</v>
      </c>
      <c r="F129" s="13">
        <f t="shared" ref="F129:F131" si="41">MAX(E129,_xlfn.CEILING.MATH(ROUNDUP(E129*C129*((1-10%)*(1-2%)*(1-1%)),20)))*D129</f>
        <v>675480</v>
      </c>
      <c r="G129" s="16">
        <f t="shared" ref="G129:G131" si="42">MAX(E129,_xlfn.CEILING.MATH(ROUNDUP(E129*C129*((1-10%)*(1-2%)*(1-1%)),20)))</f>
        <v>5196</v>
      </c>
    </row>
    <row r="130" spans="1:7" x14ac:dyDescent="0.35">
      <c r="A130" t="str">
        <f>A120</f>
        <v>Phenolic Composites</v>
      </c>
      <c r="B130">
        <v>6</v>
      </c>
      <c r="C130">
        <v>6</v>
      </c>
      <c r="D130" s="2">
        <f>D120</f>
        <v>950</v>
      </c>
      <c r="E130">
        <f>E129</f>
        <v>350</v>
      </c>
      <c r="F130" s="13">
        <f t="shared" si="41"/>
        <v>1742300</v>
      </c>
      <c r="G130" s="16">
        <f t="shared" si="42"/>
        <v>1834</v>
      </c>
    </row>
    <row r="131" spans="1:7" x14ac:dyDescent="0.35">
      <c r="A131" t="s">
        <v>13</v>
      </c>
      <c r="B131">
        <v>2</v>
      </c>
      <c r="C131">
        <v>2</v>
      </c>
      <c r="D131" s="23">
        <f>D19</f>
        <v>9951</v>
      </c>
      <c r="E131">
        <f>E129</f>
        <v>350</v>
      </c>
      <c r="F131" s="13">
        <f t="shared" si="41"/>
        <v>6090012</v>
      </c>
      <c r="G131" s="16">
        <f t="shared" si="42"/>
        <v>612</v>
      </c>
    </row>
    <row r="132" spans="1:7" ht="16" x14ac:dyDescent="0.5">
      <c r="A132" t="s">
        <v>14</v>
      </c>
      <c r="B132">
        <v>2</v>
      </c>
      <c r="C132">
        <v>2</v>
      </c>
      <c r="D132" s="23">
        <f>D20</f>
        <v>2760</v>
      </c>
      <c r="E132">
        <f>E129</f>
        <v>350</v>
      </c>
      <c r="F132" s="39">
        <f>MAX(E132,_xlfn.CEILING.MATH(ROUNDUP(E132*C132*((1-10%)*(1-2%)*(1-1%)),20)))*D132</f>
        <v>1689120</v>
      </c>
      <c r="G132" s="16">
        <f>MAX(E132,_xlfn.CEILING.MATH(ROUNDUP(E132*C132*((1-10%)*(1-1%)),20)))</f>
        <v>624</v>
      </c>
    </row>
    <row r="133" spans="1:7" x14ac:dyDescent="0.35">
      <c r="E133" s="1" t="str">
        <f>A128</f>
        <v>Nanoelectrical Microprocessor</v>
      </c>
      <c r="F133" s="4">
        <f>SUM(F129:F132)*1.03</f>
        <v>10502819.359999999</v>
      </c>
      <c r="G133" s="6"/>
    </row>
    <row r="134" spans="1:7" x14ac:dyDescent="0.35">
      <c r="A134" t="s">
        <v>3</v>
      </c>
      <c r="F134" s="4"/>
      <c r="G134" s="6"/>
    </row>
    <row r="135" spans="1:7" x14ac:dyDescent="0.35">
      <c r="A135" t="str">
        <f>A129</f>
        <v>Tungsten Carbide</v>
      </c>
      <c r="B135">
        <v>20</v>
      </c>
      <c r="C135">
        <v>22</v>
      </c>
      <c r="D135" s="2">
        <f>D129</f>
        <v>130</v>
      </c>
      <c r="E135">
        <f>IF('Ship Component Reqs'!F37&lt;0,0,'Ship Component Reqs'!F37)</f>
        <v>73</v>
      </c>
      <c r="F135" s="13">
        <f t="shared" ref="F135:F136" si="43">MAX(E135,_xlfn.CEILING.MATH(ROUNDUP(E135*C135*((1-10%)*(1-2%)*(1-1%)),20)))*D135</f>
        <v>182390</v>
      </c>
      <c r="G135" s="16">
        <f t="shared" ref="G135:G136" si="44">MAX(E135,_xlfn.CEILING.MATH(ROUNDUP(E135*C135*((1-10%)*(1-2%)*(1-1%)),20)))</f>
        <v>1403</v>
      </c>
    </row>
    <row r="136" spans="1:7" x14ac:dyDescent="0.35">
      <c r="A136" t="s">
        <v>14</v>
      </c>
      <c r="B136">
        <v>1</v>
      </c>
      <c r="C136">
        <v>1</v>
      </c>
      <c r="D136" s="2">
        <f>D132</f>
        <v>2760</v>
      </c>
      <c r="E136">
        <f>E135</f>
        <v>73</v>
      </c>
      <c r="F136" s="13">
        <f t="shared" si="43"/>
        <v>201480</v>
      </c>
      <c r="G136" s="16">
        <f t="shared" si="44"/>
        <v>73</v>
      </c>
    </row>
    <row r="137" spans="1:7" ht="16" x14ac:dyDescent="0.5">
      <c r="A137" t="s">
        <v>15</v>
      </c>
      <c r="B137">
        <v>2</v>
      </c>
      <c r="C137">
        <v>2</v>
      </c>
      <c r="D137" s="23">
        <f>D25</f>
        <v>5067</v>
      </c>
      <c r="E137">
        <f>E135</f>
        <v>73</v>
      </c>
      <c r="F137" s="39">
        <f>MAX(E137,_xlfn.CEILING.MATH(ROUNDUP(E137*C137*((1-10%)*(1-2%)*(1-1%)),20)))*D137</f>
        <v>648576</v>
      </c>
      <c r="G137" s="16">
        <f>MAX(E137,_xlfn.CEILING.MATH(ROUNDUP(E137*C137*((1-10%)*(1-1%)),20)))</f>
        <v>131</v>
      </c>
    </row>
    <row r="138" spans="1:7" x14ac:dyDescent="0.35">
      <c r="E138" s="1" t="str">
        <f>A134</f>
        <v>Radar Sensor Cluster</v>
      </c>
      <c r="F138" s="4">
        <f>SUM(F135:F137)*1.03</f>
        <v>1063419.3800000001</v>
      </c>
      <c r="G138" s="6"/>
    </row>
    <row r="139" spans="1:7" x14ac:dyDescent="0.35">
      <c r="A139" t="s">
        <v>2</v>
      </c>
      <c r="F139" s="4"/>
      <c r="G139" s="6"/>
    </row>
    <row r="140" spans="1:7" x14ac:dyDescent="0.35">
      <c r="A140" t="str">
        <f>A135</f>
        <v>Tungsten Carbide</v>
      </c>
      <c r="B140">
        <v>25</v>
      </c>
      <c r="C140">
        <v>27</v>
      </c>
      <c r="D140" s="2">
        <f>D135</f>
        <v>130</v>
      </c>
      <c r="E140">
        <f>IF('Ship Component Reqs'!F38&lt;0,0,'Ship Component Reqs'!F38)</f>
        <v>146</v>
      </c>
      <c r="F140" s="13">
        <f t="shared" ref="F140:F142" si="45">MAX(E140,_xlfn.CEILING.MATH(ROUNDUP(E140*C140*((1-10%)*(1-2%)*(1-1%)),20)))*D140</f>
        <v>447590</v>
      </c>
      <c r="G140" s="16">
        <f t="shared" ref="G140:G142" si="46">MAX(E140,_xlfn.CEILING.MATH(ROUNDUP(E140*C140*((1-10%)*(1-2%)*(1-1%)),20)))</f>
        <v>3443</v>
      </c>
    </row>
    <row r="141" spans="1:7" x14ac:dyDescent="0.35">
      <c r="A141" t="str">
        <f>A136</f>
        <v>Nano Transistors</v>
      </c>
      <c r="B141">
        <v>1</v>
      </c>
      <c r="C141">
        <v>1</v>
      </c>
      <c r="D141" s="2">
        <f>D136</f>
        <v>2760</v>
      </c>
      <c r="E141">
        <f>E140</f>
        <v>146</v>
      </c>
      <c r="F141" s="13">
        <f t="shared" si="45"/>
        <v>402960</v>
      </c>
      <c r="G141" s="16">
        <f t="shared" si="46"/>
        <v>146</v>
      </c>
    </row>
    <row r="142" spans="1:7" x14ac:dyDescent="0.35">
      <c r="A142" t="str">
        <f>A131</f>
        <v>Terahertz Meta Materials</v>
      </c>
      <c r="B142">
        <v>2</v>
      </c>
      <c r="C142">
        <v>2</v>
      </c>
      <c r="D142" s="2">
        <f>D131</f>
        <v>9951</v>
      </c>
      <c r="E142">
        <f>E140</f>
        <v>146</v>
      </c>
      <c r="F142" s="13">
        <f t="shared" si="45"/>
        <v>2537505</v>
      </c>
      <c r="G142" s="16">
        <f t="shared" si="46"/>
        <v>255</v>
      </c>
    </row>
    <row r="143" spans="1:7" ht="16" x14ac:dyDescent="0.5">
      <c r="A143" t="s">
        <v>16</v>
      </c>
      <c r="B143">
        <v>10</v>
      </c>
      <c r="C143">
        <v>11</v>
      </c>
      <c r="D143" s="23">
        <f>D31</f>
        <v>502</v>
      </c>
      <c r="E143">
        <f>E140</f>
        <v>146</v>
      </c>
      <c r="F143" s="39">
        <f>MAX(E143,_xlfn.CEILING.MATH(ROUNDUP(E143*C143*((1-10%)*(1-2%)*(1-1%)),20)))*D143</f>
        <v>704306</v>
      </c>
      <c r="G143" s="16">
        <f>MAX(E143,_xlfn.CEILING.MATH(ROUNDUP(E143*C143*((1-10%)*(1-1%)),20)))</f>
        <v>1431</v>
      </c>
    </row>
    <row r="144" spans="1:7" x14ac:dyDescent="0.35">
      <c r="E144" s="1" t="str">
        <f>A139</f>
        <v>Tesseract Capacitor Unit</v>
      </c>
      <c r="F144" s="4">
        <f>SUM(F140:F143)*1.03</f>
        <v>4215131.83</v>
      </c>
      <c r="G144" s="6"/>
    </row>
    <row r="145" spans="1:15" x14ac:dyDescent="0.35">
      <c r="A145" t="s">
        <v>5</v>
      </c>
      <c r="F145" s="4"/>
      <c r="G145" s="6"/>
    </row>
    <row r="146" spans="1:15" x14ac:dyDescent="0.35">
      <c r="A146" t="str">
        <f>A140</f>
        <v>Tungsten Carbide</v>
      </c>
      <c r="B146">
        <v>40</v>
      </c>
      <c r="C146">
        <v>44</v>
      </c>
      <c r="D146" s="2">
        <f>D140</f>
        <v>130</v>
      </c>
      <c r="E146">
        <f>IF('Ship Component Reqs'!F39&lt;0,0,'Ship Component Reqs'!F39)</f>
        <v>1456</v>
      </c>
      <c r="F146" s="13">
        <f>MAX(E146,_xlfn.CEILING.MATH(ROUNDUP(E146*C146*((1-10%)*(1-2%)*(1-1%)),20)))*D146</f>
        <v>7272200</v>
      </c>
      <c r="G146" s="16">
        <f>MAX(E146,_xlfn.CEILING.MATH(ROUNDUP(E146*C146*((1-10%)*(1-2%)*(1-1%)),20)))</f>
        <v>55940</v>
      </c>
    </row>
    <row r="147" spans="1:15" ht="16" x14ac:dyDescent="0.5">
      <c r="A147" t="str">
        <f>A126</f>
        <v>Sylramic Fibers</v>
      </c>
      <c r="B147">
        <v>10</v>
      </c>
      <c r="C147">
        <v>11</v>
      </c>
      <c r="D147" s="2">
        <f>D126</f>
        <v>208.9</v>
      </c>
      <c r="E147">
        <f>E146</f>
        <v>1456</v>
      </c>
      <c r="F147" s="39">
        <f>MAX(E147,_xlfn.CEILING.MATH(ROUNDUP(E147*C147*((1-10%)*(1-2%)*(1-1%)),20)))*D147</f>
        <v>2921466.5</v>
      </c>
      <c r="G147" s="16">
        <f>MAX(E147,_xlfn.CEILING.MATH(ROUNDUP(E147*C147*((1-10%)*(1-1%)),20)))</f>
        <v>14271</v>
      </c>
    </row>
    <row r="148" spans="1:15" x14ac:dyDescent="0.35">
      <c r="E148" s="1" t="str">
        <f>A145</f>
        <v>Tungsten Carbide Armor Plate</v>
      </c>
      <c r="F148" s="4">
        <f>SUM(F146:F147)*1.03</f>
        <v>10499476.495000001</v>
      </c>
      <c r="G148" s="4"/>
    </row>
    <row r="149" spans="1:15" s="18" customFormat="1" x14ac:dyDescent="0.35">
      <c r="D149" s="31"/>
      <c r="K149" s="19"/>
      <c r="L149" s="19"/>
      <c r="M149" s="19"/>
    </row>
    <row r="150" spans="1:15" x14ac:dyDescent="0.35">
      <c r="A150" t="s">
        <v>334</v>
      </c>
      <c r="E150" s="1"/>
      <c r="F150" s="4"/>
    </row>
    <row r="151" spans="1:15" x14ac:dyDescent="0.35">
      <c r="A151" t="s">
        <v>6</v>
      </c>
      <c r="D151" s="2" t="s">
        <v>21</v>
      </c>
      <c r="E151" t="s">
        <v>19</v>
      </c>
      <c r="G151" t="s">
        <v>24</v>
      </c>
      <c r="J151" t="s">
        <v>25</v>
      </c>
      <c r="K151" s="3" t="s">
        <v>30</v>
      </c>
      <c r="L151" s="3" t="s">
        <v>27</v>
      </c>
      <c r="M151" s="3" t="s">
        <v>35</v>
      </c>
      <c r="N151" t="s">
        <v>26</v>
      </c>
      <c r="O151" s="3" t="s">
        <v>34</v>
      </c>
    </row>
    <row r="152" spans="1:15" x14ac:dyDescent="0.35">
      <c r="A152" t="s">
        <v>8</v>
      </c>
      <c r="B152">
        <v>9</v>
      </c>
      <c r="C152">
        <v>9</v>
      </c>
      <c r="D152" s="23">
        <f>D115</f>
        <v>130</v>
      </c>
      <c r="E152">
        <f>'Ship Component Reqs'!F47</f>
        <v>124</v>
      </c>
      <c r="F152" s="13">
        <f>MAX(E152,_xlfn.CEILING.MATH(ROUNDUP(E152*C152*((1-10%)*(1-2%)*(1-1%)),20)))*D152</f>
        <v>126750</v>
      </c>
      <c r="G152" s="16">
        <f>MAX(E152,_xlfn.CEILING.MATH(ROUNDUP(E152*C152*((1-10%)*(1-2%)*(1-1%)),20)))</f>
        <v>975</v>
      </c>
      <c r="H152" s="4"/>
      <c r="I152" s="4"/>
      <c r="J152" t="str">
        <f>A152</f>
        <v>Tungsten Carbide</v>
      </c>
      <c r="K152" s="3">
        <f>G152+G156+G161+G166+G172+G177+G183</f>
        <v>617716</v>
      </c>
      <c r="L152" s="21"/>
      <c r="M152" s="7">
        <f t="shared" ref="M152:M160" si="47">((K152)-L152)</f>
        <v>617716</v>
      </c>
      <c r="N152">
        <f>D152</f>
        <v>130</v>
      </c>
      <c r="O152" s="14">
        <f>IF(M152&lt;0,0,M152*N152)</f>
        <v>80303080</v>
      </c>
    </row>
    <row r="153" spans="1:15" ht="16" x14ac:dyDescent="0.5">
      <c r="A153" t="s">
        <v>9</v>
      </c>
      <c r="B153">
        <v>2</v>
      </c>
      <c r="C153">
        <v>2</v>
      </c>
      <c r="D153" s="23">
        <f>D116</f>
        <v>36700</v>
      </c>
      <c r="E153">
        <f>E152</f>
        <v>124</v>
      </c>
      <c r="F153" s="39">
        <f>MAX(E153,_xlfn.CEILING.MATH(ROUNDUP(E153*C153*((1-10%)*(1-2%)*(1-1%)),20)))*D153</f>
        <v>7963900</v>
      </c>
      <c r="G153" s="16">
        <f>MAX(E153,_xlfn.CEILING.MATH(ROUNDUP(E153*C153*((1-10%)*(1-2%)*(1-1%)),20)))</f>
        <v>217</v>
      </c>
      <c r="H153" s="4"/>
      <c r="J153" t="str">
        <f>A153</f>
        <v>Fermionic Condensates</v>
      </c>
      <c r="K153" s="3">
        <f>G153</f>
        <v>217</v>
      </c>
      <c r="L153" s="21"/>
      <c r="M153" s="7">
        <f t="shared" si="47"/>
        <v>217</v>
      </c>
      <c r="N153">
        <f>D153</f>
        <v>36700</v>
      </c>
      <c r="O153" s="14">
        <f t="shared" ref="O153:O154" si="48">IF(M153&lt;0,0,M153*N153)</f>
        <v>7963900</v>
      </c>
    </row>
    <row r="154" spans="1:15" x14ac:dyDescent="0.35">
      <c r="E154" s="1" t="str">
        <f>A151</f>
        <v>Antimatter Reactor Unit</v>
      </c>
      <c r="F154" s="4">
        <f>SUM(F152:F153)</f>
        <v>8090650</v>
      </c>
      <c r="G154" s="6"/>
      <c r="J154" t="str">
        <f>A157</f>
        <v>Phenolic Composites</v>
      </c>
      <c r="K154" s="3">
        <f>G157+G167</f>
        <v>11810</v>
      </c>
      <c r="L154" s="21"/>
      <c r="M154" s="7">
        <f t="shared" si="47"/>
        <v>11810</v>
      </c>
      <c r="N154">
        <f>D157</f>
        <v>950</v>
      </c>
      <c r="O154" s="14">
        <f t="shared" si="48"/>
        <v>11219500</v>
      </c>
    </row>
    <row r="155" spans="1:15" x14ac:dyDescent="0.35">
      <c r="A155" t="s">
        <v>1</v>
      </c>
      <c r="F155" s="4"/>
      <c r="G155" s="6"/>
      <c r="J155" t="str">
        <f>A158</f>
        <v>Ferrogel</v>
      </c>
      <c r="K155" s="3">
        <f>G158+G162</f>
        <v>820</v>
      </c>
      <c r="L155" s="21"/>
      <c r="M155" s="7">
        <f t="shared" si="47"/>
        <v>820</v>
      </c>
      <c r="N155">
        <f>D158</f>
        <v>19380</v>
      </c>
      <c r="O155" s="14">
        <f>IF(M155&lt;0,0,M155*N155)</f>
        <v>15891600</v>
      </c>
    </row>
    <row r="156" spans="1:15" x14ac:dyDescent="0.35">
      <c r="A156" t="str">
        <f>A152</f>
        <v>Tungsten Carbide</v>
      </c>
      <c r="B156">
        <v>12</v>
      </c>
      <c r="C156">
        <v>13</v>
      </c>
      <c r="D156" s="38">
        <f>D152</f>
        <v>130</v>
      </c>
      <c r="E156">
        <f>'Ship Component Reqs'!F48</f>
        <v>356</v>
      </c>
      <c r="F156" s="13">
        <f t="shared" ref="F156:F157" si="49">MAX(E156,_xlfn.CEILING.MATH(ROUNDUP(E156*C156*((1-10%)*(1-2%)*(1-1%)),20)))*D156</f>
        <v>525460</v>
      </c>
      <c r="G156" s="16">
        <f t="shared" ref="G156:G157" si="50">MAX(E156,_xlfn.CEILING.MATH(ROUNDUP(E156*C156*((1-10%)*(1-2%)*(1-1%)),20)))</f>
        <v>4042</v>
      </c>
      <c r="J156" t="str">
        <f>A163</f>
        <v>Sylramic Fibers</v>
      </c>
      <c r="K156" s="3">
        <f>G163+G184</f>
        <v>139289</v>
      </c>
      <c r="L156" s="21"/>
      <c r="M156" s="7">
        <f t="shared" si="47"/>
        <v>139289</v>
      </c>
      <c r="N156">
        <f>D163</f>
        <v>208.9</v>
      </c>
      <c r="O156" s="14">
        <f t="shared" ref="O156:O159" si="51">IF(M156&lt;0,0,M156*N156)</f>
        <v>29097472.100000001</v>
      </c>
    </row>
    <row r="157" spans="1:15" x14ac:dyDescent="0.35">
      <c r="A157" t="s">
        <v>10</v>
      </c>
      <c r="B157">
        <v>3</v>
      </c>
      <c r="C157">
        <v>3</v>
      </c>
      <c r="D157" s="23">
        <f>D120</f>
        <v>950</v>
      </c>
      <c r="E157">
        <f>E156</f>
        <v>356</v>
      </c>
      <c r="F157" s="13">
        <f t="shared" si="49"/>
        <v>886350</v>
      </c>
      <c r="G157" s="16">
        <f t="shared" si="50"/>
        <v>933</v>
      </c>
      <c r="J157" t="str">
        <f>A168</f>
        <v>Terahertz Meta Materials</v>
      </c>
      <c r="K157" s="3">
        <f>G168+G179</f>
        <v>6043</v>
      </c>
      <c r="L157" s="21"/>
      <c r="M157" s="7">
        <f t="shared" si="47"/>
        <v>6043</v>
      </c>
      <c r="N157">
        <f>D168</f>
        <v>9951</v>
      </c>
      <c r="O157" s="14">
        <f t="shared" si="51"/>
        <v>60133893</v>
      </c>
    </row>
    <row r="158" spans="1:15" ht="16" x14ac:dyDescent="0.5">
      <c r="A158" t="s">
        <v>11</v>
      </c>
      <c r="B158">
        <v>1</v>
      </c>
      <c r="C158">
        <v>1</v>
      </c>
      <c r="D158" s="23">
        <f>D121</f>
        <v>19380</v>
      </c>
      <c r="E158">
        <f>E156</f>
        <v>356</v>
      </c>
      <c r="F158" s="39">
        <f>MAX(E158,_xlfn.CEILING.MATH(ROUNDUP(E158*C158*((1-10%)*(1-2%)*(1-1%)),20)))*D158</f>
        <v>6899280</v>
      </c>
      <c r="G158" s="16">
        <f>MAX(E158,_xlfn.CEILING.MATH(ROUNDUP(E158*C158*((1-10%)*(1-1%)),20)))</f>
        <v>356</v>
      </c>
      <c r="J158" t="str">
        <f>A169</f>
        <v>Nano Transistors</v>
      </c>
      <c r="K158" s="3">
        <f>G173+G178+G169</f>
        <v>5548</v>
      </c>
      <c r="L158" s="21"/>
      <c r="M158" s="7">
        <f t="shared" si="47"/>
        <v>5548</v>
      </c>
      <c r="N158">
        <f>D169</f>
        <v>2760</v>
      </c>
      <c r="O158" s="14">
        <f t="shared" si="51"/>
        <v>15312480</v>
      </c>
    </row>
    <row r="159" spans="1:15" x14ac:dyDescent="0.35">
      <c r="E159" s="1" t="str">
        <f>A155</f>
        <v>Fusion Thruster</v>
      </c>
      <c r="F159" s="4">
        <f>SUM(F156:F158)*1.03</f>
        <v>8560422.7000000011</v>
      </c>
      <c r="G159" s="6"/>
      <c r="J159" t="str">
        <f>A174</f>
        <v>Hypersynaptic Fibers</v>
      </c>
      <c r="K159" s="3">
        <f>G174</f>
        <v>827</v>
      </c>
      <c r="L159" s="21"/>
      <c r="M159" s="7">
        <f t="shared" si="47"/>
        <v>827</v>
      </c>
      <c r="N159">
        <f>D174</f>
        <v>5067</v>
      </c>
      <c r="O159" s="14">
        <f t="shared" si="51"/>
        <v>4190409</v>
      </c>
    </row>
    <row r="160" spans="1:15" ht="16" x14ac:dyDescent="0.5">
      <c r="A160" t="s">
        <v>7</v>
      </c>
      <c r="F160" s="4"/>
      <c r="G160" s="6"/>
      <c r="J160" t="str">
        <f>A180</f>
        <v>Fullerides</v>
      </c>
      <c r="K160" s="3">
        <f>G180</f>
        <v>13565</v>
      </c>
      <c r="L160" s="21"/>
      <c r="M160" s="7">
        <f t="shared" si="47"/>
        <v>13565</v>
      </c>
      <c r="N160">
        <f>D180</f>
        <v>502</v>
      </c>
      <c r="O160" s="12">
        <f>IF(M160&lt;0,0,M160*N160)</f>
        <v>6809630</v>
      </c>
    </row>
    <row r="161" spans="1:15" x14ac:dyDescent="0.35">
      <c r="A161" t="str">
        <f>A156</f>
        <v>Tungsten Carbide</v>
      </c>
      <c r="B161">
        <v>20</v>
      </c>
      <c r="C161">
        <v>22</v>
      </c>
      <c r="D161" s="38">
        <f>D152</f>
        <v>130</v>
      </c>
      <c r="E161">
        <f>'Ship Component Reqs'!F49</f>
        <v>464</v>
      </c>
      <c r="F161" s="13">
        <f t="shared" ref="F161:F162" si="52">MAX(E161,_xlfn.CEILING.MATH(ROUNDUP(E161*C161*((1-10%)*(1-2%)*(1-1%)),20)))*D161</f>
        <v>1158820</v>
      </c>
      <c r="G161" s="16">
        <f t="shared" ref="G161:G162" si="53">MAX(E161,_xlfn.CEILING.MATH(ROUNDUP(E161*C161*((1-10%)*(1-2%)*(1-1%)),20)))</f>
        <v>8914</v>
      </c>
      <c r="H161" s="4"/>
      <c r="K161" s="11"/>
      <c r="O161" s="4">
        <f>SUM(O152:O160)</f>
        <v>230921964.09999999</v>
      </c>
    </row>
    <row r="162" spans="1:15" x14ac:dyDescent="0.35">
      <c r="A162" t="str">
        <f>A158</f>
        <v>Ferrogel</v>
      </c>
      <c r="B162">
        <v>1</v>
      </c>
      <c r="C162">
        <v>1</v>
      </c>
      <c r="D162" s="38">
        <f>D158</f>
        <v>19380</v>
      </c>
      <c r="E162">
        <f>E161</f>
        <v>464</v>
      </c>
      <c r="F162" s="13">
        <f t="shared" si="52"/>
        <v>8992320</v>
      </c>
      <c r="G162" s="16">
        <f t="shared" si="53"/>
        <v>464</v>
      </c>
      <c r="J162" s="4"/>
      <c r="K162" t="s">
        <v>46</v>
      </c>
    </row>
    <row r="163" spans="1:15" ht="16" x14ac:dyDescent="0.5">
      <c r="A163" t="s">
        <v>12</v>
      </c>
      <c r="B163">
        <v>9</v>
      </c>
      <c r="C163">
        <v>9</v>
      </c>
      <c r="D163" s="23">
        <f>D147</f>
        <v>208.9</v>
      </c>
      <c r="E163">
        <f>E161</f>
        <v>464</v>
      </c>
      <c r="F163" s="39">
        <f>MAX(E163,_xlfn.CEILING.MATH(ROUNDUP(E163*C163*((1-10%)*(1-2%)*(1-1%)),20)))*D163</f>
        <v>761858.3</v>
      </c>
      <c r="G163" s="16">
        <f>MAX(E163,_xlfn.CEILING.MATH(ROUNDUP(E163*C163*((1-10%)*(1-1%)),20)))</f>
        <v>3721</v>
      </c>
    </row>
    <row r="164" spans="1:15" x14ac:dyDescent="0.35">
      <c r="E164" s="1" t="str">
        <f>A160</f>
        <v>Linear Shield Emitter</v>
      </c>
      <c r="F164" s="4">
        <f>SUM(F161:F163)*1.03</f>
        <v>11240388.249000002</v>
      </c>
      <c r="G164" s="6"/>
      <c r="J164" s="4"/>
    </row>
    <row r="165" spans="1:15" x14ac:dyDescent="0.35">
      <c r="A165" t="s">
        <v>4</v>
      </c>
      <c r="F165" s="4"/>
      <c r="G165" s="6"/>
    </row>
    <row r="166" spans="1:15" x14ac:dyDescent="0.35">
      <c r="A166" t="str">
        <f>A161</f>
        <v>Tungsten Carbide</v>
      </c>
      <c r="B166">
        <v>16</v>
      </c>
      <c r="C166">
        <v>17</v>
      </c>
      <c r="D166" s="2">
        <f>D161</f>
        <v>130</v>
      </c>
      <c r="E166">
        <f>'Ship Component Reqs'!F50</f>
        <v>2076</v>
      </c>
      <c r="F166" s="13">
        <f t="shared" ref="F166:F168" si="54">MAX(E166,_xlfn.CEILING.MATH(ROUNDUP(E166*C166*((1-10%)*(1-2%)*(1-1%)),20)))*D166</f>
        <v>4006210</v>
      </c>
      <c r="G166" s="16">
        <f t="shared" ref="G166:G168" si="55">MAX(E166,_xlfn.CEILING.MATH(ROUNDUP(E166*C166*((1-10%)*(1-2%)*(1-1%)),20)))</f>
        <v>30817</v>
      </c>
      <c r="H166" s="4"/>
      <c r="N166" s="13"/>
      <c r="O166" s="16"/>
    </row>
    <row r="167" spans="1:15" x14ac:dyDescent="0.35">
      <c r="A167" t="str">
        <f>A157</f>
        <v>Phenolic Composites</v>
      </c>
      <c r="B167">
        <v>6</v>
      </c>
      <c r="C167">
        <v>6</v>
      </c>
      <c r="D167" s="2">
        <f>D157</f>
        <v>950</v>
      </c>
      <c r="E167">
        <f>E166</f>
        <v>2076</v>
      </c>
      <c r="F167" s="13">
        <f t="shared" si="54"/>
        <v>10333150</v>
      </c>
      <c r="G167" s="16">
        <f t="shared" si="55"/>
        <v>10877</v>
      </c>
      <c r="N167" s="13"/>
      <c r="O167" s="16"/>
    </row>
    <row r="168" spans="1:15" x14ac:dyDescent="0.35">
      <c r="A168" t="s">
        <v>13</v>
      </c>
      <c r="B168">
        <v>2</v>
      </c>
      <c r="C168">
        <v>2</v>
      </c>
      <c r="D168" s="23">
        <f>D131</f>
        <v>9951</v>
      </c>
      <c r="E168">
        <f>E166</f>
        <v>2076</v>
      </c>
      <c r="F168" s="13">
        <f t="shared" si="54"/>
        <v>36082326</v>
      </c>
      <c r="G168" s="16">
        <f t="shared" si="55"/>
        <v>3626</v>
      </c>
      <c r="N168" s="13"/>
      <c r="O168" s="16"/>
    </row>
    <row r="169" spans="1:15" ht="16" x14ac:dyDescent="0.5">
      <c r="A169" t="s">
        <v>14</v>
      </c>
      <c r="B169">
        <v>2</v>
      </c>
      <c r="C169">
        <v>2</v>
      </c>
      <c r="D169" s="23">
        <f>D132</f>
        <v>2760</v>
      </c>
      <c r="E169">
        <f>E167</f>
        <v>2076</v>
      </c>
      <c r="F169" s="39">
        <f>MAX(E169,_xlfn.CEILING.MATH(ROUNDUP(E169*C169*((1-10%)*(1-2%)*(1-1%)),20)))*D169</f>
        <v>10007760</v>
      </c>
      <c r="G169" s="16">
        <f>MAX(E169,_xlfn.CEILING.MATH(ROUNDUP(E169*C169*((1-10%)*(1-1%)),20)))</f>
        <v>3700</v>
      </c>
      <c r="N169" s="13"/>
    </row>
    <row r="170" spans="1:15" x14ac:dyDescent="0.35">
      <c r="E170" s="1" t="str">
        <f>A165</f>
        <v>Nanoelectrical Microprocessor</v>
      </c>
      <c r="F170" s="4">
        <f>SUM(F166:F169)*1.03</f>
        <v>62242329.380000003</v>
      </c>
      <c r="G170" s="6"/>
    </row>
    <row r="171" spans="1:15" x14ac:dyDescent="0.35">
      <c r="A171" t="s">
        <v>3</v>
      </c>
      <c r="F171" s="4"/>
      <c r="G171" s="6"/>
    </row>
    <row r="172" spans="1:15" x14ac:dyDescent="0.35">
      <c r="A172" t="str">
        <f>A166</f>
        <v>Tungsten Carbide</v>
      </c>
      <c r="B172">
        <v>20</v>
      </c>
      <c r="C172">
        <v>22</v>
      </c>
      <c r="D172" s="2">
        <f>D166</f>
        <v>130</v>
      </c>
      <c r="E172">
        <f>'Ship Component Reqs'!F51</f>
        <v>464</v>
      </c>
      <c r="F172" s="13">
        <f t="shared" ref="F172:F173" si="56">MAX(E172,_xlfn.CEILING.MATH(ROUNDUP(E172*C172*((1-10%)*(1-2%)*(1-1%)),20)))*D172</f>
        <v>1158820</v>
      </c>
      <c r="G172" s="16">
        <f t="shared" ref="G172:G173" si="57">MAX(E172,_xlfn.CEILING.MATH(ROUNDUP(E172*C172*((1-10%)*(1-2%)*(1-1%)),20)))</f>
        <v>8914</v>
      </c>
      <c r="H172" s="4"/>
      <c r="K172" s="15"/>
    </row>
    <row r="173" spans="1:15" x14ac:dyDescent="0.35">
      <c r="A173" t="s">
        <v>14</v>
      </c>
      <c r="B173">
        <v>1</v>
      </c>
      <c r="C173">
        <v>1</v>
      </c>
      <c r="D173" s="2">
        <f>D169</f>
        <v>2760</v>
      </c>
      <c r="E173">
        <f>E172</f>
        <v>464</v>
      </c>
      <c r="F173" s="13">
        <f t="shared" si="56"/>
        <v>1280640</v>
      </c>
      <c r="G173" s="16">
        <f t="shared" si="57"/>
        <v>464</v>
      </c>
    </row>
    <row r="174" spans="1:15" ht="16" x14ac:dyDescent="0.5">
      <c r="A174" t="s">
        <v>15</v>
      </c>
      <c r="B174">
        <v>2</v>
      </c>
      <c r="C174">
        <v>2</v>
      </c>
      <c r="D174" s="23">
        <f>D137</f>
        <v>5067</v>
      </c>
      <c r="E174">
        <f>E173</f>
        <v>464</v>
      </c>
      <c r="F174" s="39">
        <f>MAX(E174,_xlfn.CEILING.MATH(ROUNDUP(E174*C174*((1-10%)*(1-2%)*(1-1%)),20)))*D174</f>
        <v>4109337</v>
      </c>
      <c r="G174" s="16">
        <f>MAX(E174,_xlfn.CEILING.MATH(ROUNDUP(E174*C174*((1-10%)*(1-1%)),20)))</f>
        <v>827</v>
      </c>
    </row>
    <row r="175" spans="1:15" x14ac:dyDescent="0.35">
      <c r="E175" s="1" t="str">
        <f>A171</f>
        <v>Radar Sensor Cluster</v>
      </c>
      <c r="F175" s="4">
        <f>SUM(F172:F174)*1.03</f>
        <v>6745260.9100000001</v>
      </c>
      <c r="G175" s="6"/>
    </row>
    <row r="176" spans="1:15" x14ac:dyDescent="0.35">
      <c r="A176" t="s">
        <v>2</v>
      </c>
      <c r="F176" s="4"/>
      <c r="G176" s="6"/>
    </row>
    <row r="177" spans="1:16" x14ac:dyDescent="0.35">
      <c r="A177" t="str">
        <f>A172</f>
        <v>Tungsten Carbide</v>
      </c>
      <c r="B177">
        <v>25</v>
      </c>
      <c r="C177">
        <v>27</v>
      </c>
      <c r="D177" s="2">
        <f>D172</f>
        <v>130</v>
      </c>
      <c r="E177">
        <f>'Ship Component Reqs'!F52</f>
        <v>1384</v>
      </c>
      <c r="F177" s="13">
        <f t="shared" ref="F177:F179" si="58">MAX(E177,_xlfn.CEILING.MATH(ROUNDUP(E177*C177*((1-10%)*(1-2%)*(1-1%)),20)))*D177</f>
        <v>4241770</v>
      </c>
      <c r="G177" s="16">
        <f t="shared" ref="G177:G179" si="59">MAX(E177,_xlfn.CEILING.MATH(ROUNDUP(E177*C177*((1-10%)*(1-2%)*(1-1%)),20)))</f>
        <v>32629</v>
      </c>
      <c r="H177" s="4"/>
    </row>
    <row r="178" spans="1:16" x14ac:dyDescent="0.35">
      <c r="A178" t="str">
        <f>A173</f>
        <v>Nano Transistors</v>
      </c>
      <c r="B178">
        <v>1</v>
      </c>
      <c r="C178">
        <v>1</v>
      </c>
      <c r="D178" s="2">
        <f>D173</f>
        <v>2760</v>
      </c>
      <c r="E178">
        <f>E177</f>
        <v>1384</v>
      </c>
      <c r="F178" s="13">
        <f t="shared" si="58"/>
        <v>3819840</v>
      </c>
      <c r="G178" s="16">
        <f t="shared" si="59"/>
        <v>1384</v>
      </c>
    </row>
    <row r="179" spans="1:16" x14ac:dyDescent="0.35">
      <c r="A179" t="str">
        <f>A168</f>
        <v>Terahertz Meta Materials</v>
      </c>
      <c r="B179">
        <v>2</v>
      </c>
      <c r="C179">
        <v>2</v>
      </c>
      <c r="D179" s="2">
        <f>D168</f>
        <v>9951</v>
      </c>
      <c r="E179">
        <f>E177</f>
        <v>1384</v>
      </c>
      <c r="F179" s="13">
        <f t="shared" si="58"/>
        <v>24051567</v>
      </c>
      <c r="G179" s="16">
        <f t="shared" si="59"/>
        <v>2417</v>
      </c>
      <c r="I179" s="11"/>
    </row>
    <row r="180" spans="1:16" ht="16" x14ac:dyDescent="0.5">
      <c r="A180" t="s">
        <v>16</v>
      </c>
      <c r="B180">
        <v>10</v>
      </c>
      <c r="C180">
        <v>11</v>
      </c>
      <c r="D180" s="23">
        <f>D143</f>
        <v>502</v>
      </c>
      <c r="E180">
        <f>E178</f>
        <v>1384</v>
      </c>
      <c r="F180" s="39">
        <f>MAX(E180,_xlfn.CEILING.MATH(ROUNDUP(E180*C180*((1-10%)*(1-2%)*(1-1%)),20)))*D180</f>
        <v>6673588</v>
      </c>
      <c r="G180" s="16">
        <f>MAX(E180,_xlfn.CEILING.MATH(ROUNDUP(E180*C180*((1-10%)*(1-1%)),20)))</f>
        <v>13565</v>
      </c>
    </row>
    <row r="181" spans="1:16" x14ac:dyDescent="0.35">
      <c r="E181" s="1" t="str">
        <f>A176</f>
        <v>Tesseract Capacitor Unit</v>
      </c>
      <c r="F181" s="4">
        <f>SUM(F177:F180)*1.03</f>
        <v>39950367.950000003</v>
      </c>
      <c r="G181" s="6"/>
    </row>
    <row r="182" spans="1:16" x14ac:dyDescent="0.35">
      <c r="A182" t="s">
        <v>5</v>
      </c>
      <c r="F182" s="4"/>
      <c r="G182" s="6"/>
    </row>
    <row r="183" spans="1:16" x14ac:dyDescent="0.35">
      <c r="A183" t="str">
        <f>A177</f>
        <v>Tungsten Carbide</v>
      </c>
      <c r="B183">
        <v>40</v>
      </c>
      <c r="C183">
        <v>44</v>
      </c>
      <c r="D183" s="2">
        <f>D177</f>
        <v>130</v>
      </c>
      <c r="E183">
        <f>'Ship Component Reqs'!F53</f>
        <v>13832</v>
      </c>
      <c r="F183" s="13">
        <f>MAX(E183,_xlfn.CEILING.MATH(ROUNDUP(E183*C183*((1-10%)*(1-2%)*(1-1%)),20)))*D183</f>
        <v>69085250</v>
      </c>
      <c r="G183" s="16">
        <f>MAX(E183,_xlfn.CEILING.MATH(ROUNDUP(E183*C183*((1-10%)*(1-2%)*(1-1%)),20)))</f>
        <v>531425</v>
      </c>
      <c r="H183" s="4"/>
    </row>
    <row r="184" spans="1:16" ht="16" x14ac:dyDescent="0.5">
      <c r="A184" t="str">
        <f>A163</f>
        <v>Sylramic Fibers</v>
      </c>
      <c r="B184">
        <v>10</v>
      </c>
      <c r="C184">
        <v>11</v>
      </c>
      <c r="D184" s="2">
        <f>D163</f>
        <v>208.9</v>
      </c>
      <c r="E184">
        <f>E183</f>
        <v>13832</v>
      </c>
      <c r="F184" s="39">
        <f>MAX(E184,_xlfn.CEILING.MATH(ROUNDUP(E184*C184*((1-10%)*(1-2%)*(1-1%)),20)))*D184</f>
        <v>27753827.300000001</v>
      </c>
      <c r="G184" s="16">
        <f>MAX(E184,_xlfn.CEILING.MATH(ROUNDUP(E184*C184*((1-10%)*(1-1%)),20)))</f>
        <v>135568</v>
      </c>
    </row>
    <row r="185" spans="1:16" x14ac:dyDescent="0.35">
      <c r="E185" s="1" t="str">
        <f>A182</f>
        <v>Tungsten Carbide Armor Plate</v>
      </c>
      <c r="F185" s="4">
        <f>SUM(F183:F184)*1.03</f>
        <v>99744249.619000003</v>
      </c>
      <c r="G185" s="4"/>
      <c r="H185" s="4"/>
    </row>
    <row r="186" spans="1:16" x14ac:dyDescent="0.35">
      <c r="E186" s="1"/>
      <c r="F186" s="4"/>
    </row>
    <row r="187" spans="1:16" s="18" customFormat="1" x14ac:dyDescent="0.35">
      <c r="D187" s="31"/>
      <c r="K187" s="19"/>
      <c r="L187" s="19"/>
      <c r="M187" s="19"/>
    </row>
    <row r="188" spans="1:16" x14ac:dyDescent="0.35">
      <c r="A188" t="s">
        <v>161</v>
      </c>
    </row>
    <row r="189" spans="1:16" x14ac:dyDescent="0.35">
      <c r="A189" t="s">
        <v>153</v>
      </c>
      <c r="D189" s="2" t="s">
        <v>21</v>
      </c>
      <c r="E189" t="s">
        <v>19</v>
      </c>
      <c r="J189" t="s">
        <v>25</v>
      </c>
      <c r="K189" s="3" t="s">
        <v>30</v>
      </c>
      <c r="L189" s="3" t="s">
        <v>27</v>
      </c>
      <c r="M189" s="3" t="s">
        <v>35</v>
      </c>
      <c r="N189" t="s">
        <v>26</v>
      </c>
      <c r="O189" s="3" t="s">
        <v>34</v>
      </c>
    </row>
    <row r="190" spans="1:16" x14ac:dyDescent="0.35">
      <c r="A190" t="s">
        <v>163</v>
      </c>
      <c r="C190">
        <v>9</v>
      </c>
      <c r="D190" s="23">
        <f>Pricing!F9</f>
        <v>139.4</v>
      </c>
      <c r="E190">
        <f>IF('Ship Component Reqs'!F62&lt;0,0,'Ship Component Reqs'!F62)</f>
        <v>52</v>
      </c>
      <c r="F190" s="13">
        <f>MAX(E190,_xlfn.CEILING.MATH(ROUNDUP(E190*C190*((1-10%)*(1-2%)*(1-1%)),20)))*D190</f>
        <v>57014.600000000006</v>
      </c>
      <c r="G190" s="16">
        <f>MAX(E190,_xlfn.CEILING.MATH(ROUNDUP(E190*C190*((1-10%)*(1-2%)*(1-1%)),20)))</f>
        <v>409</v>
      </c>
      <c r="J190" t="str">
        <f>A190</f>
        <v>Titanium Carbide</v>
      </c>
      <c r="K190" s="3">
        <f>G190+G194+G199+G204+G209+G215+G221</f>
        <v>215320</v>
      </c>
      <c r="L190" s="3">
        <v>5400</v>
      </c>
      <c r="M190" s="7">
        <f>((K190*'Ship Component Reqs'!$D$32)-L190)</f>
        <v>209920</v>
      </c>
      <c r="N190">
        <f>D190</f>
        <v>139.4</v>
      </c>
      <c r="O190" s="14">
        <f>IF(M190&lt;0,0,M190*N190)</f>
        <v>29262848</v>
      </c>
      <c r="P190" t="s">
        <v>167</v>
      </c>
    </row>
    <row r="191" spans="1:16" ht="16" x14ac:dyDescent="0.5">
      <c r="A191" t="s">
        <v>162</v>
      </c>
      <c r="C191">
        <v>2</v>
      </c>
      <c r="D191" s="23">
        <f>D4</f>
        <v>36700</v>
      </c>
      <c r="E191">
        <f>E190</f>
        <v>52</v>
      </c>
      <c r="F191" s="39">
        <f>MAX(E191,_xlfn.CEILING.MATH(ROUNDUP(E191*C191*((1-10%)*(1-2%)*(1-1%)),20)))*D191</f>
        <v>3339700</v>
      </c>
      <c r="G191" s="16">
        <f>MAX(E191,_xlfn.CEILING.MATH(ROUNDUP(E191*C191*((1-10%)*(1-2%)*(1-1%)),20)))</f>
        <v>91</v>
      </c>
      <c r="J191" t="str">
        <f>A191</f>
        <v>Fermonic Condensates</v>
      </c>
      <c r="K191" s="3">
        <f>+G191</f>
        <v>91</v>
      </c>
      <c r="L191" s="3">
        <v>39</v>
      </c>
      <c r="M191" s="7">
        <f>((K191*'Ship Component Reqs'!$D$32)-L191)</f>
        <v>52</v>
      </c>
      <c r="N191">
        <f>D191</f>
        <v>36700</v>
      </c>
      <c r="O191" s="14">
        <f t="shared" ref="O191:O197" si="60">IF(M191&lt;0,0,M191*N191)</f>
        <v>1908400</v>
      </c>
      <c r="P191" t="s">
        <v>167</v>
      </c>
    </row>
    <row r="192" spans="1:16" x14ac:dyDescent="0.35">
      <c r="E192" s="1" t="str">
        <f>A189</f>
        <v>Graviton Reactor Unit</v>
      </c>
      <c r="F192" s="4">
        <f>SUM(F190:F191)*1.03</f>
        <v>3498616.0380000002</v>
      </c>
      <c r="G192" s="6"/>
      <c r="J192" t="str">
        <f>A195</f>
        <v>Sylramic Fibers</v>
      </c>
      <c r="K192" s="3">
        <f>+G195+G222</f>
        <v>45970</v>
      </c>
      <c r="L192" s="3">
        <v>1353</v>
      </c>
      <c r="M192" s="7">
        <f>((K192*'Ship Component Reqs'!$D$32)-L192)</f>
        <v>44617</v>
      </c>
      <c r="N192" s="4">
        <f>D195</f>
        <v>208.9</v>
      </c>
      <c r="O192" s="14">
        <f t="shared" si="60"/>
        <v>9320491.3000000007</v>
      </c>
      <c r="P192" t="s">
        <v>167</v>
      </c>
    </row>
    <row r="193" spans="1:16" x14ac:dyDescent="0.35">
      <c r="A193" t="s">
        <v>154</v>
      </c>
      <c r="G193" s="6"/>
      <c r="J193" t="str">
        <f>A196</f>
        <v>Ferrogel</v>
      </c>
      <c r="K193" s="3">
        <f>G196+G201</f>
        <v>283</v>
      </c>
      <c r="L193" s="3">
        <v>0</v>
      </c>
      <c r="M193" s="7">
        <f>((K193*'Ship Component Reqs'!$D$32)-L193)</f>
        <v>283</v>
      </c>
      <c r="N193" s="4">
        <f>D196</f>
        <v>19380</v>
      </c>
      <c r="O193" s="14">
        <f t="shared" si="60"/>
        <v>5484540</v>
      </c>
      <c r="P193" t="s">
        <v>167</v>
      </c>
    </row>
    <row r="194" spans="1:16" x14ac:dyDescent="0.35">
      <c r="A194" t="s">
        <v>163</v>
      </c>
      <c r="C194">
        <v>22</v>
      </c>
      <c r="D194" s="38">
        <f>D190</f>
        <v>139.4</v>
      </c>
      <c r="E194">
        <f>IF('Ship Component Reqs'!F63&lt;0,0,'Ship Component Reqs'!F63)</f>
        <v>110</v>
      </c>
      <c r="F194" s="13">
        <f t="shared" ref="F194:F195" si="61">MAX(E194,_xlfn.CEILING.MATH(ROUNDUP(E194*C194*((1-10%)*(1-2%)*(1-1%)),20)))*D194</f>
        <v>294691.60000000003</v>
      </c>
      <c r="G194" s="16">
        <f t="shared" ref="G194:G195" si="62">MAX(E194,_xlfn.CEILING.MATH(ROUNDUP(E194*C194*((1-10%)*(1-2%)*(1-1%)),20)))</f>
        <v>2114</v>
      </c>
      <c r="J194" t="str">
        <f>A200</f>
        <v>Phenolic Composites</v>
      </c>
      <c r="K194" s="3">
        <f>+G200+G218</f>
        <v>6039</v>
      </c>
      <c r="L194" s="3">
        <v>0</v>
      </c>
      <c r="M194" s="7">
        <f>((K194*'Ship Component Reqs'!$D$32)-L194)</f>
        <v>6039</v>
      </c>
      <c r="N194">
        <f>D200</f>
        <v>950</v>
      </c>
      <c r="O194" s="14">
        <f t="shared" si="60"/>
        <v>5737050</v>
      </c>
      <c r="P194" t="s">
        <v>167</v>
      </c>
    </row>
    <row r="195" spans="1:16" x14ac:dyDescent="0.35">
      <c r="A195" t="s">
        <v>12</v>
      </c>
      <c r="C195">
        <v>9</v>
      </c>
      <c r="D195" s="38">
        <f>Pricing!F29</f>
        <v>208.9</v>
      </c>
      <c r="E195">
        <f>E194</f>
        <v>110</v>
      </c>
      <c r="F195" s="13">
        <f t="shared" si="61"/>
        <v>180698.5</v>
      </c>
      <c r="G195" s="16">
        <f t="shared" si="62"/>
        <v>865</v>
      </c>
      <c r="J195" t="str">
        <f>A205</f>
        <v>Nano Transistors</v>
      </c>
      <c r="K195" s="3">
        <f>G205+G211+G217</f>
        <v>2523</v>
      </c>
      <c r="L195" s="3">
        <v>0</v>
      </c>
      <c r="M195" s="7">
        <f>((K195*'Ship Component Reqs'!$D$32)-L195)</f>
        <v>2523</v>
      </c>
      <c r="N195" s="4">
        <f>D205</f>
        <v>2760</v>
      </c>
      <c r="O195" s="14">
        <f t="shared" si="60"/>
        <v>6963480</v>
      </c>
      <c r="P195" t="s">
        <v>167</v>
      </c>
    </row>
    <row r="196" spans="1:16" ht="16" x14ac:dyDescent="0.5">
      <c r="A196" t="s">
        <v>11</v>
      </c>
      <c r="C196">
        <v>1</v>
      </c>
      <c r="D196" s="23">
        <f>Pricing!F28</f>
        <v>19380</v>
      </c>
      <c r="E196">
        <f>E194</f>
        <v>110</v>
      </c>
      <c r="F196" s="39">
        <f>MAX(E196,_xlfn.CEILING.MATH(ROUNDUP(E196*C196*((1-10%)*(1-2%)*(1-1%)),20)))*D196</f>
        <v>2131800</v>
      </c>
      <c r="G196" s="16">
        <f>MAX(E196,_xlfn.CEILING.MATH(ROUNDUP(E196*C196*((1-10%)*(1-2%)*(1-1%)),20)))</f>
        <v>110</v>
      </c>
      <c r="J196" t="str">
        <f>A206</f>
        <v>Hypersynaptic Fibers</v>
      </c>
      <c r="K196" s="3">
        <f>G206</f>
        <v>399</v>
      </c>
      <c r="L196" s="3">
        <v>0</v>
      </c>
      <c r="M196" s="7">
        <f>((K196*'Ship Component Reqs'!$D$32)-L196)</f>
        <v>399</v>
      </c>
      <c r="N196" s="4">
        <f>D206</f>
        <v>5067</v>
      </c>
      <c r="O196" s="14">
        <f t="shared" si="60"/>
        <v>2021733</v>
      </c>
      <c r="P196" t="s">
        <v>167</v>
      </c>
    </row>
    <row r="197" spans="1:16" x14ac:dyDescent="0.35">
      <c r="E197" s="1" t="str">
        <f>A193</f>
        <v>Sustained Shield Emitter</v>
      </c>
      <c r="F197" s="4">
        <f>SUM(F194:F196)*1.03</f>
        <v>2685405.8030000003</v>
      </c>
      <c r="G197" s="6"/>
      <c r="J197" t="str">
        <f>A210</f>
        <v>Fullerides</v>
      </c>
      <c r="K197" s="3">
        <f>G210</f>
        <v>4159</v>
      </c>
      <c r="L197" s="3">
        <v>30</v>
      </c>
      <c r="M197" s="7">
        <f>((K197*'Ship Component Reqs'!$D$32)-L197)</f>
        <v>4129</v>
      </c>
      <c r="N197">
        <f>D210</f>
        <v>502</v>
      </c>
      <c r="O197" s="14">
        <f t="shared" si="60"/>
        <v>2072758</v>
      </c>
      <c r="P197" t="s">
        <v>167</v>
      </c>
    </row>
    <row r="198" spans="1:16" ht="16" x14ac:dyDescent="0.5">
      <c r="A198" t="s">
        <v>155</v>
      </c>
      <c r="G198" s="6"/>
      <c r="J198" t="str">
        <f>A212</f>
        <v>Nonlinear MetaMaterials</v>
      </c>
      <c r="K198" s="3">
        <f>G212+G216</f>
        <v>2619</v>
      </c>
      <c r="L198" s="3">
        <v>0</v>
      </c>
      <c r="M198" s="7">
        <f>((K198*'Ship Component Reqs'!$D$32)-L198)</f>
        <v>2619</v>
      </c>
      <c r="N198">
        <f>D212</f>
        <v>10870</v>
      </c>
      <c r="O198" s="12">
        <f>IF(M198&lt;0,0,M198*N198)</f>
        <v>28468530</v>
      </c>
    </row>
    <row r="199" spans="1:16" x14ac:dyDescent="0.35">
      <c r="A199" t="s">
        <v>163</v>
      </c>
      <c r="C199">
        <v>13</v>
      </c>
      <c r="D199" s="38">
        <f>D190</f>
        <v>139.4</v>
      </c>
      <c r="E199">
        <f>IF('Ship Component Reqs'!F64&lt;0,0,'Ship Component Reqs'!F64)</f>
        <v>173</v>
      </c>
      <c r="F199" s="13">
        <f t="shared" ref="F199:F200" si="63">MAX(E199,_xlfn.CEILING.MATH(ROUNDUP(E199*C199*((1-10%)*(1-2%)*(1-1%)),20)))*D199</f>
        <v>273781.60000000003</v>
      </c>
      <c r="G199" s="16">
        <f t="shared" ref="G199:G200" si="64">MAX(E199,_xlfn.CEILING.MATH(ROUNDUP(E199*C199*((1-10%)*(1-2%)*(1-1%)),20)))</f>
        <v>1964</v>
      </c>
      <c r="K199" s="11"/>
      <c r="O199" s="4">
        <f>SUM(O190:O198)</f>
        <v>91239830.299999997</v>
      </c>
    </row>
    <row r="200" spans="1:16" x14ac:dyDescent="0.35">
      <c r="A200" t="s">
        <v>10</v>
      </c>
      <c r="C200">
        <v>3</v>
      </c>
      <c r="D200" s="23">
        <f>D8</f>
        <v>950</v>
      </c>
      <c r="E200">
        <f>E199</f>
        <v>173</v>
      </c>
      <c r="F200" s="13">
        <f t="shared" si="63"/>
        <v>431300</v>
      </c>
      <c r="G200" s="16">
        <f t="shared" si="64"/>
        <v>454</v>
      </c>
    </row>
    <row r="201" spans="1:16" ht="16" x14ac:dyDescent="0.5">
      <c r="A201" t="s">
        <v>11</v>
      </c>
      <c r="C201">
        <v>1</v>
      </c>
      <c r="D201" s="23">
        <f>D196</f>
        <v>19380</v>
      </c>
      <c r="E201">
        <f>E199</f>
        <v>173</v>
      </c>
      <c r="F201" s="39">
        <f>MAX(E201,_xlfn.CEILING.MATH(ROUNDUP(E201*C201*((1-10%)*(1-2%)*(1-1%)),20)))*D201</f>
        <v>3352740</v>
      </c>
      <c r="G201" s="16">
        <f>MAX(E201,_xlfn.CEILING.MATH(ROUNDUP(E201*C201*((1-10%)*(1-2%)*(1-1%)),20)))</f>
        <v>173</v>
      </c>
    </row>
    <row r="202" spans="1:16" x14ac:dyDescent="0.35">
      <c r="E202" s="1" t="str">
        <f>A198</f>
        <v>Magpulse Thruster</v>
      </c>
      <c r="F202" s="4">
        <f>SUM(F199:F201)</f>
        <v>4057821.6</v>
      </c>
      <c r="G202" s="6"/>
    </row>
    <row r="203" spans="1:16" x14ac:dyDescent="0.35">
      <c r="A203" t="s">
        <v>156</v>
      </c>
      <c r="G203" s="6"/>
    </row>
    <row r="204" spans="1:16" x14ac:dyDescent="0.35">
      <c r="A204" t="s">
        <v>163</v>
      </c>
      <c r="C204">
        <v>22</v>
      </c>
      <c r="D204" s="2">
        <f>D199</f>
        <v>139.4</v>
      </c>
      <c r="E204">
        <f>IF('Ship Component Reqs'!F65&lt;0,0,'Ship Component Reqs'!F65)</f>
        <v>228</v>
      </c>
      <c r="F204" s="13">
        <f t="shared" ref="F204:F205" si="65">MAX(E204,_xlfn.CEILING.MATH(ROUNDUP(E204*C204*((1-10%)*(1-2%)*(1-1%)),20)))*D204</f>
        <v>610572</v>
      </c>
      <c r="G204" s="16">
        <f t="shared" ref="G204:G205" si="66">MAX(E204,_xlfn.CEILING.MATH(ROUNDUP(E204*C204*((1-10%)*(1-2%)*(1-1%)),20)))</f>
        <v>4380</v>
      </c>
    </row>
    <row r="205" spans="1:16" x14ac:dyDescent="0.35">
      <c r="A205" t="s">
        <v>14</v>
      </c>
      <c r="C205">
        <v>1</v>
      </c>
      <c r="D205" s="2">
        <f>Pricing!F30</f>
        <v>2760</v>
      </c>
      <c r="E205">
        <f>E204</f>
        <v>228</v>
      </c>
      <c r="F205" s="13">
        <f t="shared" si="65"/>
        <v>629280</v>
      </c>
      <c r="G205" s="16">
        <f t="shared" si="66"/>
        <v>228</v>
      </c>
    </row>
    <row r="206" spans="1:16" ht="16" x14ac:dyDescent="0.5">
      <c r="A206" t="s">
        <v>15</v>
      </c>
      <c r="C206">
        <v>2</v>
      </c>
      <c r="D206" s="23">
        <f>Pricing!F31</f>
        <v>5067</v>
      </c>
      <c r="E206">
        <f>E204</f>
        <v>228</v>
      </c>
      <c r="F206" s="39">
        <f>MAX(E206,_xlfn.CEILING.MATH(ROUNDUP(E206*C206*((1-10%)*(1-2%)*(1-1%)),20)))*D206</f>
        <v>2021733</v>
      </c>
      <c r="G206" s="16">
        <f>MAX(E206,_xlfn.CEILING.MATH(ROUNDUP(E206*C206*((1-10%)*(1-2%)*(1-1%)),20)))</f>
        <v>399</v>
      </c>
    </row>
    <row r="207" spans="1:16" x14ac:dyDescent="0.35">
      <c r="E207" s="1" t="str">
        <f>A203</f>
        <v>Gravimetric Sensor Cluster</v>
      </c>
      <c r="F207" s="4">
        <f>SUM(F204:F206)*1.03</f>
        <v>3359432.5500000003</v>
      </c>
      <c r="G207" s="6"/>
    </row>
    <row r="208" spans="1:16" x14ac:dyDescent="0.35">
      <c r="A208" t="s">
        <v>157</v>
      </c>
      <c r="G208" s="6"/>
    </row>
    <row r="209" spans="1:13" x14ac:dyDescent="0.35">
      <c r="A209" t="s">
        <v>163</v>
      </c>
      <c r="C209">
        <v>27</v>
      </c>
      <c r="D209" s="2">
        <f>D204</f>
        <v>139.4</v>
      </c>
      <c r="E209">
        <f>IF('Ship Component Reqs'!F66&lt;0,0,'Ship Component Reqs'!F66)</f>
        <v>433</v>
      </c>
      <c r="F209" s="13">
        <f t="shared" ref="F209:F211" si="67">MAX(E209,_xlfn.CEILING.MATH(ROUNDUP(E209*C209*((1-10%)*(1-2%)*(1-1%)),20)))*D209</f>
        <v>1423134.6</v>
      </c>
      <c r="G209" s="16">
        <f t="shared" ref="G209:G211" si="68">MAX(E209,_xlfn.CEILING.MATH(ROUNDUP(E209*C209*((1-10%)*(1-2%)*(1-1%)),20)))</f>
        <v>10209</v>
      </c>
    </row>
    <row r="210" spans="1:13" x14ac:dyDescent="0.35">
      <c r="A210" t="s">
        <v>16</v>
      </c>
      <c r="C210">
        <v>11</v>
      </c>
      <c r="D210" s="2">
        <f>Pricing!F32</f>
        <v>502</v>
      </c>
      <c r="E210">
        <f>E209</f>
        <v>433</v>
      </c>
      <c r="F210" s="13">
        <f t="shared" si="67"/>
        <v>2087818</v>
      </c>
      <c r="G210" s="16">
        <f t="shared" si="68"/>
        <v>4159</v>
      </c>
    </row>
    <row r="211" spans="1:13" x14ac:dyDescent="0.35">
      <c r="A211" t="s">
        <v>164</v>
      </c>
      <c r="C211">
        <v>1</v>
      </c>
      <c r="D211" s="2">
        <f>D205</f>
        <v>2760</v>
      </c>
      <c r="E211">
        <f>E209</f>
        <v>433</v>
      </c>
      <c r="F211" s="13">
        <f t="shared" si="67"/>
        <v>1195080</v>
      </c>
      <c r="G211" s="16">
        <f t="shared" si="68"/>
        <v>433</v>
      </c>
    </row>
    <row r="212" spans="1:13" ht="16" x14ac:dyDescent="0.5">
      <c r="A212" t="s">
        <v>165</v>
      </c>
      <c r="C212">
        <v>2</v>
      </c>
      <c r="D212" s="23">
        <f>Pricing!F11</f>
        <v>10870</v>
      </c>
      <c r="E212">
        <f>E209</f>
        <v>433</v>
      </c>
      <c r="F212" s="39">
        <f>MAX(E212,_xlfn.CEILING.MATH(ROUNDUP(E212*C212*((1-10%)*(1-2%)*(1-1%)),20)))*D212</f>
        <v>8228590</v>
      </c>
      <c r="G212" s="16">
        <f>MAX(E212,_xlfn.CEILING.MATH(ROUNDUP(E212*C212*((1-10%)*(1-2%)*(1-1%)),20)))</f>
        <v>757</v>
      </c>
    </row>
    <row r="213" spans="1:13" x14ac:dyDescent="0.35">
      <c r="E213" s="1" t="str">
        <f>A208</f>
        <v>Scalar Capacitor Unit</v>
      </c>
      <c r="F213" s="4">
        <f>SUM(F209:F212)*1.03</f>
        <v>13322661.278000001</v>
      </c>
      <c r="G213" s="6"/>
    </row>
    <row r="214" spans="1:13" x14ac:dyDescent="0.35">
      <c r="A214" t="s">
        <v>158</v>
      </c>
      <c r="G214" s="6"/>
    </row>
    <row r="215" spans="1:13" x14ac:dyDescent="0.35">
      <c r="A215" t="s">
        <v>163</v>
      </c>
      <c r="C215">
        <v>17</v>
      </c>
      <c r="D215" s="2">
        <f>D209</f>
        <v>139.4</v>
      </c>
      <c r="E215">
        <f>IF('Ship Component Reqs'!F67&lt;0,0,'Ship Component Reqs'!F67)</f>
        <v>1066</v>
      </c>
      <c r="F215" s="13">
        <f t="shared" ref="F215:F217" si="69">MAX(E215,_xlfn.CEILING.MATH(ROUNDUP(E215*C215*((1-10%)*(1-2%)*(1-1%)),20)))*D215</f>
        <v>2205865.6</v>
      </c>
      <c r="G215" s="16">
        <f t="shared" ref="G215:G217" si="70">MAX(E215,_xlfn.CEILING.MATH(ROUNDUP(E215*C215*((1-10%)*(1-2%)*(1-1%)),20)))</f>
        <v>15824</v>
      </c>
    </row>
    <row r="216" spans="1:13" x14ac:dyDescent="0.35">
      <c r="A216" t="s">
        <v>165</v>
      </c>
      <c r="C216">
        <v>2</v>
      </c>
      <c r="D216" s="2">
        <f>D212</f>
        <v>10870</v>
      </c>
      <c r="E216">
        <f>E215</f>
        <v>1066</v>
      </c>
      <c r="F216" s="13">
        <f t="shared" si="69"/>
        <v>20239940</v>
      </c>
      <c r="G216" s="16">
        <f t="shared" si="70"/>
        <v>1862</v>
      </c>
    </row>
    <row r="217" spans="1:13" x14ac:dyDescent="0.35">
      <c r="A217" t="s">
        <v>164</v>
      </c>
      <c r="C217">
        <v>2</v>
      </c>
      <c r="D217" s="23">
        <f>D211</f>
        <v>2760</v>
      </c>
      <c r="E217">
        <f>E215</f>
        <v>1066</v>
      </c>
      <c r="F217" s="13">
        <f t="shared" si="69"/>
        <v>5139120</v>
      </c>
      <c r="G217" s="16">
        <f t="shared" si="70"/>
        <v>1862</v>
      </c>
    </row>
    <row r="218" spans="1:13" ht="16" x14ac:dyDescent="0.5">
      <c r="A218" t="s">
        <v>10</v>
      </c>
      <c r="C218">
        <v>6</v>
      </c>
      <c r="D218" s="23">
        <f>D200</f>
        <v>950</v>
      </c>
      <c r="E218">
        <f>E215</f>
        <v>1066</v>
      </c>
      <c r="F218" s="39">
        <f>MAX(E218,_xlfn.CEILING.MATH(ROUNDUP(E218*C218*((1-10%)*(1-2%)*(1-1%)),20)))*D218</f>
        <v>5305750</v>
      </c>
      <c r="G218" s="16">
        <f>MAX(E218,_xlfn.CEILING.MATH(ROUNDUP(E218*C218*((1-10%)*(1-2%)*(1-1%)),20)))</f>
        <v>5585</v>
      </c>
    </row>
    <row r="219" spans="1:13" x14ac:dyDescent="0.35">
      <c r="E219" s="1" t="str">
        <f>A214</f>
        <v>Quantum Microprocessor</v>
      </c>
      <c r="F219" s="4">
        <f>SUM(F215:F218)*1.03</f>
        <v>33877395.868000001</v>
      </c>
      <c r="G219" s="6"/>
    </row>
    <row r="220" spans="1:13" x14ac:dyDescent="0.35">
      <c r="A220" t="s">
        <v>159</v>
      </c>
      <c r="G220" s="6"/>
    </row>
    <row r="221" spans="1:13" x14ac:dyDescent="0.35">
      <c r="A221" t="s">
        <v>163</v>
      </c>
      <c r="C221">
        <v>44</v>
      </c>
      <c r="D221" s="2">
        <f>D215</f>
        <v>139.4</v>
      </c>
      <c r="E221">
        <f>IF('Ship Component Reqs'!F68&lt;0,0,'Ship Component Reqs'!F68)</f>
        <v>4696</v>
      </c>
      <c r="F221" s="13">
        <f>MAX(E221,_xlfn.CEILING.MATH(ROUNDUP(E221*C221*((1-10%)*(1-2%)*(1-1%)),20)))*D221</f>
        <v>25150548</v>
      </c>
      <c r="G221" s="16">
        <f>MAX(E221,_xlfn.CEILING.MATH(ROUNDUP(E221*C221*((1-10%)*(1-2%)*(1-1%)),20)))</f>
        <v>180420</v>
      </c>
    </row>
    <row r="222" spans="1:13" ht="16" x14ac:dyDescent="0.5">
      <c r="A222" t="s">
        <v>12</v>
      </c>
      <c r="C222">
        <v>11</v>
      </c>
      <c r="D222" s="2">
        <f>D195</f>
        <v>208.9</v>
      </c>
      <c r="E222">
        <f>E221</f>
        <v>4696</v>
      </c>
      <c r="F222" s="39">
        <f>MAX(E222,_xlfn.CEILING.MATH(ROUNDUP(E222*C222*((1-10%)*(1-2%)*(1-1%)),20)))*D222</f>
        <v>9422434.5</v>
      </c>
      <c r="G222" s="16">
        <f>MAX(E222,_xlfn.CEILING.MATH(ROUNDUP(E222*C222*((1-10%)*(1-2%)*(1-1%)),20)))</f>
        <v>45105</v>
      </c>
    </row>
    <row r="223" spans="1:13" x14ac:dyDescent="0.35">
      <c r="E223" s="1" t="str">
        <f>A220</f>
        <v>Titanium Diborite Armor Plate</v>
      </c>
      <c r="F223" s="4">
        <f>SUM(F221:F222)*1.03</f>
        <v>35610171.975000001</v>
      </c>
    </row>
    <row r="224" spans="1:13" s="18" customFormat="1" x14ac:dyDescent="0.35">
      <c r="D224" s="31"/>
      <c r="K224" s="19"/>
      <c r="L224" s="19"/>
      <c r="M224" s="19"/>
    </row>
    <row r="225" spans="1:16" x14ac:dyDescent="0.35">
      <c r="A225" t="s">
        <v>170</v>
      </c>
    </row>
    <row r="226" spans="1:16" x14ac:dyDescent="0.35">
      <c r="A226" t="s">
        <v>153</v>
      </c>
      <c r="D226" s="2" t="s">
        <v>21</v>
      </c>
      <c r="E226" t="s">
        <v>19</v>
      </c>
      <c r="J226" t="s">
        <v>25</v>
      </c>
      <c r="K226" s="3" t="s">
        <v>30</v>
      </c>
      <c r="L226" s="3" t="s">
        <v>27</v>
      </c>
      <c r="M226" s="3" t="s">
        <v>35</v>
      </c>
      <c r="N226" t="s">
        <v>26</v>
      </c>
      <c r="O226" s="3" t="s">
        <v>34</v>
      </c>
    </row>
    <row r="227" spans="1:16" x14ac:dyDescent="0.35">
      <c r="A227" t="s">
        <v>163</v>
      </c>
      <c r="C227">
        <v>9</v>
      </c>
      <c r="D227" s="23">
        <f>D190</f>
        <v>139.4</v>
      </c>
      <c r="E227">
        <f>'Ship Component Reqs'!F77</f>
        <v>96</v>
      </c>
      <c r="F227" s="13">
        <f>MAX(E227,_xlfn.CEILING.MATH(ROUNDUP(E227*C227*((1-10%)*(1-2%)*(1-1%)),20)))*D227</f>
        <v>105247</v>
      </c>
      <c r="G227" s="16">
        <f>MAX(E227,_xlfn.CEILING.MATH(ROUNDUP(E227*C227*((1-10%)*(1-2%)*(1-1%)),20)))</f>
        <v>755</v>
      </c>
      <c r="J227" t="str">
        <f>A227</f>
        <v>Titanium Carbide</v>
      </c>
      <c r="K227" s="3">
        <f>G227+G231+G236+G241+G246+G252+G258</f>
        <v>268298</v>
      </c>
      <c r="L227" s="3">
        <v>0</v>
      </c>
      <c r="M227" s="7">
        <f>((K227*'Ship Component Reqs'!$D$32)-L227)</f>
        <v>268298</v>
      </c>
      <c r="N227">
        <f>D227</f>
        <v>139.4</v>
      </c>
      <c r="O227" s="14">
        <f>IF(M227&lt;0,0,M227*N227)</f>
        <v>37400741.200000003</v>
      </c>
      <c r="P227" t="s">
        <v>167</v>
      </c>
    </row>
    <row r="228" spans="1:16" ht="16" x14ac:dyDescent="0.5">
      <c r="A228" t="s">
        <v>162</v>
      </c>
      <c r="C228">
        <v>2</v>
      </c>
      <c r="D228" s="23">
        <f>D191</f>
        <v>36700</v>
      </c>
      <c r="E228">
        <f>E227</f>
        <v>96</v>
      </c>
      <c r="F228" s="39">
        <f>MAX(E228,_xlfn.CEILING.MATH(ROUNDUP(E228*C228*((1-10%)*(1-2%)*(1-1%)),20)))*D228</f>
        <v>6165600</v>
      </c>
      <c r="G228" s="16">
        <f>MAX(E228,_xlfn.CEILING.MATH(ROUNDUP(E228*C228*((1-10%)*(1-2%)*(1-1%)),20)))</f>
        <v>168</v>
      </c>
      <c r="J228" t="str">
        <f>A228</f>
        <v>Fermonic Condensates</v>
      </c>
      <c r="K228" s="3">
        <f>+G228</f>
        <v>168</v>
      </c>
      <c r="L228" s="3">
        <v>0</v>
      </c>
      <c r="M228" s="7">
        <f>((K228*'Ship Component Reqs'!$D$32)-L228)</f>
        <v>168</v>
      </c>
      <c r="N228">
        <f>D228</f>
        <v>36700</v>
      </c>
      <c r="O228" s="14">
        <f t="shared" ref="O228:O234" si="71">IF(M228&lt;0,0,M228*N228)</f>
        <v>6165600</v>
      </c>
      <c r="P228" t="s">
        <v>167</v>
      </c>
    </row>
    <row r="229" spans="1:16" x14ac:dyDescent="0.35">
      <c r="E229" s="1" t="str">
        <f>A226</f>
        <v>Graviton Reactor Unit</v>
      </c>
      <c r="F229" s="4">
        <f>SUM(F227:F228)*1.03</f>
        <v>6458972.4100000001</v>
      </c>
      <c r="G229" s="6"/>
      <c r="J229" t="str">
        <f>A232</f>
        <v>Sylramic Fibers</v>
      </c>
      <c r="K229" s="3">
        <f>+G232+G259</f>
        <v>46123</v>
      </c>
      <c r="L229" s="3">
        <v>0</v>
      </c>
      <c r="M229" s="7">
        <f>((K229*'Ship Component Reqs'!$D$32)-L229)</f>
        <v>46123</v>
      </c>
      <c r="N229" s="4">
        <f>D232</f>
        <v>208.9</v>
      </c>
      <c r="O229" s="14">
        <f t="shared" si="71"/>
        <v>9635094.7000000011</v>
      </c>
      <c r="P229" t="s">
        <v>167</v>
      </c>
    </row>
    <row r="230" spans="1:16" x14ac:dyDescent="0.35">
      <c r="A230" t="s">
        <v>154</v>
      </c>
      <c r="G230" s="6"/>
      <c r="J230" t="str">
        <f>A233</f>
        <v>Ferrogel</v>
      </c>
      <c r="K230" s="3">
        <f>G233+G238</f>
        <v>696</v>
      </c>
      <c r="L230" s="3">
        <v>0</v>
      </c>
      <c r="M230" s="7">
        <f>((K230*'Ship Component Reqs'!$D$32)-L230)</f>
        <v>696</v>
      </c>
      <c r="N230" s="4">
        <f>D233</f>
        <v>19380</v>
      </c>
      <c r="O230" s="14">
        <f t="shared" si="71"/>
        <v>13488480</v>
      </c>
      <c r="P230" t="s">
        <v>167</v>
      </c>
    </row>
    <row r="231" spans="1:16" x14ac:dyDescent="0.35">
      <c r="A231" t="s">
        <v>163</v>
      </c>
      <c r="C231">
        <v>22</v>
      </c>
      <c r="D231" s="38">
        <f>D227</f>
        <v>139.4</v>
      </c>
      <c r="E231">
        <f>'Ship Component Reqs'!F78</f>
        <v>232</v>
      </c>
      <c r="F231" s="13">
        <f t="shared" ref="F231:F232" si="72">MAX(E231,_xlfn.CEILING.MATH(ROUNDUP(E231*C231*((1-10%)*(1-2%)*(1-1%)),20)))*D231</f>
        <v>621305.80000000005</v>
      </c>
      <c r="G231" s="16">
        <f t="shared" ref="G231:G232" si="73">MAX(E231,_xlfn.CEILING.MATH(ROUNDUP(E231*C231*((1-10%)*(1-2%)*(1-1%)),20)))</f>
        <v>4457</v>
      </c>
      <c r="J231" t="str">
        <f>A237</f>
        <v>Phenolic Composites</v>
      </c>
      <c r="K231" s="3">
        <f>+G237+G255</f>
        <v>15718</v>
      </c>
      <c r="L231" s="3">
        <v>0</v>
      </c>
      <c r="M231" s="7">
        <f>((K231*'Ship Component Reqs'!$D$32)-L231)</f>
        <v>15718</v>
      </c>
      <c r="N231">
        <f>D237</f>
        <v>950</v>
      </c>
      <c r="O231" s="14">
        <f t="shared" si="71"/>
        <v>14932100</v>
      </c>
      <c r="P231" t="s">
        <v>167</v>
      </c>
    </row>
    <row r="232" spans="1:16" x14ac:dyDescent="0.35">
      <c r="A232" t="s">
        <v>12</v>
      </c>
      <c r="C232">
        <v>9</v>
      </c>
      <c r="D232" s="38">
        <f>D195</f>
        <v>208.9</v>
      </c>
      <c r="E232">
        <f>E231</f>
        <v>232</v>
      </c>
      <c r="F232" s="13">
        <f t="shared" si="72"/>
        <v>381033.60000000003</v>
      </c>
      <c r="G232" s="16">
        <f t="shared" si="73"/>
        <v>1824</v>
      </c>
      <c r="J232" t="str">
        <f>A242</f>
        <v>Nano Transistors</v>
      </c>
      <c r="K232" s="3">
        <f>G242+G248+G254</f>
        <v>6682</v>
      </c>
      <c r="L232" s="3">
        <v>0</v>
      </c>
      <c r="M232" s="7">
        <f>((K232*'Ship Component Reqs'!$D$32)-L232)</f>
        <v>6682</v>
      </c>
      <c r="N232" s="4">
        <f>D242</f>
        <v>2760</v>
      </c>
      <c r="O232" s="14">
        <f t="shared" si="71"/>
        <v>18442320</v>
      </c>
      <c r="P232" t="s">
        <v>167</v>
      </c>
    </row>
    <row r="233" spans="1:16" ht="16" x14ac:dyDescent="0.5">
      <c r="A233" t="s">
        <v>11</v>
      </c>
      <c r="C233">
        <v>1</v>
      </c>
      <c r="D233" s="23">
        <f>D196</f>
        <v>19380</v>
      </c>
      <c r="E233">
        <f>E231</f>
        <v>232</v>
      </c>
      <c r="F233" s="39">
        <f>MAX(E233,_xlfn.CEILING.MATH(ROUNDUP(E233*C233*((1-10%)*(1-2%)*(1-1%)),20)))*D233</f>
        <v>4496160</v>
      </c>
      <c r="G233" s="16">
        <f>MAX(E233,_xlfn.CEILING.MATH(ROUNDUP(E233*C233*((1-10%)*(1-2%)*(1-1%)),20)))</f>
        <v>232</v>
      </c>
      <c r="J233" t="str">
        <f>A243</f>
        <v>Hypersynaptic Fibers</v>
      </c>
      <c r="K233" s="3">
        <f>G243</f>
        <v>1614</v>
      </c>
      <c r="L233" s="3">
        <v>0</v>
      </c>
      <c r="M233" s="7">
        <f>((K233*'Ship Component Reqs'!$D$32)-L233)</f>
        <v>1614</v>
      </c>
      <c r="N233" s="4">
        <f>D243</f>
        <v>5067</v>
      </c>
      <c r="O233" s="14">
        <f t="shared" si="71"/>
        <v>8178138</v>
      </c>
      <c r="P233" t="s">
        <v>167</v>
      </c>
    </row>
    <row r="234" spans="1:16" x14ac:dyDescent="0.35">
      <c r="E234" s="1" t="str">
        <f>A230</f>
        <v>Sustained Shield Emitter</v>
      </c>
      <c r="F234" s="4">
        <f>SUM(F231:F233)*1.03</f>
        <v>5663454.3820000002</v>
      </c>
      <c r="G234" s="6"/>
      <c r="J234" t="str">
        <f>A247</f>
        <v>Fullerides</v>
      </c>
      <c r="K234" s="3">
        <f>G247</f>
        <v>8876</v>
      </c>
      <c r="L234" s="3">
        <v>0</v>
      </c>
      <c r="M234" s="7">
        <f>((K234*'Ship Component Reqs'!$D$32)-L234)</f>
        <v>8876</v>
      </c>
      <c r="N234">
        <f>D247</f>
        <v>502</v>
      </c>
      <c r="O234" s="14">
        <f t="shared" si="71"/>
        <v>4455752</v>
      </c>
      <c r="P234" t="s">
        <v>167</v>
      </c>
    </row>
    <row r="235" spans="1:16" ht="16" x14ac:dyDescent="0.5">
      <c r="A235" t="s">
        <v>155</v>
      </c>
      <c r="G235" s="6"/>
      <c r="J235" t="str">
        <f>A249</f>
        <v>Nonlinear MetaMaterials</v>
      </c>
      <c r="K235" s="3">
        <f>G249+G253</f>
        <v>6448</v>
      </c>
      <c r="L235" s="3">
        <v>0</v>
      </c>
      <c r="M235" s="7">
        <f>((K235*'Ship Component Reqs'!$D$32)-L235)</f>
        <v>6448</v>
      </c>
      <c r="N235">
        <f>D249</f>
        <v>10870</v>
      </c>
      <c r="O235" s="12">
        <f>IF(M235&lt;0,0,M235*N235)</f>
        <v>70089760</v>
      </c>
    </row>
    <row r="236" spans="1:16" x14ac:dyDescent="0.35">
      <c r="A236" t="s">
        <v>163</v>
      </c>
      <c r="C236">
        <v>13</v>
      </c>
      <c r="D236" s="38">
        <f>D227</f>
        <v>139.4</v>
      </c>
      <c r="E236">
        <f>'Ship Component Reqs'!F79</f>
        <v>464</v>
      </c>
      <c r="F236" s="13">
        <f t="shared" ref="F236:F237" si="74">MAX(E236,_xlfn.CEILING.MATH(ROUNDUP(E236*C236*((1-10%)*(1-2%)*(1-1%)),20)))*D236</f>
        <v>734359.20000000007</v>
      </c>
      <c r="G236" s="16">
        <f t="shared" ref="G236:G237" si="75">MAX(E236,_xlfn.CEILING.MATH(ROUNDUP(E236*C236*((1-10%)*(1-2%)*(1-1%)),20)))</f>
        <v>5268</v>
      </c>
      <c r="K236" s="11"/>
      <c r="O236" s="4">
        <f>SUM(O227:O235)</f>
        <v>182787985.90000001</v>
      </c>
    </row>
    <row r="237" spans="1:16" x14ac:dyDescent="0.35">
      <c r="A237" t="s">
        <v>10</v>
      </c>
      <c r="C237">
        <v>3</v>
      </c>
      <c r="D237" s="23">
        <f>D200</f>
        <v>950</v>
      </c>
      <c r="E237">
        <f>E236</f>
        <v>464</v>
      </c>
      <c r="F237" s="13">
        <f t="shared" si="74"/>
        <v>1155200</v>
      </c>
      <c r="G237" s="16">
        <f t="shared" si="75"/>
        <v>1216</v>
      </c>
    </row>
    <row r="238" spans="1:16" ht="16" x14ac:dyDescent="0.5">
      <c r="A238" t="s">
        <v>11</v>
      </c>
      <c r="C238">
        <v>1</v>
      </c>
      <c r="D238" s="23">
        <f>D201</f>
        <v>19380</v>
      </c>
      <c r="E238">
        <f>E236</f>
        <v>464</v>
      </c>
      <c r="F238" s="39">
        <f>MAX(E238,_xlfn.CEILING.MATH(ROUNDUP(E238*C238*((1-10%)*(1-2%)*(1-1%)),20)))*D238</f>
        <v>8992320</v>
      </c>
      <c r="G238" s="16">
        <f>MAX(E238,_xlfn.CEILING.MATH(ROUNDUP(E238*C238*((1-10%)*(1-2%)*(1-1%)),20)))</f>
        <v>464</v>
      </c>
    </row>
    <row r="239" spans="1:16" x14ac:dyDescent="0.35">
      <c r="E239" s="1" t="str">
        <f>A235</f>
        <v>Magpulse Thruster</v>
      </c>
      <c r="F239" s="4">
        <f>SUM(F236:F238)</f>
        <v>10881879.199999999</v>
      </c>
      <c r="G239" s="6"/>
    </row>
    <row r="240" spans="1:16" x14ac:dyDescent="0.35">
      <c r="A240" t="s">
        <v>156</v>
      </c>
      <c r="G240" s="6"/>
    </row>
    <row r="241" spans="1:7" x14ac:dyDescent="0.35">
      <c r="A241" t="s">
        <v>163</v>
      </c>
      <c r="C241">
        <v>22</v>
      </c>
      <c r="D241" s="2">
        <f>D236</f>
        <v>139.4</v>
      </c>
      <c r="E241">
        <f>'Ship Component Reqs'!F80</f>
        <v>924</v>
      </c>
      <c r="F241" s="13">
        <f t="shared" ref="F241:F242" si="76">MAX(E241,_xlfn.CEILING.MATH(ROUNDUP(E241*C241*((1-10%)*(1-2%)*(1-1%)),20)))*D241</f>
        <v>2474489.4</v>
      </c>
      <c r="G241" s="16">
        <f t="shared" ref="G241:G242" si="77">MAX(E241,_xlfn.CEILING.MATH(ROUNDUP(E241*C241*((1-10%)*(1-2%)*(1-1%)),20)))</f>
        <v>17751</v>
      </c>
    </row>
    <row r="242" spans="1:7" x14ac:dyDescent="0.35">
      <c r="A242" t="s">
        <v>14</v>
      </c>
      <c r="C242">
        <v>1</v>
      </c>
      <c r="D242" s="2">
        <f>D217</f>
        <v>2760</v>
      </c>
      <c r="E242">
        <f>E241</f>
        <v>924</v>
      </c>
      <c r="F242" s="13">
        <f t="shared" si="76"/>
        <v>2550240</v>
      </c>
      <c r="G242" s="16">
        <f t="shared" si="77"/>
        <v>924</v>
      </c>
    </row>
    <row r="243" spans="1:7" ht="16" x14ac:dyDescent="0.5">
      <c r="A243" t="s">
        <v>15</v>
      </c>
      <c r="C243">
        <v>2</v>
      </c>
      <c r="D243" s="23">
        <f>D206</f>
        <v>5067</v>
      </c>
      <c r="E243">
        <f>E241</f>
        <v>924</v>
      </c>
      <c r="F243" s="39">
        <f>MAX(E243,_xlfn.CEILING.MATH(ROUNDUP(E243*C243*((1-10%)*(1-2%)*(1-1%)),20)))*D243</f>
        <v>8178138</v>
      </c>
      <c r="G243" s="16">
        <f>MAX(E243,_xlfn.CEILING.MATH(ROUNDUP(E243*C243*((1-10%)*(1-2%)*(1-1%)),20)))</f>
        <v>1614</v>
      </c>
    </row>
    <row r="244" spans="1:7" x14ac:dyDescent="0.35">
      <c r="E244" s="1" t="str">
        <f>A240</f>
        <v>Gravimetric Sensor Cluster</v>
      </c>
      <c r="F244" s="4">
        <f>SUM(F241:F243)*1.03</f>
        <v>13598953.422</v>
      </c>
      <c r="G244" s="6"/>
    </row>
    <row r="245" spans="1:7" x14ac:dyDescent="0.35">
      <c r="A245" t="s">
        <v>157</v>
      </c>
      <c r="G245" s="6"/>
    </row>
    <row r="246" spans="1:7" x14ac:dyDescent="0.35">
      <c r="A246" t="s">
        <v>163</v>
      </c>
      <c r="C246">
        <v>27</v>
      </c>
      <c r="D246" s="2">
        <f>D241</f>
        <v>139.4</v>
      </c>
      <c r="E246">
        <f>'Ship Component Reqs'!F81</f>
        <v>924</v>
      </c>
      <c r="F246" s="13">
        <f t="shared" ref="F246:F248" si="78">MAX(E246,_xlfn.CEILING.MATH(ROUNDUP(E246*C246*((1-10%)*(1-2%)*(1-1%)),20)))*D246</f>
        <v>3036829</v>
      </c>
      <c r="G246" s="16">
        <f t="shared" ref="G246:G248" si="79">MAX(E246,_xlfn.CEILING.MATH(ROUNDUP(E246*C246*((1-10%)*(1-2%)*(1-1%)),20)))</f>
        <v>21785</v>
      </c>
    </row>
    <row r="247" spans="1:7" x14ac:dyDescent="0.35">
      <c r="A247" t="s">
        <v>16</v>
      </c>
      <c r="C247">
        <v>11</v>
      </c>
      <c r="D247" s="2">
        <f>D210</f>
        <v>502</v>
      </c>
      <c r="E247">
        <f>E246</f>
        <v>924</v>
      </c>
      <c r="F247" s="13">
        <f t="shared" si="78"/>
        <v>4455752</v>
      </c>
      <c r="G247" s="16">
        <f t="shared" si="79"/>
        <v>8876</v>
      </c>
    </row>
    <row r="248" spans="1:7" x14ac:dyDescent="0.35">
      <c r="A248" t="s">
        <v>164</v>
      </c>
      <c r="C248">
        <v>1</v>
      </c>
      <c r="D248" s="2">
        <f>D242</f>
        <v>2760</v>
      </c>
      <c r="E248">
        <f>E246</f>
        <v>924</v>
      </c>
      <c r="F248" s="13">
        <f t="shared" si="78"/>
        <v>2550240</v>
      </c>
      <c r="G248" s="16">
        <f t="shared" si="79"/>
        <v>924</v>
      </c>
    </row>
    <row r="249" spans="1:7" ht="16" x14ac:dyDescent="0.5">
      <c r="A249" t="s">
        <v>165</v>
      </c>
      <c r="C249">
        <v>2</v>
      </c>
      <c r="D249" s="23">
        <f>D212</f>
        <v>10870</v>
      </c>
      <c r="E249">
        <f>E246</f>
        <v>924</v>
      </c>
      <c r="F249" s="39">
        <f>MAX(E249,_xlfn.CEILING.MATH(ROUNDUP(E249*C249*((1-10%)*(1-2%)*(1-1%)),20)))*D249</f>
        <v>17544180</v>
      </c>
      <c r="G249" s="16">
        <f>MAX(E249,_xlfn.CEILING.MATH(ROUNDUP(E249*C249*((1-10%)*(1-2%)*(1-1%)),20)))</f>
        <v>1614</v>
      </c>
    </row>
    <row r="250" spans="1:7" x14ac:dyDescent="0.35">
      <c r="E250" s="1" t="str">
        <f>A245</f>
        <v>Scalar Capacitor Unit</v>
      </c>
      <c r="F250" s="4">
        <f>SUM(F246:F249)*1.03</f>
        <v>28414611.030000001</v>
      </c>
      <c r="G250" s="6"/>
    </row>
    <row r="251" spans="1:7" x14ac:dyDescent="0.35">
      <c r="A251" t="s">
        <v>158</v>
      </c>
      <c r="G251" s="6"/>
    </row>
    <row r="252" spans="1:7" x14ac:dyDescent="0.35">
      <c r="A252" t="s">
        <v>163</v>
      </c>
      <c r="C252">
        <v>17</v>
      </c>
      <c r="D252" s="2">
        <f>D246</f>
        <v>139.4</v>
      </c>
      <c r="E252">
        <f>'Ship Component Reqs'!F82</f>
        <v>2768</v>
      </c>
      <c r="F252" s="13">
        <f t="shared" ref="F252:F254" si="80">MAX(E252,_xlfn.CEILING.MATH(ROUNDUP(E252*C252*((1-10%)*(1-2%)*(1-1%)),20)))*D252</f>
        <v>5727806.6000000006</v>
      </c>
      <c r="G252" s="16">
        <f t="shared" ref="G252:G254" si="81">MAX(E252,_xlfn.CEILING.MATH(ROUNDUP(E252*C252*((1-10%)*(1-2%)*(1-1%)),20)))</f>
        <v>41089</v>
      </c>
    </row>
    <row r="253" spans="1:7" x14ac:dyDescent="0.35">
      <c r="A253" t="s">
        <v>165</v>
      </c>
      <c r="C253">
        <v>2</v>
      </c>
      <c r="D253" s="2">
        <f>D249</f>
        <v>10870</v>
      </c>
      <c r="E253">
        <f>E252</f>
        <v>2768</v>
      </c>
      <c r="F253" s="13">
        <f t="shared" si="80"/>
        <v>52545580</v>
      </c>
      <c r="G253" s="16">
        <f t="shared" si="81"/>
        <v>4834</v>
      </c>
    </row>
    <row r="254" spans="1:7" x14ac:dyDescent="0.35">
      <c r="A254" t="s">
        <v>164</v>
      </c>
      <c r="C254">
        <v>2</v>
      </c>
      <c r="D254" s="23">
        <f>D248</f>
        <v>2760</v>
      </c>
      <c r="E254">
        <f>E252</f>
        <v>2768</v>
      </c>
      <c r="F254" s="13">
        <f t="shared" si="80"/>
        <v>13341840</v>
      </c>
      <c r="G254" s="16">
        <f t="shared" si="81"/>
        <v>4834</v>
      </c>
    </row>
    <row r="255" spans="1:7" ht="16" x14ac:dyDescent="0.5">
      <c r="A255" t="s">
        <v>10</v>
      </c>
      <c r="C255">
        <v>6</v>
      </c>
      <c r="D255" s="23">
        <f>D237</f>
        <v>950</v>
      </c>
      <c r="E255">
        <f>E252</f>
        <v>2768</v>
      </c>
      <c r="F255" s="39">
        <f>MAX(E255,_xlfn.CEILING.MATH(ROUNDUP(E255*C255*((1-10%)*(1-2%)*(1-1%)),20)))*D255</f>
        <v>13776900</v>
      </c>
      <c r="G255" s="16">
        <f>MAX(E255,_xlfn.CEILING.MATH(ROUNDUP(E255*C255*((1-10%)*(1-2%)*(1-1%)),20)))</f>
        <v>14502</v>
      </c>
    </row>
    <row r="256" spans="1:7" x14ac:dyDescent="0.35">
      <c r="E256" s="1" t="str">
        <f>A251</f>
        <v>Quantum Microprocessor</v>
      </c>
      <c r="F256" s="4">
        <f>SUM(F252:F255)*1.03</f>
        <v>87953890.398000002</v>
      </c>
      <c r="G256" s="6"/>
    </row>
    <row r="257" spans="1:16" x14ac:dyDescent="0.35">
      <c r="A257" t="s">
        <v>159</v>
      </c>
      <c r="G257" s="6"/>
    </row>
    <row r="258" spans="1:16" x14ac:dyDescent="0.35">
      <c r="A258" t="s">
        <v>163</v>
      </c>
      <c r="C258">
        <v>44</v>
      </c>
      <c r="D258" s="2">
        <f>D252</f>
        <v>139.4</v>
      </c>
      <c r="E258">
        <f>'Ship Component Reqs'!F83</f>
        <v>4612</v>
      </c>
      <c r="F258" s="13">
        <f>MAX(E258,_xlfn.CEILING.MATH(ROUNDUP(E258*C258*((1-10%)*(1-2%)*(1-1%)),20)))*D258</f>
        <v>24700704.199999999</v>
      </c>
      <c r="G258" s="16">
        <f>MAX(E258,_xlfn.CEILING.MATH(ROUNDUP(E258*C258*((1-10%)*(1-2%)*(1-1%)),20)))</f>
        <v>177193</v>
      </c>
    </row>
    <row r="259" spans="1:16" ht="16" x14ac:dyDescent="0.5">
      <c r="A259" t="s">
        <v>12</v>
      </c>
      <c r="C259">
        <v>11</v>
      </c>
      <c r="D259" s="2">
        <f>D232</f>
        <v>208.9</v>
      </c>
      <c r="E259">
        <f>E258</f>
        <v>4612</v>
      </c>
      <c r="F259" s="39">
        <f>MAX(E259,_xlfn.CEILING.MATH(ROUNDUP(E259*C259*((1-10%)*(1-2%)*(1-1%)),20)))*D259</f>
        <v>9254061.0999999996</v>
      </c>
      <c r="G259" s="16">
        <f>MAX(E259,_xlfn.CEILING.MATH(ROUNDUP(E259*C259*((1-10%)*(1-2%)*(1-1%)),20)))</f>
        <v>44299</v>
      </c>
    </row>
    <row r="260" spans="1:16" x14ac:dyDescent="0.35">
      <c r="E260" s="1" t="str">
        <f>A257</f>
        <v>Titanium Diborite Armor Plate</v>
      </c>
      <c r="F260" s="4">
        <f>SUM(F258:F259)*1.03</f>
        <v>34973408.258999996</v>
      </c>
    </row>
    <row r="261" spans="1:16" s="18" customFormat="1" x14ac:dyDescent="0.35">
      <c r="D261" s="31"/>
      <c r="E261" s="65"/>
      <c r="F261" s="64"/>
      <c r="K261" s="19"/>
      <c r="L261" s="19"/>
      <c r="M261" s="19"/>
    </row>
    <row r="262" spans="1:16" x14ac:dyDescent="0.35">
      <c r="A262" t="s">
        <v>280</v>
      </c>
    </row>
    <row r="263" spans="1:16" x14ac:dyDescent="0.35">
      <c r="A263" t="s">
        <v>153</v>
      </c>
      <c r="D263" s="2" t="s">
        <v>21</v>
      </c>
      <c r="E263" t="s">
        <v>19</v>
      </c>
      <c r="J263" t="s">
        <v>25</v>
      </c>
      <c r="K263" s="3" t="s">
        <v>30</v>
      </c>
      <c r="L263" s="3" t="s">
        <v>27</v>
      </c>
      <c r="M263" s="3" t="s">
        <v>35</v>
      </c>
      <c r="N263" t="s">
        <v>26</v>
      </c>
      <c r="O263" s="3" t="s">
        <v>34</v>
      </c>
    </row>
    <row r="264" spans="1:16" x14ac:dyDescent="0.35">
      <c r="A264" t="s">
        <v>163</v>
      </c>
      <c r="C264">
        <v>9</v>
      </c>
      <c r="D264" s="23">
        <f>D227</f>
        <v>139.4</v>
      </c>
      <c r="E264">
        <f>IF('Ship Component Reqs'!F92&lt;0,0,'Ship Component Reqs'!F92)</f>
        <v>44</v>
      </c>
      <c r="F264" s="13">
        <f>MAX(E264,_xlfn.CEILING.MATH(ROUNDUP(E264*C264*((1-10%)*(1-2%)*(1-1%)),20)))*D264</f>
        <v>48232.4</v>
      </c>
      <c r="G264" s="16">
        <f>MAX(E264,_xlfn.CEILING.MATH(ROUNDUP(E264*C264*((1-10%)*(1-2%)*(1-1%)),20)))</f>
        <v>346</v>
      </c>
      <c r="J264" t="str">
        <f>A264</f>
        <v>Titanium Carbide</v>
      </c>
      <c r="K264" s="3">
        <f>G264+G268+G273+G278+G283+G289+G295</f>
        <v>200262</v>
      </c>
      <c r="M264" s="7">
        <f>((K264*'Ship Component Reqs'!$D$32)-L264)</f>
        <v>200262</v>
      </c>
      <c r="N264">
        <f>D264</f>
        <v>139.4</v>
      </c>
      <c r="O264" s="14">
        <f>IF(M264&lt;0,0,M264*N264)</f>
        <v>27916522.800000001</v>
      </c>
      <c r="P264" t="s">
        <v>167</v>
      </c>
    </row>
    <row r="265" spans="1:16" ht="16" x14ac:dyDescent="0.5">
      <c r="A265" t="s">
        <v>162</v>
      </c>
      <c r="C265">
        <v>2</v>
      </c>
      <c r="D265" s="23">
        <f>D228</f>
        <v>36700</v>
      </c>
      <c r="E265">
        <f>E264</f>
        <v>44</v>
      </c>
      <c r="F265" s="39">
        <f>MAX(E265,_xlfn.CEILING.MATH(ROUNDUP(E265*C265*((1-10%)*(1-2%)*(1-1%)),20)))*D265</f>
        <v>2825900</v>
      </c>
      <c r="G265" s="16">
        <f>MAX(E265,_xlfn.CEILING.MATH(ROUNDUP(E265*C265*((1-10%)*(1-2%)*(1-1%)),20)))</f>
        <v>77</v>
      </c>
      <c r="J265" t="str">
        <f>A265</f>
        <v>Fermonic Condensates</v>
      </c>
      <c r="K265" s="3">
        <f>+G265</f>
        <v>77</v>
      </c>
      <c r="L265" s="3">
        <v>0</v>
      </c>
      <c r="M265" s="7">
        <f>((K265*'Ship Component Reqs'!$D$32)-L265)</f>
        <v>77</v>
      </c>
      <c r="N265">
        <f>D265</f>
        <v>36700</v>
      </c>
      <c r="O265" s="14">
        <f t="shared" ref="O265:O271" si="82">IF(M265&lt;0,0,M265*N265)</f>
        <v>2825900</v>
      </c>
      <c r="P265" t="s">
        <v>167</v>
      </c>
    </row>
    <row r="266" spans="1:16" x14ac:dyDescent="0.35">
      <c r="E266" s="1" t="str">
        <f>A263</f>
        <v>Graviton Reactor Unit</v>
      </c>
      <c r="F266" s="4">
        <f>SUM(F264:F265)*1.03</f>
        <v>2960356.372</v>
      </c>
      <c r="G266" s="6"/>
      <c r="J266" t="str">
        <f>A269</f>
        <v>Sylramic Fibers</v>
      </c>
      <c r="K266" s="3">
        <f>+G269+G296</f>
        <v>42378</v>
      </c>
      <c r="L266" s="3">
        <v>0</v>
      </c>
      <c r="M266" s="7">
        <f>((K266*'Ship Component Reqs'!$D$32)-L266)</f>
        <v>42378</v>
      </c>
      <c r="N266" s="4">
        <f>D269</f>
        <v>208.9</v>
      </c>
      <c r="O266" s="14">
        <f t="shared" si="82"/>
        <v>8852764.2000000011</v>
      </c>
      <c r="P266" t="s">
        <v>167</v>
      </c>
    </row>
    <row r="267" spans="1:16" x14ac:dyDescent="0.35">
      <c r="A267" t="s">
        <v>154</v>
      </c>
      <c r="G267" s="6"/>
      <c r="J267" t="str">
        <f>A270</f>
        <v>Ferrogel</v>
      </c>
      <c r="K267" s="3">
        <f>G270+G275</f>
        <v>283</v>
      </c>
      <c r="L267" s="3">
        <v>0</v>
      </c>
      <c r="M267" s="7">
        <f>((K267*'Ship Component Reqs'!$D$32)-L267)</f>
        <v>283</v>
      </c>
      <c r="N267" s="4">
        <f>D270</f>
        <v>19380</v>
      </c>
      <c r="O267" s="14">
        <f t="shared" si="82"/>
        <v>5484540</v>
      </c>
      <c r="P267" t="s">
        <v>167</v>
      </c>
    </row>
    <row r="268" spans="1:16" x14ac:dyDescent="0.35">
      <c r="A268" t="s">
        <v>163</v>
      </c>
      <c r="C268">
        <v>22</v>
      </c>
      <c r="D268" s="38">
        <f>D264</f>
        <v>139.4</v>
      </c>
      <c r="E268">
        <f>IF('Ship Component Reqs'!F93&lt;0,0,'Ship Component Reqs'!F93)</f>
        <v>110</v>
      </c>
      <c r="F268" s="13">
        <f t="shared" ref="F268:F269" si="83">MAX(E268,_xlfn.CEILING.MATH(ROUNDUP(E268*C268*((1-10%)*(1-2%)*(1-1%)),20)))*D268</f>
        <v>294691.60000000003</v>
      </c>
      <c r="G268" s="16">
        <f t="shared" ref="G268:G269" si="84">MAX(E268,_xlfn.CEILING.MATH(ROUNDUP(E268*C268*((1-10%)*(1-2%)*(1-1%)),20)))</f>
        <v>2114</v>
      </c>
      <c r="J268" t="str">
        <f>A274</f>
        <v>Phenolic Composites</v>
      </c>
      <c r="K268" s="3">
        <f>+G274+G292</f>
        <v>5893</v>
      </c>
      <c r="L268" s="3">
        <v>0</v>
      </c>
      <c r="M268" s="7">
        <f>((K268*'Ship Component Reqs'!$D$32)-L268)</f>
        <v>5893</v>
      </c>
      <c r="N268">
        <f>D274</f>
        <v>950</v>
      </c>
      <c r="O268" s="14">
        <f t="shared" si="82"/>
        <v>5598350</v>
      </c>
      <c r="P268" t="s">
        <v>167</v>
      </c>
    </row>
    <row r="269" spans="1:16" x14ac:dyDescent="0.35">
      <c r="A269" t="s">
        <v>12</v>
      </c>
      <c r="C269">
        <v>9</v>
      </c>
      <c r="D269" s="38">
        <f>D232</f>
        <v>208.9</v>
      </c>
      <c r="E269">
        <f>E268</f>
        <v>110</v>
      </c>
      <c r="F269" s="13">
        <f t="shared" si="83"/>
        <v>180698.5</v>
      </c>
      <c r="G269" s="16">
        <f t="shared" si="84"/>
        <v>865</v>
      </c>
      <c r="J269" t="str">
        <f>A279</f>
        <v>Nano Transistors</v>
      </c>
      <c r="K269" s="3">
        <f>G279+G285+G291</f>
        <v>2463</v>
      </c>
      <c r="L269" s="3">
        <v>0</v>
      </c>
      <c r="M269" s="7">
        <f>((K269*'Ship Component Reqs'!$D$32)-L269)</f>
        <v>2463</v>
      </c>
      <c r="N269" s="4">
        <f>D279</f>
        <v>2760</v>
      </c>
      <c r="O269" s="14">
        <f t="shared" si="82"/>
        <v>6797880</v>
      </c>
      <c r="P269" t="s">
        <v>167</v>
      </c>
    </row>
    <row r="270" spans="1:16" ht="16" x14ac:dyDescent="0.5">
      <c r="A270" t="s">
        <v>11</v>
      </c>
      <c r="C270">
        <v>1</v>
      </c>
      <c r="D270" s="23">
        <f>D233</f>
        <v>19380</v>
      </c>
      <c r="E270">
        <f>E268</f>
        <v>110</v>
      </c>
      <c r="F270" s="39">
        <f>MAX(E270,_xlfn.CEILING.MATH(ROUNDUP(E270*C270*((1-10%)*(1-2%)*(1-1%)),20)))*D270</f>
        <v>2131800</v>
      </c>
      <c r="G270" s="16">
        <f>MAX(E270,_xlfn.CEILING.MATH(ROUNDUP(E270*C270*((1-10%)*(1-2%)*(1-1%)),20)))</f>
        <v>110</v>
      </c>
      <c r="J270" t="str">
        <f>A280</f>
        <v>Hypersynaptic Fibers</v>
      </c>
      <c r="K270" s="3">
        <f>G280</f>
        <v>379</v>
      </c>
      <c r="L270" s="3">
        <v>0</v>
      </c>
      <c r="M270" s="7">
        <f>((K270*'Ship Component Reqs'!$D$32)-L270)</f>
        <v>379</v>
      </c>
      <c r="N270" s="4">
        <f>D280</f>
        <v>5067</v>
      </c>
      <c r="O270" s="14">
        <f t="shared" si="82"/>
        <v>1920393</v>
      </c>
      <c r="P270" t="s">
        <v>167</v>
      </c>
    </row>
    <row r="271" spans="1:16" x14ac:dyDescent="0.35">
      <c r="E271" s="1" t="str">
        <f>A267</f>
        <v>Sustained Shield Emitter</v>
      </c>
      <c r="F271" s="4">
        <f>SUM(F268:F270)*1.03</f>
        <v>2685405.8030000003</v>
      </c>
      <c r="G271" s="6"/>
      <c r="J271" t="str">
        <f>A284</f>
        <v>Fullerides</v>
      </c>
      <c r="K271" s="3">
        <f>G284</f>
        <v>4159</v>
      </c>
      <c r="L271" s="3">
        <v>0</v>
      </c>
      <c r="M271" s="7">
        <f>((K271*'Ship Component Reqs'!$D$32)-L271)</f>
        <v>4159</v>
      </c>
      <c r="N271">
        <f>D284</f>
        <v>502</v>
      </c>
      <c r="O271" s="14">
        <f t="shared" si="82"/>
        <v>2087818</v>
      </c>
      <c r="P271" t="s">
        <v>167</v>
      </c>
    </row>
    <row r="272" spans="1:16" ht="16" x14ac:dyDescent="0.5">
      <c r="A272" t="s">
        <v>155</v>
      </c>
      <c r="G272" s="6"/>
      <c r="J272" t="str">
        <f>A286</f>
        <v>Nonlinear MetaMaterials</v>
      </c>
      <c r="K272" s="3">
        <f>G286+G290</f>
        <v>2570</v>
      </c>
      <c r="L272" s="3">
        <v>0</v>
      </c>
      <c r="M272" s="7">
        <f>((K272*'Ship Component Reqs'!$D$32)-L272)</f>
        <v>2570</v>
      </c>
      <c r="N272">
        <f>D286</f>
        <v>10870</v>
      </c>
      <c r="O272" s="12">
        <f>IF(M272&lt;0,0,M272*N272)</f>
        <v>27935900</v>
      </c>
    </row>
    <row r="273" spans="1:15" x14ac:dyDescent="0.35">
      <c r="A273" t="s">
        <v>163</v>
      </c>
      <c r="C273">
        <v>13</v>
      </c>
      <c r="D273" s="38">
        <f>D264</f>
        <v>139.4</v>
      </c>
      <c r="E273">
        <f>IF('Ship Component Reqs'!F94&lt;0,0,'Ship Component Reqs'!F94)</f>
        <v>173</v>
      </c>
      <c r="F273" s="13">
        <f t="shared" ref="F273:F274" si="85">MAX(E273,_xlfn.CEILING.MATH(ROUNDUP(E273*C273*((1-10%)*(1-2%)*(1-1%)),20)))*D273</f>
        <v>273781.60000000003</v>
      </c>
      <c r="G273" s="16">
        <f t="shared" ref="G273:G274" si="86">MAX(E273,_xlfn.CEILING.MATH(ROUNDUP(E273*C273*((1-10%)*(1-2%)*(1-1%)),20)))</f>
        <v>1964</v>
      </c>
      <c r="K273" s="11"/>
      <c r="O273" s="4">
        <f>SUM(O264:O272)</f>
        <v>89420068</v>
      </c>
    </row>
    <row r="274" spans="1:15" x14ac:dyDescent="0.35">
      <c r="A274" t="s">
        <v>10</v>
      </c>
      <c r="C274">
        <v>3</v>
      </c>
      <c r="D274" s="23">
        <f>D237</f>
        <v>950</v>
      </c>
      <c r="E274">
        <f>E273</f>
        <v>173</v>
      </c>
      <c r="F274" s="13">
        <f t="shared" si="85"/>
        <v>431300</v>
      </c>
      <c r="G274" s="16">
        <f t="shared" si="86"/>
        <v>454</v>
      </c>
    </row>
    <row r="275" spans="1:15" ht="16" x14ac:dyDescent="0.5">
      <c r="A275" t="s">
        <v>11</v>
      </c>
      <c r="C275">
        <v>1</v>
      </c>
      <c r="D275" s="23">
        <f>D238</f>
        <v>19380</v>
      </c>
      <c r="E275">
        <f>E273</f>
        <v>173</v>
      </c>
      <c r="F275" s="39">
        <f>MAX(E275,_xlfn.CEILING.MATH(ROUNDUP(E275*C275*((1-10%)*(1-2%)*(1-1%)),20)))*D275</f>
        <v>3352740</v>
      </c>
      <c r="G275" s="16">
        <f>MAX(E275,_xlfn.CEILING.MATH(ROUNDUP(E275*C275*((1-10%)*(1-2%)*(1-1%)),20)))</f>
        <v>173</v>
      </c>
    </row>
    <row r="276" spans="1:15" x14ac:dyDescent="0.35">
      <c r="E276" s="1" t="str">
        <f>A272</f>
        <v>Magpulse Thruster</v>
      </c>
      <c r="F276" s="4">
        <f>SUM(F273:F275)</f>
        <v>4057821.6</v>
      </c>
      <c r="G276" s="6"/>
    </row>
    <row r="277" spans="1:15" x14ac:dyDescent="0.35">
      <c r="A277" t="s">
        <v>156</v>
      </c>
      <c r="G277" s="6"/>
    </row>
    <row r="278" spans="1:15" x14ac:dyDescent="0.35">
      <c r="A278" t="s">
        <v>163</v>
      </c>
      <c r="C278">
        <v>22</v>
      </c>
      <c r="D278" s="2">
        <f>D273</f>
        <v>139.4</v>
      </c>
      <c r="E278">
        <f>IF('Ship Component Reqs'!F95&lt;0,0,'Ship Component Reqs'!F95)</f>
        <v>217</v>
      </c>
      <c r="F278" s="13">
        <f t="shared" ref="F278:F279" si="87">MAX(E278,_xlfn.CEILING.MATH(ROUNDUP(E278*C278*((1-10%)*(1-2%)*(1-1%)),20)))*D278</f>
        <v>581158.6</v>
      </c>
      <c r="G278" s="16">
        <f t="shared" ref="G278:G279" si="88">MAX(E278,_xlfn.CEILING.MATH(ROUNDUP(E278*C278*((1-10%)*(1-2%)*(1-1%)),20)))</f>
        <v>4169</v>
      </c>
    </row>
    <row r="279" spans="1:15" x14ac:dyDescent="0.35">
      <c r="A279" t="s">
        <v>14</v>
      </c>
      <c r="C279">
        <v>1</v>
      </c>
      <c r="D279" s="2">
        <f>D254</f>
        <v>2760</v>
      </c>
      <c r="E279">
        <f>E278</f>
        <v>217</v>
      </c>
      <c r="F279" s="13">
        <f t="shared" si="87"/>
        <v>598920</v>
      </c>
      <c r="G279" s="16">
        <f t="shared" si="88"/>
        <v>217</v>
      </c>
    </row>
    <row r="280" spans="1:15" ht="16" x14ac:dyDescent="0.5">
      <c r="A280" t="s">
        <v>15</v>
      </c>
      <c r="C280">
        <v>2</v>
      </c>
      <c r="D280" s="23">
        <f>D243</f>
        <v>5067</v>
      </c>
      <c r="E280">
        <f>E278</f>
        <v>217</v>
      </c>
      <c r="F280" s="39">
        <f>MAX(E280,_xlfn.CEILING.MATH(ROUNDUP(E280*C280*((1-10%)*(1-2%)*(1-1%)),20)))*D280</f>
        <v>1920393</v>
      </c>
      <c r="G280" s="16">
        <f>MAX(E280,_xlfn.CEILING.MATH(ROUNDUP(E280*C280*((1-10%)*(1-2%)*(1-1%)),20)))</f>
        <v>379</v>
      </c>
    </row>
    <row r="281" spans="1:15" x14ac:dyDescent="0.35">
      <c r="E281" s="1" t="str">
        <f>A277</f>
        <v>Gravimetric Sensor Cluster</v>
      </c>
      <c r="F281" s="4">
        <f>SUM(F278:F280)*1.03</f>
        <v>3193485.7480000001</v>
      </c>
      <c r="G281" s="6"/>
    </row>
    <row r="282" spans="1:15" x14ac:dyDescent="0.35">
      <c r="A282" t="s">
        <v>157</v>
      </c>
      <c r="G282" s="6"/>
    </row>
    <row r="283" spans="1:15" x14ac:dyDescent="0.35">
      <c r="A283" t="s">
        <v>163</v>
      </c>
      <c r="C283">
        <v>27</v>
      </c>
      <c r="D283" s="2">
        <f>D278</f>
        <v>139.4</v>
      </c>
      <c r="E283">
        <f>IF('Ship Component Reqs'!F96&lt;0,0,'Ship Component Reqs'!F96)</f>
        <v>433</v>
      </c>
      <c r="F283" s="13">
        <f t="shared" ref="F283:F285" si="89">MAX(E283,_xlfn.CEILING.MATH(ROUNDUP(E283*C283*((1-10%)*(1-2%)*(1-1%)),20)))*D283</f>
        <v>1423134.6</v>
      </c>
      <c r="G283" s="16">
        <f t="shared" ref="G283:G285" si="90">MAX(E283,_xlfn.CEILING.MATH(ROUNDUP(E283*C283*((1-10%)*(1-2%)*(1-1%)),20)))</f>
        <v>10209</v>
      </c>
    </row>
    <row r="284" spans="1:15" x14ac:dyDescent="0.35">
      <c r="A284" t="s">
        <v>16</v>
      </c>
      <c r="C284">
        <v>11</v>
      </c>
      <c r="D284" s="2">
        <f>D247</f>
        <v>502</v>
      </c>
      <c r="E284">
        <f>E283</f>
        <v>433</v>
      </c>
      <c r="F284" s="13">
        <f t="shared" si="89"/>
        <v>2087818</v>
      </c>
      <c r="G284" s="16">
        <f t="shared" si="90"/>
        <v>4159</v>
      </c>
    </row>
    <row r="285" spans="1:15" x14ac:dyDescent="0.35">
      <c r="A285" t="s">
        <v>164</v>
      </c>
      <c r="C285">
        <v>1</v>
      </c>
      <c r="D285" s="2">
        <f>D279</f>
        <v>2760</v>
      </c>
      <c r="E285">
        <f>E283</f>
        <v>433</v>
      </c>
      <c r="F285" s="13">
        <f t="shared" si="89"/>
        <v>1195080</v>
      </c>
      <c r="G285" s="16">
        <f t="shared" si="90"/>
        <v>433</v>
      </c>
    </row>
    <row r="286" spans="1:15" ht="16" x14ac:dyDescent="0.5">
      <c r="A286" t="s">
        <v>165</v>
      </c>
      <c r="C286">
        <v>2</v>
      </c>
      <c r="D286" s="23">
        <f>D249</f>
        <v>10870</v>
      </c>
      <c r="E286">
        <f>E283</f>
        <v>433</v>
      </c>
      <c r="F286" s="39">
        <f>MAX(E286,_xlfn.CEILING.MATH(ROUNDUP(E286*C286*((1-10%)*(1-2%)*(1-1%)),20)))*D286</f>
        <v>8228590</v>
      </c>
      <c r="G286" s="16">
        <f>MAX(E286,_xlfn.CEILING.MATH(ROUNDUP(E286*C286*((1-10%)*(1-2%)*(1-1%)),20)))</f>
        <v>757</v>
      </c>
    </row>
    <row r="287" spans="1:15" x14ac:dyDescent="0.35">
      <c r="E287" s="1" t="str">
        <f>A282</f>
        <v>Scalar Capacitor Unit</v>
      </c>
      <c r="F287" s="4">
        <f>SUM(F283:F286)*1.03</f>
        <v>13322661.278000001</v>
      </c>
      <c r="G287" s="6"/>
    </row>
    <row r="288" spans="1:15" x14ac:dyDescent="0.35">
      <c r="A288" t="s">
        <v>158</v>
      </c>
      <c r="G288" s="6"/>
    </row>
    <row r="289" spans="1:16" x14ac:dyDescent="0.35">
      <c r="A289" t="s">
        <v>163</v>
      </c>
      <c r="C289">
        <v>17</v>
      </c>
      <c r="D289" s="2">
        <f>D283</f>
        <v>139.4</v>
      </c>
      <c r="E289">
        <f>IF('Ship Component Reqs'!F97&lt;0,0,'Ship Component Reqs'!F97)</f>
        <v>1038</v>
      </c>
      <c r="F289" s="13">
        <f t="shared" ref="F289:F291" si="91">MAX(E289,_xlfn.CEILING.MATH(ROUNDUP(E289*C289*((1-10%)*(1-2%)*(1-1%)),20)))*D289</f>
        <v>2148014.6</v>
      </c>
      <c r="G289" s="16">
        <f t="shared" ref="G289:G291" si="92">MAX(E289,_xlfn.CEILING.MATH(ROUNDUP(E289*C289*((1-10%)*(1-2%)*(1-1%)),20)))</f>
        <v>15409</v>
      </c>
    </row>
    <row r="290" spans="1:16" x14ac:dyDescent="0.35">
      <c r="A290" t="s">
        <v>165</v>
      </c>
      <c r="C290">
        <v>2</v>
      </c>
      <c r="D290" s="2">
        <f>D286</f>
        <v>10870</v>
      </c>
      <c r="E290">
        <f>E289</f>
        <v>1038</v>
      </c>
      <c r="F290" s="13">
        <f t="shared" si="91"/>
        <v>19707310</v>
      </c>
      <c r="G290" s="16">
        <f t="shared" si="92"/>
        <v>1813</v>
      </c>
    </row>
    <row r="291" spans="1:16" x14ac:dyDescent="0.35">
      <c r="A291" t="s">
        <v>164</v>
      </c>
      <c r="C291">
        <v>2</v>
      </c>
      <c r="D291" s="23">
        <f>D285</f>
        <v>2760</v>
      </c>
      <c r="E291">
        <f>E289</f>
        <v>1038</v>
      </c>
      <c r="F291" s="13">
        <f t="shared" si="91"/>
        <v>5003880</v>
      </c>
      <c r="G291" s="16">
        <f t="shared" si="92"/>
        <v>1813</v>
      </c>
    </row>
    <row r="292" spans="1:16" ht="16" x14ac:dyDescent="0.5">
      <c r="A292" t="s">
        <v>10</v>
      </c>
      <c r="C292">
        <v>6</v>
      </c>
      <c r="D292" s="23">
        <f>D274</f>
        <v>950</v>
      </c>
      <c r="E292">
        <f>E289</f>
        <v>1038</v>
      </c>
      <c r="F292" s="39">
        <f>MAX(E292,_xlfn.CEILING.MATH(ROUNDUP(E292*C292*((1-10%)*(1-2%)*(1-1%)),20)))*D292</f>
        <v>5167050</v>
      </c>
      <c r="G292" s="16">
        <f>MAX(E292,_xlfn.CEILING.MATH(ROUNDUP(E292*C292*((1-10%)*(1-2%)*(1-1%)),20)))</f>
        <v>5439</v>
      </c>
    </row>
    <row r="293" spans="1:16" x14ac:dyDescent="0.35">
      <c r="E293" s="1" t="str">
        <f>A288</f>
        <v>Quantum Microprocessor</v>
      </c>
      <c r="F293" s="4">
        <f>SUM(F289:F292)*1.03</f>
        <v>32987042.238000002</v>
      </c>
      <c r="G293" s="6"/>
    </row>
    <row r="294" spans="1:16" x14ac:dyDescent="0.35">
      <c r="A294" t="s">
        <v>159</v>
      </c>
      <c r="G294" s="6"/>
    </row>
    <row r="295" spans="1:16" x14ac:dyDescent="0.35">
      <c r="A295" t="s">
        <v>163</v>
      </c>
      <c r="C295">
        <v>44</v>
      </c>
      <c r="D295" s="2">
        <f>D289</f>
        <v>139.4</v>
      </c>
      <c r="E295">
        <f>IF('Ship Component Reqs'!F98&lt;0,0,'Ship Component Reqs'!F98)</f>
        <v>4322</v>
      </c>
      <c r="F295" s="13">
        <f>MAX(E295,_xlfn.CEILING.MATH(ROUNDUP(E295*C295*((1-10%)*(1-2%)*(1-1%)),20)))*D295</f>
        <v>23147509.400000002</v>
      </c>
      <c r="G295" s="16">
        <f>MAX(E295,_xlfn.CEILING.MATH(ROUNDUP(E295*C295*((1-10%)*(1-2%)*(1-1%)),20)))</f>
        <v>166051</v>
      </c>
    </row>
    <row r="296" spans="1:16" ht="16" x14ac:dyDescent="0.5">
      <c r="A296" t="s">
        <v>12</v>
      </c>
      <c r="C296">
        <v>11</v>
      </c>
      <c r="D296" s="2">
        <f>D269</f>
        <v>208.9</v>
      </c>
      <c r="E296">
        <f>E295</f>
        <v>4322</v>
      </c>
      <c r="F296" s="39">
        <f>MAX(E296,_xlfn.CEILING.MATH(ROUNDUP(E296*C296*((1-10%)*(1-2%)*(1-1%)),20)))*D296</f>
        <v>8672065.7000000011</v>
      </c>
      <c r="G296" s="16">
        <f>MAX(E296,_xlfn.CEILING.MATH(ROUNDUP(E296*C296*((1-10%)*(1-2%)*(1-1%)),20)))</f>
        <v>41513</v>
      </c>
    </row>
    <row r="297" spans="1:16" x14ac:dyDescent="0.35">
      <c r="E297" s="1" t="str">
        <f>A294</f>
        <v>Titanium Diborite Armor Plate</v>
      </c>
      <c r="F297" s="4">
        <f>SUM(F295:F296)*1.03</f>
        <v>32774162.353000004</v>
      </c>
    </row>
    <row r="298" spans="1:16" s="18" customFormat="1" x14ac:dyDescent="0.35">
      <c r="D298" s="31"/>
      <c r="E298" s="65"/>
      <c r="F298" s="64"/>
      <c r="K298" s="19"/>
      <c r="L298" s="19"/>
      <c r="M298" s="19"/>
    </row>
    <row r="299" spans="1:16" x14ac:dyDescent="0.35">
      <c r="A299" t="s">
        <v>291</v>
      </c>
    </row>
    <row r="300" spans="1:16" x14ac:dyDescent="0.35">
      <c r="A300" t="s">
        <v>153</v>
      </c>
      <c r="D300" s="2" t="s">
        <v>21</v>
      </c>
      <c r="E300" t="s">
        <v>19</v>
      </c>
      <c r="J300" t="s">
        <v>25</v>
      </c>
      <c r="K300" s="3" t="s">
        <v>30</v>
      </c>
      <c r="L300" s="3" t="s">
        <v>27</v>
      </c>
      <c r="M300" s="3" t="s">
        <v>35</v>
      </c>
      <c r="N300" t="s">
        <v>26</v>
      </c>
      <c r="O300" s="3" t="s">
        <v>34</v>
      </c>
    </row>
    <row r="301" spans="1:16" x14ac:dyDescent="0.35">
      <c r="A301" t="s">
        <v>163</v>
      </c>
      <c r="C301">
        <v>9</v>
      </c>
      <c r="D301" s="23">
        <f>D264</f>
        <v>139.4</v>
      </c>
      <c r="E301">
        <f>'Ship Component Reqs'!F107</f>
        <v>5</v>
      </c>
      <c r="F301" s="13">
        <f>MAX(E301,_xlfn.CEILING.MATH(ROUNDUP(E301*C301*((1-10%)*(1-2%)*(1-1%)),20)))*D301</f>
        <v>5576</v>
      </c>
      <c r="G301" s="16">
        <f>MAX(E301,_xlfn.CEILING.MATH(ROUNDUP(E301*C301*((1-10%)*(1-2%)*(1-1%)),20)))</f>
        <v>40</v>
      </c>
      <c r="J301" t="str">
        <f>A301</f>
        <v>Titanium Carbide</v>
      </c>
      <c r="K301" s="3">
        <f>G301+G305+G310+G315+G320+G326+G332</f>
        <v>22410</v>
      </c>
      <c r="L301" s="3">
        <v>0</v>
      </c>
      <c r="M301" s="7">
        <f>((K301*'Ship Component Reqs'!$D$32)-L301)</f>
        <v>22410</v>
      </c>
      <c r="N301">
        <f>D301</f>
        <v>139.4</v>
      </c>
      <c r="O301" s="14">
        <f>IF(M301&lt;0,0,M301*N301)</f>
        <v>3123954</v>
      </c>
      <c r="P301" t="s">
        <v>167</v>
      </c>
    </row>
    <row r="302" spans="1:16" ht="16" x14ac:dyDescent="0.5">
      <c r="A302" t="s">
        <v>162</v>
      </c>
      <c r="C302">
        <v>2</v>
      </c>
      <c r="D302" s="23">
        <f>D265</f>
        <v>36700</v>
      </c>
      <c r="E302">
        <f>E301</f>
        <v>5</v>
      </c>
      <c r="F302" s="39">
        <f>MAX(E302,_xlfn.CEILING.MATH(ROUNDUP(E302*C302*((1-10%)*(1-2%)*(1-1%)),20)))*D302</f>
        <v>330300</v>
      </c>
      <c r="G302" s="16">
        <f>MAX(E302,_xlfn.CEILING.MATH(ROUNDUP(E302*C302*((1-10%)*(1-2%)*(1-1%)),20)))</f>
        <v>9</v>
      </c>
      <c r="J302" t="str">
        <f>A302</f>
        <v>Fermonic Condensates</v>
      </c>
      <c r="K302" s="3">
        <f>+G302</f>
        <v>9</v>
      </c>
      <c r="L302" s="3">
        <v>0</v>
      </c>
      <c r="M302" s="7">
        <f>((K302*'Ship Component Reqs'!$D$32)-L302)</f>
        <v>9</v>
      </c>
      <c r="N302">
        <f>D302</f>
        <v>36700</v>
      </c>
      <c r="O302" s="14">
        <f t="shared" ref="O302:O308" si="93">IF(M302&lt;0,0,M302*N302)</f>
        <v>330300</v>
      </c>
      <c r="P302" t="s">
        <v>167</v>
      </c>
    </row>
    <row r="303" spans="1:16" x14ac:dyDescent="0.35">
      <c r="E303" s="1" t="str">
        <f>A300</f>
        <v>Graviton Reactor Unit</v>
      </c>
      <c r="F303" s="4">
        <f>SUM(F301:F302)*1.03</f>
        <v>345952.28</v>
      </c>
      <c r="G303" s="6"/>
      <c r="J303" t="str">
        <f>A306</f>
        <v>Sylramic Fibers</v>
      </c>
      <c r="K303" s="3">
        <f>+G306+G333</f>
        <v>4504</v>
      </c>
      <c r="L303" s="3">
        <v>0</v>
      </c>
      <c r="M303" s="7">
        <f>((K303*'Ship Component Reqs'!$D$32)-L303)</f>
        <v>4504</v>
      </c>
      <c r="N303" s="4">
        <f>D306</f>
        <v>208.9</v>
      </c>
      <c r="O303" s="14">
        <f t="shared" si="93"/>
        <v>940885.6</v>
      </c>
      <c r="P303" t="s">
        <v>167</v>
      </c>
    </row>
    <row r="304" spans="1:16" x14ac:dyDescent="0.35">
      <c r="A304" t="s">
        <v>154</v>
      </c>
      <c r="G304" s="6"/>
      <c r="J304" t="str">
        <f>A307</f>
        <v>Ferrogel</v>
      </c>
      <c r="K304" s="3">
        <f>G307+G312</f>
        <v>68</v>
      </c>
      <c r="L304" s="3">
        <v>0</v>
      </c>
      <c r="M304" s="7">
        <f>((K304*'Ship Component Reqs'!$D$32)-L304)</f>
        <v>68</v>
      </c>
      <c r="N304" s="4">
        <f>D307</f>
        <v>19380</v>
      </c>
      <c r="O304" s="14">
        <f t="shared" si="93"/>
        <v>1317840</v>
      </c>
      <c r="P304" t="s">
        <v>167</v>
      </c>
    </row>
    <row r="305" spans="1:16" x14ac:dyDescent="0.35">
      <c r="A305" t="s">
        <v>163</v>
      </c>
      <c r="C305">
        <v>22</v>
      </c>
      <c r="D305" s="38">
        <f>D301</f>
        <v>139.4</v>
      </c>
      <c r="E305">
        <f>'Ship Component Reqs'!F108</f>
        <v>23</v>
      </c>
      <c r="F305" s="13">
        <f t="shared" ref="F305:F306" si="94">MAX(E305,_xlfn.CEILING.MATH(ROUNDUP(E305*C305*((1-10%)*(1-2%)*(1-1%)),20)))*D305</f>
        <v>61614.8</v>
      </c>
      <c r="G305" s="16">
        <f t="shared" ref="G305:G306" si="95">MAX(E305,_xlfn.CEILING.MATH(ROUNDUP(E305*C305*((1-10%)*(1-2%)*(1-1%)),20)))</f>
        <v>442</v>
      </c>
      <c r="J305" t="str">
        <f>A311</f>
        <v>Phenolic Composites</v>
      </c>
      <c r="K305" s="3">
        <f>+G311+G329</f>
        <v>747</v>
      </c>
      <c r="L305" s="3">
        <v>0</v>
      </c>
      <c r="M305" s="7">
        <f>((K305*'Ship Component Reqs'!$D$32)-L305)</f>
        <v>747</v>
      </c>
      <c r="N305">
        <f>D311</f>
        <v>950</v>
      </c>
      <c r="O305" s="14">
        <f t="shared" si="93"/>
        <v>709650</v>
      </c>
      <c r="P305" t="s">
        <v>167</v>
      </c>
    </row>
    <row r="306" spans="1:16" x14ac:dyDescent="0.35">
      <c r="A306" t="s">
        <v>12</v>
      </c>
      <c r="C306">
        <v>9</v>
      </c>
      <c r="D306" s="38">
        <f>D269</f>
        <v>208.9</v>
      </c>
      <c r="E306">
        <f>E305</f>
        <v>23</v>
      </c>
      <c r="F306" s="13">
        <f t="shared" si="94"/>
        <v>37810.9</v>
      </c>
      <c r="G306" s="16">
        <f t="shared" si="95"/>
        <v>181</v>
      </c>
      <c r="J306" t="str">
        <f>A316</f>
        <v>Nano Transistors</v>
      </c>
      <c r="K306" s="3">
        <f>G316+G322+G328</f>
        <v>315</v>
      </c>
      <c r="L306" s="3">
        <v>0</v>
      </c>
      <c r="M306" s="7">
        <f>((K306*'Ship Component Reqs'!$D$32)-L306)</f>
        <v>315</v>
      </c>
      <c r="N306" s="4">
        <f>D316</f>
        <v>2760</v>
      </c>
      <c r="O306" s="14">
        <f t="shared" si="93"/>
        <v>869400</v>
      </c>
      <c r="P306" t="s">
        <v>167</v>
      </c>
    </row>
    <row r="307" spans="1:16" ht="16" x14ac:dyDescent="0.5">
      <c r="A307" t="s">
        <v>11</v>
      </c>
      <c r="C307">
        <v>1</v>
      </c>
      <c r="D307" s="23">
        <f>D270</f>
        <v>19380</v>
      </c>
      <c r="E307">
        <f>E305</f>
        <v>23</v>
      </c>
      <c r="F307" s="39">
        <f>MAX(E307,_xlfn.CEILING.MATH(ROUNDUP(E307*C307*((1-10%)*(1-2%)*(1-1%)),20)))*D307</f>
        <v>445740</v>
      </c>
      <c r="G307" s="16">
        <f>MAX(E307,_xlfn.CEILING.MATH(ROUNDUP(E307*C307*((1-10%)*(1-2%)*(1-1%)),20)))</f>
        <v>23</v>
      </c>
      <c r="J307" t="str">
        <f>A317</f>
        <v>Hypersynaptic Fibers</v>
      </c>
      <c r="K307" s="3">
        <f>G317</f>
        <v>53</v>
      </c>
      <c r="L307" s="3">
        <v>0</v>
      </c>
      <c r="M307" s="7">
        <f>((K307*'Ship Component Reqs'!$D$32)-L307)</f>
        <v>53</v>
      </c>
      <c r="N307" s="4">
        <f>D317</f>
        <v>5067</v>
      </c>
      <c r="O307" s="14">
        <f t="shared" si="93"/>
        <v>268551</v>
      </c>
      <c r="P307" t="s">
        <v>167</v>
      </c>
    </row>
    <row r="308" spans="1:16" x14ac:dyDescent="0.35">
      <c r="E308" s="1" t="str">
        <f>A304</f>
        <v>Sustained Shield Emitter</v>
      </c>
      <c r="F308" s="4">
        <f>SUM(F305:F307)*1.03</f>
        <v>561520.67099999997</v>
      </c>
      <c r="G308" s="6"/>
      <c r="J308" t="str">
        <f>A321</f>
        <v>Fullerides</v>
      </c>
      <c r="K308" s="3">
        <f>G321</f>
        <v>721</v>
      </c>
      <c r="L308" s="3">
        <v>0</v>
      </c>
      <c r="M308" s="7">
        <f>((K308*'Ship Component Reqs'!$D$32)-L308)</f>
        <v>721</v>
      </c>
      <c r="N308">
        <f>D321</f>
        <v>502</v>
      </c>
      <c r="O308" s="14">
        <f t="shared" si="93"/>
        <v>361942</v>
      </c>
      <c r="P308" t="s">
        <v>167</v>
      </c>
    </row>
    <row r="309" spans="1:16" ht="16" x14ac:dyDescent="0.5">
      <c r="A309" t="s">
        <v>155</v>
      </c>
      <c r="G309" s="6"/>
      <c r="J309" t="str">
        <f>A323</f>
        <v>Nonlinear MetaMaterials</v>
      </c>
      <c r="K309" s="3">
        <f>G323+G327</f>
        <v>341</v>
      </c>
      <c r="L309" s="3">
        <v>0</v>
      </c>
      <c r="M309" s="7">
        <f>((K309*'Ship Component Reqs'!$D$32)-L309)</f>
        <v>341</v>
      </c>
      <c r="N309">
        <f>D323</f>
        <v>10870</v>
      </c>
      <c r="O309" s="12">
        <f>IF(M309&lt;0,0,M309*N309)</f>
        <v>3706670</v>
      </c>
    </row>
    <row r="310" spans="1:16" x14ac:dyDescent="0.35">
      <c r="A310" t="s">
        <v>163</v>
      </c>
      <c r="C310">
        <v>13</v>
      </c>
      <c r="D310" s="38">
        <f>D301</f>
        <v>139.4</v>
      </c>
      <c r="E310">
        <f>'Ship Component Reqs'!F109</f>
        <v>45</v>
      </c>
      <c r="F310" s="13">
        <f t="shared" ref="F310:F311" si="96">MAX(E310,_xlfn.CEILING.MATH(ROUNDUP(E310*C310*((1-10%)*(1-2%)*(1-1%)),20)))*D310</f>
        <v>71233.400000000009</v>
      </c>
      <c r="G310" s="16">
        <f t="shared" ref="G310:G311" si="97">MAX(E310,_xlfn.CEILING.MATH(ROUNDUP(E310*C310*((1-10%)*(1-2%)*(1-1%)),20)))</f>
        <v>511</v>
      </c>
      <c r="K310" s="11"/>
      <c r="O310" s="4">
        <f>SUM(O301:O309)</f>
        <v>11629192.6</v>
      </c>
    </row>
    <row r="311" spans="1:16" x14ac:dyDescent="0.35">
      <c r="A311" t="s">
        <v>10</v>
      </c>
      <c r="C311">
        <v>3</v>
      </c>
      <c r="D311" s="23">
        <f>D274</f>
        <v>950</v>
      </c>
      <c r="E311">
        <f>E310</f>
        <v>45</v>
      </c>
      <c r="F311" s="13">
        <f t="shared" si="96"/>
        <v>112100</v>
      </c>
      <c r="G311" s="16">
        <f t="shared" si="97"/>
        <v>118</v>
      </c>
    </row>
    <row r="312" spans="1:16" ht="16" x14ac:dyDescent="0.5">
      <c r="A312" t="s">
        <v>11</v>
      </c>
      <c r="C312">
        <v>1</v>
      </c>
      <c r="D312" s="23">
        <f>D275</f>
        <v>19380</v>
      </c>
      <c r="E312">
        <f>E310</f>
        <v>45</v>
      </c>
      <c r="F312" s="39">
        <f>MAX(E312,_xlfn.CEILING.MATH(ROUNDUP(E312*C312*((1-10%)*(1-2%)*(1-1%)),20)))*D312</f>
        <v>872100</v>
      </c>
      <c r="G312" s="16">
        <f>MAX(E312,_xlfn.CEILING.MATH(ROUNDUP(E312*C312*((1-10%)*(1-2%)*(1-1%)),20)))</f>
        <v>45</v>
      </c>
    </row>
    <row r="313" spans="1:16" x14ac:dyDescent="0.35">
      <c r="E313" s="1" t="str">
        <f>A309</f>
        <v>Magpulse Thruster</v>
      </c>
      <c r="F313" s="4">
        <f>SUM(F310:F312)</f>
        <v>1055433.3999999999</v>
      </c>
      <c r="G313" s="6"/>
    </row>
    <row r="314" spans="1:16" x14ac:dyDescent="0.35">
      <c r="A314" t="s">
        <v>156</v>
      </c>
      <c r="G314" s="6"/>
    </row>
    <row r="315" spans="1:16" x14ac:dyDescent="0.35">
      <c r="A315" t="s">
        <v>163</v>
      </c>
      <c r="C315">
        <v>22</v>
      </c>
      <c r="D315" s="2">
        <f>D310</f>
        <v>139.4</v>
      </c>
      <c r="E315">
        <f>IF('Ship Component Reqs'!F110&lt;0,0,'Ship Component Reqs'!F110)</f>
        <v>30</v>
      </c>
      <c r="F315" s="13">
        <f t="shared" ref="F315:F316" si="98">MAX(E315,_xlfn.CEILING.MATH(ROUNDUP(E315*C315*((1-10%)*(1-2%)*(1-1%)),20)))*D315</f>
        <v>80433.8</v>
      </c>
      <c r="G315" s="16">
        <f t="shared" ref="G315:G316" si="99">MAX(E315,_xlfn.CEILING.MATH(ROUNDUP(E315*C315*((1-10%)*(1-2%)*(1-1%)),20)))</f>
        <v>577</v>
      </c>
    </row>
    <row r="316" spans="1:16" x14ac:dyDescent="0.35">
      <c r="A316" t="s">
        <v>14</v>
      </c>
      <c r="C316">
        <v>1</v>
      </c>
      <c r="D316" s="2">
        <f>D291</f>
        <v>2760</v>
      </c>
      <c r="E316">
        <f>E315</f>
        <v>30</v>
      </c>
      <c r="F316" s="13">
        <f t="shared" si="98"/>
        <v>82800</v>
      </c>
      <c r="G316" s="16">
        <f t="shared" si="99"/>
        <v>30</v>
      </c>
    </row>
    <row r="317" spans="1:16" ht="16" x14ac:dyDescent="0.5">
      <c r="A317" t="s">
        <v>15</v>
      </c>
      <c r="C317">
        <v>2</v>
      </c>
      <c r="D317" s="23">
        <f>D280</f>
        <v>5067</v>
      </c>
      <c r="E317">
        <f>E315</f>
        <v>30</v>
      </c>
      <c r="F317" s="39">
        <f>MAX(E317,_xlfn.CEILING.MATH(ROUNDUP(E317*C317*((1-10%)*(1-2%)*(1-1%)),20)))*D317</f>
        <v>268551</v>
      </c>
      <c r="G317" s="16">
        <f>MAX(E317,_xlfn.CEILING.MATH(ROUNDUP(E317*C317*((1-10%)*(1-2%)*(1-1%)),20)))</f>
        <v>53</v>
      </c>
    </row>
    <row r="318" spans="1:16" x14ac:dyDescent="0.35">
      <c r="E318" s="1" t="str">
        <f>A314</f>
        <v>Gravimetric Sensor Cluster</v>
      </c>
      <c r="F318" s="4">
        <f>SUM(F315:F317)*1.03</f>
        <v>444738.34399999998</v>
      </c>
      <c r="G318" s="6"/>
    </row>
    <row r="319" spans="1:16" x14ac:dyDescent="0.35">
      <c r="A319" t="s">
        <v>157</v>
      </c>
      <c r="G319" s="6"/>
    </row>
    <row r="320" spans="1:16" x14ac:dyDescent="0.35">
      <c r="A320" t="s">
        <v>163</v>
      </c>
      <c r="C320">
        <v>27</v>
      </c>
      <c r="D320" s="2">
        <f>D315</f>
        <v>139.4</v>
      </c>
      <c r="E320">
        <f>IF('Ship Component Reqs'!F111&lt;0,0,'Ship Component Reqs'!F111)</f>
        <v>75</v>
      </c>
      <c r="F320" s="13">
        <f t="shared" ref="F320:F322" si="100">MAX(E320,_xlfn.CEILING.MATH(ROUNDUP(E320*C320*((1-10%)*(1-2%)*(1-1%)),20)))*D320</f>
        <v>246598.6</v>
      </c>
      <c r="G320" s="16">
        <f t="shared" ref="G320:G322" si="101">MAX(E320,_xlfn.CEILING.MATH(ROUNDUP(E320*C320*((1-10%)*(1-2%)*(1-1%)),20)))</f>
        <v>1769</v>
      </c>
    </row>
    <row r="321" spans="1:13" x14ac:dyDescent="0.35">
      <c r="A321" t="s">
        <v>16</v>
      </c>
      <c r="C321">
        <v>11</v>
      </c>
      <c r="D321" s="2">
        <f>D284</f>
        <v>502</v>
      </c>
      <c r="E321">
        <f>E320</f>
        <v>75</v>
      </c>
      <c r="F321" s="13">
        <f t="shared" si="100"/>
        <v>361942</v>
      </c>
      <c r="G321" s="16">
        <f t="shared" si="101"/>
        <v>721</v>
      </c>
    </row>
    <row r="322" spans="1:13" x14ac:dyDescent="0.35">
      <c r="A322" t="s">
        <v>164</v>
      </c>
      <c r="C322">
        <v>1</v>
      </c>
      <c r="D322" s="2">
        <f>D316</f>
        <v>2760</v>
      </c>
      <c r="E322">
        <f>E320</f>
        <v>75</v>
      </c>
      <c r="F322" s="13">
        <f t="shared" si="100"/>
        <v>207000</v>
      </c>
      <c r="G322" s="16">
        <f t="shared" si="101"/>
        <v>75</v>
      </c>
    </row>
    <row r="323" spans="1:13" ht="16" x14ac:dyDescent="0.5">
      <c r="A323" t="s">
        <v>165</v>
      </c>
      <c r="C323">
        <v>2</v>
      </c>
      <c r="D323" s="23">
        <f>D286</f>
        <v>10870</v>
      </c>
      <c r="E323">
        <f>E320</f>
        <v>75</v>
      </c>
      <c r="F323" s="39">
        <f>MAX(E323,_xlfn.CEILING.MATH(ROUNDUP(E323*C323*((1-10%)*(1-2%)*(1-1%)),20)))*D323</f>
        <v>1423970</v>
      </c>
      <c r="G323" s="16">
        <f>MAX(E323,_xlfn.CEILING.MATH(ROUNDUP(E323*C323*((1-10%)*(1-2%)*(1-1%)),20)))</f>
        <v>131</v>
      </c>
    </row>
    <row r="324" spans="1:13" x14ac:dyDescent="0.35">
      <c r="E324" s="1" t="str">
        <f>A319</f>
        <v>Scalar Capacitor Unit</v>
      </c>
      <c r="F324" s="4">
        <f>SUM(F320:F323)*1.03</f>
        <v>2306695.9180000001</v>
      </c>
      <c r="G324" s="6"/>
    </row>
    <row r="325" spans="1:13" x14ac:dyDescent="0.35">
      <c r="A325" t="s">
        <v>158</v>
      </c>
      <c r="G325" s="6"/>
    </row>
    <row r="326" spans="1:13" x14ac:dyDescent="0.35">
      <c r="A326" t="s">
        <v>163</v>
      </c>
      <c r="C326">
        <v>17</v>
      </c>
      <c r="D326" s="2">
        <f>D320</f>
        <v>139.4</v>
      </c>
      <c r="E326">
        <f>IF('Ship Component Reqs'!F112&lt;0,0,'Ship Component Reqs'!F112)</f>
        <v>120</v>
      </c>
      <c r="F326" s="13">
        <f t="shared" ref="F326:F328" si="102">MAX(E326,_xlfn.CEILING.MATH(ROUNDUP(E326*C326*((1-10%)*(1-2%)*(1-1%)),20)))*D326</f>
        <v>248410.80000000002</v>
      </c>
      <c r="G326" s="16">
        <f t="shared" ref="G326:G328" si="103">MAX(E326,_xlfn.CEILING.MATH(ROUNDUP(E326*C326*((1-10%)*(1-2%)*(1-1%)),20)))</f>
        <v>1782</v>
      </c>
    </row>
    <row r="327" spans="1:13" x14ac:dyDescent="0.35">
      <c r="A327" t="s">
        <v>165</v>
      </c>
      <c r="C327">
        <v>2</v>
      </c>
      <c r="D327" s="2">
        <f>D323</f>
        <v>10870</v>
      </c>
      <c r="E327">
        <f>E326</f>
        <v>120</v>
      </c>
      <c r="F327" s="13">
        <f t="shared" si="102"/>
        <v>2282700</v>
      </c>
      <c r="G327" s="16">
        <f t="shared" si="103"/>
        <v>210</v>
      </c>
    </row>
    <row r="328" spans="1:13" x14ac:dyDescent="0.35">
      <c r="A328" t="s">
        <v>164</v>
      </c>
      <c r="C328">
        <v>2</v>
      </c>
      <c r="D328" s="23">
        <f>D322</f>
        <v>2760</v>
      </c>
      <c r="E328">
        <f>E326</f>
        <v>120</v>
      </c>
      <c r="F328" s="13">
        <f t="shared" si="102"/>
        <v>579600</v>
      </c>
      <c r="G328" s="16">
        <f t="shared" si="103"/>
        <v>210</v>
      </c>
    </row>
    <row r="329" spans="1:13" ht="16" x14ac:dyDescent="0.5">
      <c r="A329" t="s">
        <v>10</v>
      </c>
      <c r="C329">
        <v>6</v>
      </c>
      <c r="D329" s="23">
        <f>D311</f>
        <v>950</v>
      </c>
      <c r="E329">
        <f>E326</f>
        <v>120</v>
      </c>
      <c r="F329" s="39">
        <f>MAX(E329,_xlfn.CEILING.MATH(ROUNDUP(E329*C329*((1-10%)*(1-2%)*(1-1%)),20)))*D329</f>
        <v>597550</v>
      </c>
      <c r="G329" s="16">
        <f>MAX(E329,_xlfn.CEILING.MATH(ROUNDUP(E329*C329*((1-10%)*(1-2%)*(1-1%)),20)))</f>
        <v>629</v>
      </c>
    </row>
    <row r="330" spans="1:13" x14ac:dyDescent="0.35">
      <c r="E330" s="1" t="str">
        <f>A325</f>
        <v>Quantum Microprocessor</v>
      </c>
      <c r="F330" s="4">
        <f>SUM(F326:F329)*1.03</f>
        <v>3819508.6239999998</v>
      </c>
      <c r="G330" s="6"/>
    </row>
    <row r="331" spans="1:13" x14ac:dyDescent="0.35">
      <c r="A331" t="s">
        <v>159</v>
      </c>
      <c r="G331" s="6"/>
    </row>
    <row r="332" spans="1:13" x14ac:dyDescent="0.35">
      <c r="A332" t="s">
        <v>163</v>
      </c>
      <c r="C332">
        <v>44</v>
      </c>
      <c r="D332" s="2">
        <f>D326</f>
        <v>139.4</v>
      </c>
      <c r="E332">
        <f>IF('Ship Component Reqs'!F113&lt;0,0,'Ship Component Reqs'!F113)</f>
        <v>450</v>
      </c>
      <c r="F332" s="13">
        <f>MAX(E332,_xlfn.CEILING.MATH(ROUNDUP(E332*C332*((1-10%)*(1-2%)*(1-1%)),20)))*D332</f>
        <v>2410086.6</v>
      </c>
      <c r="G332" s="16">
        <f>MAX(E332,_xlfn.CEILING.MATH(ROUNDUP(E332*C332*((1-10%)*(1-2%)*(1-1%)),20)))</f>
        <v>17289</v>
      </c>
    </row>
    <row r="333" spans="1:13" ht="16" x14ac:dyDescent="0.5">
      <c r="A333" t="s">
        <v>12</v>
      </c>
      <c r="C333">
        <v>11</v>
      </c>
      <c r="D333" s="2">
        <f>D306</f>
        <v>208.9</v>
      </c>
      <c r="E333">
        <f>E332</f>
        <v>450</v>
      </c>
      <c r="F333" s="39">
        <f>MAX(E333,_xlfn.CEILING.MATH(ROUNDUP(E333*C333*((1-10%)*(1-2%)*(1-1%)),20)))*D333</f>
        <v>903074.70000000007</v>
      </c>
      <c r="G333" s="16">
        <f>MAX(E333,_xlfn.CEILING.MATH(ROUNDUP(E333*C333*((1-10%)*(1-2%)*(1-1%)),20)))</f>
        <v>4323</v>
      </c>
    </row>
    <row r="334" spans="1:13" x14ac:dyDescent="0.35">
      <c r="E334" s="1" t="str">
        <f>A331</f>
        <v>Titanium Diborite Armor Plate</v>
      </c>
      <c r="F334" s="4">
        <f>SUM(F332:F333)*1.03</f>
        <v>3412556.1390000004</v>
      </c>
    </row>
    <row r="335" spans="1:13" s="18" customFormat="1" x14ac:dyDescent="0.35">
      <c r="D335" s="31"/>
      <c r="E335" s="65"/>
      <c r="F335" s="64"/>
      <c r="K335" s="19"/>
      <c r="L335" s="19"/>
      <c r="M335" s="19"/>
    </row>
    <row r="336" spans="1:13" x14ac:dyDescent="0.35">
      <c r="A336" t="s">
        <v>292</v>
      </c>
    </row>
    <row r="337" spans="1:16" x14ac:dyDescent="0.35">
      <c r="A337" t="s">
        <v>153</v>
      </c>
      <c r="D337" s="2" t="s">
        <v>21</v>
      </c>
      <c r="E337" t="s">
        <v>19</v>
      </c>
      <c r="J337" t="s">
        <v>25</v>
      </c>
      <c r="K337" s="3" t="s">
        <v>30</v>
      </c>
      <c r="L337" s="3" t="s">
        <v>27</v>
      </c>
      <c r="M337" s="3" t="s">
        <v>35</v>
      </c>
      <c r="N337" t="s">
        <v>26</v>
      </c>
      <c r="O337" s="3" t="s">
        <v>34</v>
      </c>
    </row>
    <row r="338" spans="1:16" x14ac:dyDescent="0.35">
      <c r="A338" t="s">
        <v>163</v>
      </c>
      <c r="C338">
        <v>9</v>
      </c>
      <c r="D338" s="23">
        <f>D301</f>
        <v>139.4</v>
      </c>
      <c r="E338">
        <f>E264+E301</f>
        <v>49</v>
      </c>
      <c r="F338" s="13">
        <f>MAX(E338,_xlfn.CEILING.MATH(ROUNDUP(E338*C338*((1-10%)*(1-2%)*(1-1%)),20)))*D338</f>
        <v>53808.4</v>
      </c>
      <c r="G338" s="16">
        <f>MAX(E338,_xlfn.CEILING.MATH(ROUNDUP(E338*C338*((1-10%)*(1-2%)*(1-1%)),20)))</f>
        <v>386</v>
      </c>
      <c r="J338" t="str">
        <f>A338</f>
        <v>Titanium Carbide</v>
      </c>
      <c r="K338" s="3">
        <f>G338+G342+G347+G352+G357+G363+G369</f>
        <v>222668</v>
      </c>
      <c r="L338" s="3">
        <v>0</v>
      </c>
      <c r="M338" s="7">
        <f>((K338*'Ship Component Reqs'!$D$32)-L338)</f>
        <v>222668</v>
      </c>
      <c r="N338">
        <f>D338</f>
        <v>139.4</v>
      </c>
      <c r="O338" s="14">
        <f>IF(M338&lt;0,0,M338*N338)</f>
        <v>31039919.200000003</v>
      </c>
      <c r="P338" t="s">
        <v>167</v>
      </c>
    </row>
    <row r="339" spans="1:16" ht="16" x14ac:dyDescent="0.5">
      <c r="A339" t="s">
        <v>162</v>
      </c>
      <c r="C339">
        <v>2</v>
      </c>
      <c r="D339" s="23">
        <f>D302</f>
        <v>36700</v>
      </c>
      <c r="E339">
        <f>E338</f>
        <v>49</v>
      </c>
      <c r="F339" s="39">
        <f>MAX(E339,_xlfn.CEILING.MATH(ROUNDUP(E339*C339*((1-10%)*(1-2%)*(1-1%)),20)))*D339</f>
        <v>3156200</v>
      </c>
      <c r="G339" s="16">
        <f>MAX(E339,_xlfn.CEILING.MATH(ROUNDUP(E339*C339*((1-10%)*(1-2%)*(1-1%)),20)))</f>
        <v>86</v>
      </c>
      <c r="J339" t="str">
        <f>A339</f>
        <v>Fermonic Condensates</v>
      </c>
      <c r="K339" s="3">
        <f>+G339</f>
        <v>86</v>
      </c>
      <c r="L339" s="3">
        <v>0</v>
      </c>
      <c r="M339" s="7">
        <f>((K339*'Ship Component Reqs'!$D$32)-L339)</f>
        <v>86</v>
      </c>
      <c r="N339">
        <f>D339</f>
        <v>36700</v>
      </c>
      <c r="O339" s="14">
        <f t="shared" ref="O339:O345" si="104">IF(M339&lt;0,0,M339*N339)</f>
        <v>3156200</v>
      </c>
      <c r="P339" t="s">
        <v>167</v>
      </c>
    </row>
    <row r="340" spans="1:16" x14ac:dyDescent="0.35">
      <c r="E340" s="1" t="str">
        <f>A337</f>
        <v>Graviton Reactor Unit</v>
      </c>
      <c r="F340" s="4">
        <f>SUM(F338:F339)*1.03</f>
        <v>3306308.6519999998</v>
      </c>
      <c r="G340" s="6"/>
      <c r="J340" t="str">
        <f>A343</f>
        <v>Sylramic Fibers</v>
      </c>
      <c r="K340" s="3">
        <f>+G343+G370</f>
        <v>46881</v>
      </c>
      <c r="L340" s="3">
        <v>0</v>
      </c>
      <c r="M340" s="7">
        <f>((K340*'Ship Component Reqs'!$D$32)-L340)</f>
        <v>46881</v>
      </c>
      <c r="N340" s="4">
        <f>D343</f>
        <v>208.9</v>
      </c>
      <c r="O340" s="14">
        <f t="shared" si="104"/>
        <v>9793440.9000000004</v>
      </c>
      <c r="P340" t="s">
        <v>167</v>
      </c>
    </row>
    <row r="341" spans="1:16" x14ac:dyDescent="0.35">
      <c r="A341" t="s">
        <v>154</v>
      </c>
      <c r="G341" s="6"/>
      <c r="J341" t="str">
        <f>A344</f>
        <v>Ferrogel</v>
      </c>
      <c r="K341" s="3">
        <f>G344+G349</f>
        <v>351</v>
      </c>
      <c r="L341" s="3">
        <v>0</v>
      </c>
      <c r="M341" s="7">
        <f>((K341*'Ship Component Reqs'!$D$32)-L341)</f>
        <v>351</v>
      </c>
      <c r="N341" s="4">
        <f>D344</f>
        <v>19380</v>
      </c>
      <c r="O341" s="14">
        <f t="shared" si="104"/>
        <v>6802380</v>
      </c>
      <c r="P341" t="s">
        <v>167</v>
      </c>
    </row>
    <row r="342" spans="1:16" x14ac:dyDescent="0.35">
      <c r="A342" t="s">
        <v>163</v>
      </c>
      <c r="C342">
        <v>22</v>
      </c>
      <c r="D342" s="38">
        <f>D338</f>
        <v>139.4</v>
      </c>
      <c r="E342">
        <f>E268+E305</f>
        <v>133</v>
      </c>
      <c r="F342" s="13">
        <f t="shared" ref="F342:F343" si="105">MAX(E342,_xlfn.CEILING.MATH(ROUNDUP(E342*C342*((1-10%)*(1-2%)*(1-1%)),20)))*D342</f>
        <v>356167</v>
      </c>
      <c r="G342" s="16">
        <f t="shared" ref="G342:G343" si="106">MAX(E342,_xlfn.CEILING.MATH(ROUNDUP(E342*C342*((1-10%)*(1-2%)*(1-1%)),20)))</f>
        <v>2555</v>
      </c>
      <c r="J342" t="str">
        <f>A348</f>
        <v>Phenolic Composites</v>
      </c>
      <c r="K342" s="3">
        <f>+G348+G366</f>
        <v>6639</v>
      </c>
      <c r="L342" s="3">
        <v>0</v>
      </c>
      <c r="M342" s="7">
        <f>((K342*'Ship Component Reqs'!$D$32)-L342)</f>
        <v>6639</v>
      </c>
      <c r="N342">
        <f>D348</f>
        <v>950</v>
      </c>
      <c r="O342" s="14">
        <f t="shared" si="104"/>
        <v>6307050</v>
      </c>
      <c r="P342" t="s">
        <v>167</v>
      </c>
    </row>
    <row r="343" spans="1:16" x14ac:dyDescent="0.35">
      <c r="A343" t="s">
        <v>12</v>
      </c>
      <c r="C343">
        <v>9</v>
      </c>
      <c r="D343" s="38">
        <f>D306</f>
        <v>208.9</v>
      </c>
      <c r="E343">
        <f>E342</f>
        <v>133</v>
      </c>
      <c r="F343" s="13">
        <f t="shared" si="105"/>
        <v>218509.4</v>
      </c>
      <c r="G343" s="16">
        <f t="shared" si="106"/>
        <v>1046</v>
      </c>
      <c r="J343" t="str">
        <f>A353</f>
        <v>Nano Transistors</v>
      </c>
      <c r="K343" s="3">
        <f>G353+G359+G365</f>
        <v>2778</v>
      </c>
      <c r="L343" s="3">
        <v>0</v>
      </c>
      <c r="M343" s="7">
        <f>((K343*'Ship Component Reqs'!$D$32)-L343)</f>
        <v>2778</v>
      </c>
      <c r="N343" s="4">
        <f>D353</f>
        <v>2760</v>
      </c>
      <c r="O343" s="14">
        <f t="shared" si="104"/>
        <v>7667280</v>
      </c>
      <c r="P343" t="s">
        <v>167</v>
      </c>
    </row>
    <row r="344" spans="1:16" ht="16" x14ac:dyDescent="0.5">
      <c r="A344" t="s">
        <v>11</v>
      </c>
      <c r="C344">
        <v>1</v>
      </c>
      <c r="D344" s="23">
        <f>D307</f>
        <v>19380</v>
      </c>
      <c r="E344">
        <f>E342</f>
        <v>133</v>
      </c>
      <c r="F344" s="39">
        <f>MAX(E344,_xlfn.CEILING.MATH(ROUNDUP(E344*C344*((1-10%)*(1-2%)*(1-1%)),20)))*D344</f>
        <v>2577540</v>
      </c>
      <c r="G344" s="16">
        <f>MAX(E344,_xlfn.CEILING.MATH(ROUNDUP(E344*C344*((1-10%)*(1-2%)*(1-1%)),20)))</f>
        <v>133</v>
      </c>
      <c r="J344" t="str">
        <f>A354</f>
        <v>Hypersynaptic Fibers</v>
      </c>
      <c r="K344" s="3">
        <f>G354</f>
        <v>432</v>
      </c>
      <c r="L344" s="3">
        <v>0</v>
      </c>
      <c r="M344" s="7">
        <f>((K344*'Ship Component Reqs'!$D$32)-L344)</f>
        <v>432</v>
      </c>
      <c r="N344" s="4">
        <f>D354</f>
        <v>5067</v>
      </c>
      <c r="O344" s="14">
        <f t="shared" si="104"/>
        <v>2188944</v>
      </c>
      <c r="P344" t="s">
        <v>167</v>
      </c>
    </row>
    <row r="345" spans="1:16" x14ac:dyDescent="0.35">
      <c r="E345" s="1" t="str">
        <f>A341</f>
        <v>Sustained Shield Emitter</v>
      </c>
      <c r="F345" s="4">
        <f>SUM(F342:F344)*1.03</f>
        <v>3246782.892</v>
      </c>
      <c r="G345" s="6"/>
      <c r="J345" t="str">
        <f>A358</f>
        <v>Fullerides</v>
      </c>
      <c r="K345" s="3">
        <f>G358</f>
        <v>4880</v>
      </c>
      <c r="L345" s="3">
        <v>0</v>
      </c>
      <c r="M345" s="7">
        <f>((K345*'Ship Component Reqs'!$D$32)-L345)</f>
        <v>4880</v>
      </c>
      <c r="N345">
        <f>D358</f>
        <v>502</v>
      </c>
      <c r="O345" s="14">
        <f t="shared" si="104"/>
        <v>2449760</v>
      </c>
      <c r="P345" t="s">
        <v>167</v>
      </c>
    </row>
    <row r="346" spans="1:16" ht="16" x14ac:dyDescent="0.5">
      <c r="A346" t="s">
        <v>155</v>
      </c>
      <c r="G346" s="6"/>
      <c r="J346" t="str">
        <f>A360</f>
        <v>Nonlinear MetaMaterials</v>
      </c>
      <c r="K346" s="3">
        <f>G360+G364</f>
        <v>2911</v>
      </c>
      <c r="L346" s="3">
        <v>0</v>
      </c>
      <c r="M346" s="7">
        <f>((K346*'Ship Component Reqs'!$D$32)-L346)</f>
        <v>2911</v>
      </c>
      <c r="N346">
        <f>D360</f>
        <v>10870</v>
      </c>
      <c r="O346" s="12">
        <f>IF(M346&lt;0,0,M346*N346)</f>
        <v>31642570</v>
      </c>
    </row>
    <row r="347" spans="1:16" x14ac:dyDescent="0.35">
      <c r="A347" t="s">
        <v>163</v>
      </c>
      <c r="C347">
        <v>13</v>
      </c>
      <c r="D347" s="38">
        <f>D338</f>
        <v>139.4</v>
      </c>
      <c r="E347">
        <f>E273+E310</f>
        <v>218</v>
      </c>
      <c r="F347" s="13">
        <f t="shared" ref="F347:F348" si="107">MAX(E347,_xlfn.CEILING.MATH(ROUNDUP(E347*C347*((1-10%)*(1-2%)*(1-1%)),20)))*D347</f>
        <v>345015</v>
      </c>
      <c r="G347" s="16">
        <f t="shared" ref="G347:G348" si="108">MAX(E347,_xlfn.CEILING.MATH(ROUNDUP(E347*C347*((1-10%)*(1-2%)*(1-1%)),20)))</f>
        <v>2475</v>
      </c>
      <c r="K347" s="11"/>
      <c r="O347" s="4">
        <f>SUM(O338:O346)</f>
        <v>101047544.09999999</v>
      </c>
    </row>
    <row r="348" spans="1:16" x14ac:dyDescent="0.35">
      <c r="A348" t="s">
        <v>10</v>
      </c>
      <c r="C348">
        <v>3</v>
      </c>
      <c r="D348" s="23">
        <f>D311</f>
        <v>950</v>
      </c>
      <c r="E348">
        <f>E347</f>
        <v>218</v>
      </c>
      <c r="F348" s="13">
        <f t="shared" si="107"/>
        <v>543400</v>
      </c>
      <c r="G348" s="16">
        <f t="shared" si="108"/>
        <v>572</v>
      </c>
    </row>
    <row r="349" spans="1:16" ht="16" x14ac:dyDescent="0.5">
      <c r="A349" t="s">
        <v>11</v>
      </c>
      <c r="C349">
        <v>1</v>
      </c>
      <c r="D349" s="23">
        <f>D312</f>
        <v>19380</v>
      </c>
      <c r="E349">
        <f>E347</f>
        <v>218</v>
      </c>
      <c r="F349" s="39">
        <f>MAX(E349,_xlfn.CEILING.MATH(ROUNDUP(E349*C349*((1-10%)*(1-2%)*(1-1%)),20)))*D349</f>
        <v>4224840</v>
      </c>
      <c r="G349" s="16">
        <f>MAX(E349,_xlfn.CEILING.MATH(ROUNDUP(E349*C349*((1-10%)*(1-2%)*(1-1%)),20)))</f>
        <v>218</v>
      </c>
    </row>
    <row r="350" spans="1:16" x14ac:dyDescent="0.35">
      <c r="E350" s="1" t="str">
        <f>A346</f>
        <v>Magpulse Thruster</v>
      </c>
      <c r="F350" s="4">
        <f>SUM(F347:F349)</f>
        <v>5113255</v>
      </c>
      <c r="G350" s="6"/>
    </row>
    <row r="351" spans="1:16" x14ac:dyDescent="0.35">
      <c r="A351" t="s">
        <v>156</v>
      </c>
      <c r="G351" s="6"/>
    </row>
    <row r="352" spans="1:16" x14ac:dyDescent="0.35">
      <c r="A352" t="s">
        <v>163</v>
      </c>
      <c r="C352">
        <v>22</v>
      </c>
      <c r="D352" s="2">
        <f>D347</f>
        <v>139.4</v>
      </c>
      <c r="E352">
        <f>E278+E315</f>
        <v>247</v>
      </c>
      <c r="F352" s="13">
        <f t="shared" ref="F352:F353" si="109">MAX(E352,_xlfn.CEILING.MATH(ROUNDUP(E352*C352*((1-10%)*(1-2%)*(1-1%)),20)))*D352</f>
        <v>661453</v>
      </c>
      <c r="G352" s="16">
        <f t="shared" ref="G352:G353" si="110">MAX(E352,_xlfn.CEILING.MATH(ROUNDUP(E352*C352*((1-10%)*(1-2%)*(1-1%)),20)))</f>
        <v>4745</v>
      </c>
    </row>
    <row r="353" spans="1:7" x14ac:dyDescent="0.35">
      <c r="A353" t="s">
        <v>14</v>
      </c>
      <c r="C353">
        <v>1</v>
      </c>
      <c r="D353" s="2">
        <f>D328</f>
        <v>2760</v>
      </c>
      <c r="E353">
        <f>E352</f>
        <v>247</v>
      </c>
      <c r="F353" s="13">
        <f t="shared" si="109"/>
        <v>681720</v>
      </c>
      <c r="G353" s="16">
        <f t="shared" si="110"/>
        <v>247</v>
      </c>
    </row>
    <row r="354" spans="1:7" ht="16" x14ac:dyDescent="0.5">
      <c r="A354" t="s">
        <v>15</v>
      </c>
      <c r="C354">
        <v>2</v>
      </c>
      <c r="D354" s="23">
        <f>D317</f>
        <v>5067</v>
      </c>
      <c r="E354">
        <f>E352</f>
        <v>247</v>
      </c>
      <c r="F354" s="39">
        <f>MAX(E354,_xlfn.CEILING.MATH(ROUNDUP(E354*C354*((1-10%)*(1-2%)*(1-1%)),20)))*D354</f>
        <v>2188944</v>
      </c>
      <c r="G354" s="16">
        <f>MAX(E354,_xlfn.CEILING.MATH(ROUNDUP(E354*C354*((1-10%)*(1-2%)*(1-1%)),20)))</f>
        <v>432</v>
      </c>
    </row>
    <row r="355" spans="1:7" x14ac:dyDescent="0.35">
      <c r="E355" s="1" t="str">
        <f>A351</f>
        <v>Gravimetric Sensor Cluster</v>
      </c>
      <c r="F355" s="4">
        <f>SUM(F352:F354)*1.03</f>
        <v>3638080.5100000002</v>
      </c>
      <c r="G355" s="6"/>
    </row>
    <row r="356" spans="1:7" x14ac:dyDescent="0.35">
      <c r="A356" t="s">
        <v>157</v>
      </c>
      <c r="G356" s="6"/>
    </row>
    <row r="357" spans="1:7" x14ac:dyDescent="0.35">
      <c r="A357" t="s">
        <v>163</v>
      </c>
      <c r="C357">
        <v>27</v>
      </c>
      <c r="D357" s="2">
        <f>D352</f>
        <v>139.4</v>
      </c>
      <c r="E357">
        <f>E283+E320</f>
        <v>508</v>
      </c>
      <c r="F357" s="13">
        <f t="shared" ref="F357:F359" si="111">MAX(E357,_xlfn.CEILING.MATH(ROUNDUP(E357*C357*((1-10%)*(1-2%)*(1-1%)),20)))*D357</f>
        <v>1669593.8</v>
      </c>
      <c r="G357" s="16">
        <f t="shared" ref="G357:G359" si="112">MAX(E357,_xlfn.CEILING.MATH(ROUNDUP(E357*C357*((1-10%)*(1-2%)*(1-1%)),20)))</f>
        <v>11977</v>
      </c>
    </row>
    <row r="358" spans="1:7" x14ac:dyDescent="0.35">
      <c r="A358" t="s">
        <v>16</v>
      </c>
      <c r="C358">
        <v>11</v>
      </c>
      <c r="D358" s="2">
        <f>D321</f>
        <v>502</v>
      </c>
      <c r="E358">
        <f>E357</f>
        <v>508</v>
      </c>
      <c r="F358" s="13">
        <f t="shared" si="111"/>
        <v>2449760</v>
      </c>
      <c r="G358" s="16">
        <f t="shared" si="112"/>
        <v>4880</v>
      </c>
    </row>
    <row r="359" spans="1:7" x14ac:dyDescent="0.35">
      <c r="A359" t="s">
        <v>164</v>
      </c>
      <c r="C359">
        <v>1</v>
      </c>
      <c r="D359" s="2">
        <f>D353</f>
        <v>2760</v>
      </c>
      <c r="E359">
        <f>E357</f>
        <v>508</v>
      </c>
      <c r="F359" s="13">
        <f t="shared" si="111"/>
        <v>1402080</v>
      </c>
      <c r="G359" s="16">
        <f t="shared" si="112"/>
        <v>508</v>
      </c>
    </row>
    <row r="360" spans="1:7" ht="16" x14ac:dyDescent="0.5">
      <c r="A360" t="s">
        <v>165</v>
      </c>
      <c r="C360">
        <v>2</v>
      </c>
      <c r="D360" s="23">
        <f>D323</f>
        <v>10870</v>
      </c>
      <c r="E360">
        <f>E357</f>
        <v>508</v>
      </c>
      <c r="F360" s="39">
        <f>MAX(E360,_xlfn.CEILING.MATH(ROUNDUP(E360*C360*((1-10%)*(1-2%)*(1-1%)),20)))*D360</f>
        <v>9652560</v>
      </c>
      <c r="G360" s="16">
        <f>MAX(E360,_xlfn.CEILING.MATH(ROUNDUP(E360*C360*((1-10%)*(1-2%)*(1-1%)),20)))</f>
        <v>888</v>
      </c>
    </row>
    <row r="361" spans="1:7" x14ac:dyDescent="0.35">
      <c r="E361" s="1" t="str">
        <f>A356</f>
        <v>Scalar Capacitor Unit</v>
      </c>
      <c r="F361" s="4">
        <f>SUM(F357:F360)*1.03</f>
        <v>15629213.614000002</v>
      </c>
      <c r="G361" s="6"/>
    </row>
    <row r="362" spans="1:7" x14ac:dyDescent="0.35">
      <c r="A362" t="s">
        <v>158</v>
      </c>
      <c r="G362" s="6"/>
    </row>
    <row r="363" spans="1:7" x14ac:dyDescent="0.35">
      <c r="A363" t="s">
        <v>163</v>
      </c>
      <c r="C363">
        <v>17</v>
      </c>
      <c r="D363" s="2">
        <f>D357</f>
        <v>139.4</v>
      </c>
      <c r="E363">
        <f>E289+E326</f>
        <v>1158</v>
      </c>
      <c r="F363" s="13">
        <f t="shared" ref="F363:F365" si="113">MAX(E363,_xlfn.CEILING.MATH(ROUNDUP(E363*C363*((1-10%)*(1-2%)*(1-1%)),20)))*D363</f>
        <v>2396286</v>
      </c>
      <c r="G363" s="16">
        <f t="shared" ref="G363:G365" si="114">MAX(E363,_xlfn.CEILING.MATH(ROUNDUP(E363*C363*((1-10%)*(1-2%)*(1-1%)),20)))</f>
        <v>17190</v>
      </c>
    </row>
    <row r="364" spans="1:7" x14ac:dyDescent="0.35">
      <c r="A364" t="s">
        <v>165</v>
      </c>
      <c r="C364">
        <v>2</v>
      </c>
      <c r="D364" s="2">
        <f>D360</f>
        <v>10870</v>
      </c>
      <c r="E364">
        <f>E363</f>
        <v>1158</v>
      </c>
      <c r="F364" s="13">
        <f t="shared" si="113"/>
        <v>21990010</v>
      </c>
      <c r="G364" s="16">
        <f t="shared" si="114"/>
        <v>2023</v>
      </c>
    </row>
    <row r="365" spans="1:7" x14ac:dyDescent="0.35">
      <c r="A365" t="s">
        <v>164</v>
      </c>
      <c r="C365">
        <v>2</v>
      </c>
      <c r="D365" s="23">
        <f>D359</f>
        <v>2760</v>
      </c>
      <c r="E365">
        <f>E363</f>
        <v>1158</v>
      </c>
      <c r="F365" s="13">
        <f t="shared" si="113"/>
        <v>5583480</v>
      </c>
      <c r="G365" s="16">
        <f t="shared" si="114"/>
        <v>2023</v>
      </c>
    </row>
    <row r="366" spans="1:7" ht="16" x14ac:dyDescent="0.5">
      <c r="A366" t="s">
        <v>10</v>
      </c>
      <c r="C366">
        <v>6</v>
      </c>
      <c r="D366" s="23">
        <f>D348</f>
        <v>950</v>
      </c>
      <c r="E366">
        <f>E363</f>
        <v>1158</v>
      </c>
      <c r="F366" s="39">
        <f>MAX(E366,_xlfn.CEILING.MATH(ROUNDUP(E366*C366*((1-10%)*(1-2%)*(1-1%)),20)))*D366</f>
        <v>5763650</v>
      </c>
      <c r="G366" s="16">
        <f>MAX(E366,_xlfn.CEILING.MATH(ROUNDUP(E366*C366*((1-10%)*(1-2%)*(1-1%)),20)))</f>
        <v>6067</v>
      </c>
    </row>
    <row r="367" spans="1:7" x14ac:dyDescent="0.35">
      <c r="E367" s="1" t="str">
        <f>A362</f>
        <v>Quantum Microprocessor</v>
      </c>
      <c r="F367" s="4">
        <f>SUM(F363:F366)*1.03</f>
        <v>36805428.780000001</v>
      </c>
      <c r="G367" s="6"/>
    </row>
    <row r="368" spans="1:7" x14ac:dyDescent="0.35">
      <c r="A368" t="s">
        <v>159</v>
      </c>
      <c r="G368" s="6"/>
    </row>
    <row r="369" spans="1:13" x14ac:dyDescent="0.35">
      <c r="A369" t="s">
        <v>163</v>
      </c>
      <c r="C369">
        <v>44</v>
      </c>
      <c r="D369" s="2">
        <f>D363</f>
        <v>139.4</v>
      </c>
      <c r="E369">
        <f>E295+E332</f>
        <v>4772</v>
      </c>
      <c r="F369" s="13">
        <f>MAX(E369,_xlfn.CEILING.MATH(ROUNDUP(E369*C369*((1-10%)*(1-2%)*(1-1%)),20)))*D369</f>
        <v>25557596</v>
      </c>
      <c r="G369" s="16">
        <f>MAX(E369,_xlfn.CEILING.MATH(ROUNDUP(E369*C369*((1-10%)*(1-2%)*(1-1%)),20)))</f>
        <v>183340</v>
      </c>
    </row>
    <row r="370" spans="1:13" ht="16" x14ac:dyDescent="0.5">
      <c r="A370" t="s">
        <v>12</v>
      </c>
      <c r="C370">
        <v>11</v>
      </c>
      <c r="D370" s="2">
        <f>D343</f>
        <v>208.9</v>
      </c>
      <c r="E370">
        <f>E369</f>
        <v>4772</v>
      </c>
      <c r="F370" s="39">
        <f>MAX(E370,_xlfn.CEILING.MATH(ROUNDUP(E370*C370*((1-10%)*(1-2%)*(1-1%)),20)))*D370</f>
        <v>9574931.5</v>
      </c>
      <c r="G370" s="16">
        <f>MAX(E370,_xlfn.CEILING.MATH(ROUNDUP(E370*C370*((1-10%)*(1-2%)*(1-1%)),20)))</f>
        <v>45835</v>
      </c>
    </row>
    <row r="371" spans="1:13" x14ac:dyDescent="0.35">
      <c r="E371" s="1" t="str">
        <f>A368</f>
        <v>Titanium Diborite Armor Plate</v>
      </c>
      <c r="F371" s="4">
        <f>SUM(F369:F370)*1.03</f>
        <v>36186503.325000003</v>
      </c>
    </row>
    <row r="372" spans="1:13" s="18" customFormat="1" x14ac:dyDescent="0.35">
      <c r="D372" s="31"/>
      <c r="E372" s="65"/>
      <c r="F372" s="64"/>
      <c r="K372" s="19"/>
      <c r="L372" s="19"/>
      <c r="M372" s="19"/>
    </row>
    <row r="373" spans="1:13" x14ac:dyDescent="0.35">
      <c r="A373" s="6" t="str">
        <f>Pricing!I44</f>
        <v>Covert Ops Cloaking Device II</v>
      </c>
      <c r="E373" s="1"/>
      <c r="F373" s="4"/>
    </row>
    <row r="374" spans="1:13" x14ac:dyDescent="0.35">
      <c r="A374" t="str">
        <f>'BP Tech 2 Manufacture Nonship'!A19</f>
        <v>Graviton Pulse Generator</v>
      </c>
      <c r="E374" s="1"/>
      <c r="F374" s="4"/>
    </row>
    <row r="375" spans="1:13" x14ac:dyDescent="0.35">
      <c r="A375" t="str">
        <f>A363</f>
        <v>Titanium Carbide</v>
      </c>
      <c r="C375">
        <v>22</v>
      </c>
      <c r="D375" s="2">
        <f>D357</f>
        <v>139.4</v>
      </c>
      <c r="E375">
        <f>'BP Tech 2 Manufacture Nonship'!F19</f>
        <v>75</v>
      </c>
      <c r="F375" s="13">
        <f t="shared" ref="F375:F377" si="115">MAX(E375,_xlfn.CEILING.MATH(ROUNDUP(E375*C375*((1-10%)*(1-1%)),20)))*D375</f>
        <v>205057.4</v>
      </c>
      <c r="G375" s="16">
        <f t="shared" ref="G375:G377" si="116">MAX(E375,_xlfn.CEILING.MATH(ROUNDUP(E375*C375*((1-10%)*(1-1%)),20)))</f>
        <v>1471</v>
      </c>
    </row>
    <row r="376" spans="1:13" x14ac:dyDescent="0.35">
      <c r="A376" t="str">
        <f>A365</f>
        <v>Nanotransistors</v>
      </c>
      <c r="C376">
        <v>2</v>
      </c>
      <c r="D376" s="2">
        <f>D359</f>
        <v>2760</v>
      </c>
      <c r="E376">
        <f>E375</f>
        <v>75</v>
      </c>
      <c r="F376" s="13">
        <f t="shared" si="115"/>
        <v>369840</v>
      </c>
      <c r="G376" s="16">
        <f t="shared" si="116"/>
        <v>134</v>
      </c>
    </row>
    <row r="377" spans="1:13" x14ac:dyDescent="0.35">
      <c r="A377" t="str">
        <f>A366</f>
        <v>Phenolic Composites</v>
      </c>
      <c r="C377">
        <v>7</v>
      </c>
      <c r="D377" s="2">
        <f>D366</f>
        <v>950</v>
      </c>
      <c r="E377">
        <f>E375</f>
        <v>75</v>
      </c>
      <c r="F377" s="71">
        <f t="shared" si="115"/>
        <v>444600</v>
      </c>
      <c r="G377" s="16">
        <f t="shared" si="116"/>
        <v>468</v>
      </c>
    </row>
    <row r="378" spans="1:13" x14ac:dyDescent="0.35">
      <c r="E378" s="1" t="str">
        <f>A374</f>
        <v>Graviton Pulse Generator</v>
      </c>
      <c r="F378" s="4">
        <f>SUM(F375:F377)*1.03</f>
        <v>1050082.3220000002</v>
      </c>
      <c r="G378" s="6"/>
    </row>
    <row r="379" spans="1:13" x14ac:dyDescent="0.35">
      <c r="A379" t="str">
        <f>'BP Tech 2 Manufacture Nonship'!H20</f>
        <v>Photon Microprocessor</v>
      </c>
      <c r="E379" s="1"/>
      <c r="F379" s="4"/>
    </row>
    <row r="380" spans="1:13" x14ac:dyDescent="0.35">
      <c r="A380" t="str">
        <f>A476</f>
        <v>Crystalline Carbonide</v>
      </c>
      <c r="C380">
        <v>17</v>
      </c>
      <c r="D380" s="2">
        <f>D476</f>
        <v>104</v>
      </c>
      <c r="E380">
        <f>'BP Tech 2 Manufacture Nonship'!F20</f>
        <v>96</v>
      </c>
      <c r="F380" s="13">
        <f t="shared" ref="F380:F383" si="117">MAX(E380,_xlfn.CEILING.MATH(ROUNDUP(E380*C380*((1-10%)*(1-1%)),20)))*D380</f>
        <v>151320</v>
      </c>
      <c r="G380" s="16">
        <f t="shared" ref="G380:G383" si="118">MAX(E380,_xlfn.CEILING.MATH(ROUNDUP(E380*C380*((1-10%)*(1-1%)),20)))</f>
        <v>1455</v>
      </c>
    </row>
    <row r="381" spans="1:13" x14ac:dyDescent="0.35">
      <c r="A381" t="str">
        <f>A497</f>
        <v>Photonic Metamaterials</v>
      </c>
      <c r="C381">
        <v>2</v>
      </c>
      <c r="D381" s="2">
        <f>D497</f>
        <v>7145</v>
      </c>
      <c r="E381">
        <f>E380</f>
        <v>96</v>
      </c>
      <c r="F381" s="13">
        <f t="shared" si="117"/>
        <v>1228940</v>
      </c>
      <c r="G381" s="16">
        <f t="shared" si="118"/>
        <v>172</v>
      </c>
    </row>
    <row r="382" spans="1:13" x14ac:dyDescent="0.35">
      <c r="A382" t="str">
        <f>A377</f>
        <v>Phenolic Composites</v>
      </c>
      <c r="C382">
        <v>6</v>
      </c>
      <c r="D382" s="2">
        <f>D377</f>
        <v>950</v>
      </c>
      <c r="E382">
        <f>E380</f>
        <v>96</v>
      </c>
      <c r="F382" s="13">
        <f t="shared" si="117"/>
        <v>488300</v>
      </c>
      <c r="G382" s="16">
        <f t="shared" si="118"/>
        <v>514</v>
      </c>
    </row>
    <row r="383" spans="1:13" x14ac:dyDescent="0.35">
      <c r="A383" t="str">
        <f>A376</f>
        <v>Nanotransistors</v>
      </c>
      <c r="C383">
        <v>2</v>
      </c>
      <c r="D383" s="2">
        <f>D376</f>
        <v>2760</v>
      </c>
      <c r="E383">
        <f>E380</f>
        <v>96</v>
      </c>
      <c r="F383" s="71">
        <f t="shared" si="117"/>
        <v>474720</v>
      </c>
      <c r="G383" s="16">
        <f t="shared" si="118"/>
        <v>172</v>
      </c>
    </row>
    <row r="384" spans="1:13" x14ac:dyDescent="0.35">
      <c r="E384" s="1" t="str">
        <f>A379</f>
        <v>Photon Microprocessor</v>
      </c>
      <c r="F384" s="4">
        <f>SUM(F380:F383)*1.03</f>
        <v>2413578.4</v>
      </c>
      <c r="G384" s="6"/>
    </row>
    <row r="385" spans="1:13" x14ac:dyDescent="0.35">
      <c r="A385" t="str">
        <f>'BP Tech 2 Manufacture Nonship'!A21</f>
        <v>ProtoType cloaking Device I</v>
      </c>
      <c r="E385" s="1"/>
      <c r="F385" s="4"/>
    </row>
    <row r="386" spans="1:13" x14ac:dyDescent="0.35">
      <c r="A386" t="str">
        <f>Pricing!A54</f>
        <v>Transmitter</v>
      </c>
      <c r="C386">
        <v>5</v>
      </c>
      <c r="D386" s="2">
        <f>'BP Tech 2 Manufacture Nonship'!I16</f>
        <v>7700</v>
      </c>
      <c r="E386">
        <f>'BP Tech 2 Manufacture Nonship'!F21</f>
        <v>3</v>
      </c>
      <c r="F386" s="13">
        <f t="shared" ref="F386:F388" si="119">MAX(E386,_xlfn.CEILING.MATH(ROUNDUP(E386*C386*((1-10%)*(1-1%)),20)))*D386</f>
        <v>107800</v>
      </c>
      <c r="G386" s="16">
        <f>MAX(E386,_xlfn.CEILING.MATH(ROUNDUP(E386*C386*((1-10%)*(1-1%)),20)))</f>
        <v>14</v>
      </c>
    </row>
    <row r="387" spans="1:13" x14ac:dyDescent="0.35">
      <c r="A387" t="str">
        <f>Pricing!A55</f>
        <v>Miniature Electronics</v>
      </c>
      <c r="C387">
        <v>6</v>
      </c>
      <c r="D387" s="2">
        <f>'BP Tech 2 Manufacture Nonship'!I17</f>
        <v>9490</v>
      </c>
      <c r="E387">
        <f>E386</f>
        <v>3</v>
      </c>
      <c r="F387" s="13">
        <f t="shared" si="119"/>
        <v>161330</v>
      </c>
      <c r="G387" s="16">
        <f>MAX(E387,_xlfn.CEILING.MATH(ROUNDUP(E387*C387*((1-10%)*(1-1%)),20)))</f>
        <v>17</v>
      </c>
    </row>
    <row r="388" spans="1:13" x14ac:dyDescent="0.35">
      <c r="A388" t="str">
        <f>Pricing!A56</f>
        <v>Supercomputers</v>
      </c>
      <c r="C388">
        <v>2</v>
      </c>
      <c r="D388" s="2">
        <f>Pricing!B56</f>
        <v>75460</v>
      </c>
      <c r="E388">
        <f>E386</f>
        <v>3</v>
      </c>
      <c r="F388" s="13">
        <f t="shared" si="119"/>
        <v>452760</v>
      </c>
      <c r="G388" s="16">
        <f>MAX(E388,_xlfn.CEILING.MATH(ROUNDUP(E388*C388*((1-10%)*(1-1%)),20)))</f>
        <v>6</v>
      </c>
    </row>
    <row r="389" spans="1:13" x14ac:dyDescent="0.35">
      <c r="A389" t="str">
        <f>Pricing!A57</f>
        <v>Hermetic Membranes</v>
      </c>
      <c r="C389">
        <v>3</v>
      </c>
      <c r="D389" s="2">
        <f>Pricing!B57</f>
        <v>78990</v>
      </c>
      <c r="E389">
        <f>E386</f>
        <v>3</v>
      </c>
      <c r="F389" s="70">
        <f>MAX(E389,_xlfn.CEILING.MATH(ROUNDUP(E389*C389*((1-10%)*(1-1%)),20)))*D389</f>
        <v>710910</v>
      </c>
      <c r="G389" s="16">
        <f>MAX(E389,_xlfn.CEILING.MATH(ROUNDUP(E389*C389*((1-10%)*(1-1%)),20)))</f>
        <v>9</v>
      </c>
    </row>
    <row r="390" spans="1:13" x14ac:dyDescent="0.35">
      <c r="A390" t="str" cm="1">
        <f t="array" ref="A390:A397">Pricing!I2:I9</f>
        <v>Tritanium</v>
      </c>
      <c r="C390">
        <v>16253</v>
      </c>
      <c r="D390" s="2" cm="1">
        <f t="array" ref="D390:D397">Pricing!J2:J9</f>
        <v>4.57</v>
      </c>
      <c r="E390">
        <f t="shared" ref="E390:E397" si="120">E387</f>
        <v>3</v>
      </c>
      <c r="F390" s="70">
        <f t="shared" ref="F390:F397" si="121">MAX(E390,_xlfn.CEILING.MATH(ROUNDUP(E390*C390*((1-10%)*(1-1%)),20)))*D390</f>
        <v>198543.65000000002</v>
      </c>
      <c r="G390" s="16">
        <f t="shared" ref="G390:G397" si="122">MAX(E390,_xlfn.CEILING.MATH(ROUNDUP(E390*C390*((1-10%)*(1-1%)),20)))</f>
        <v>43445</v>
      </c>
    </row>
    <row r="391" spans="1:13" x14ac:dyDescent="0.35">
      <c r="A391" t="str">
        <v>Pyerite</v>
      </c>
      <c r="C391">
        <v>6353</v>
      </c>
      <c r="D391" s="2">
        <v>18.010000000000002</v>
      </c>
      <c r="E391">
        <f t="shared" si="120"/>
        <v>3</v>
      </c>
      <c r="F391" s="70">
        <f t="shared" si="121"/>
        <v>305845.82</v>
      </c>
      <c r="G391" s="16">
        <f t="shared" si="122"/>
        <v>16982</v>
      </c>
    </row>
    <row r="392" spans="1:13" x14ac:dyDescent="0.35">
      <c r="A392" t="str">
        <v>Mexallon</v>
      </c>
      <c r="C392">
        <v>778</v>
      </c>
      <c r="D392" s="2">
        <v>63.36</v>
      </c>
      <c r="E392">
        <f t="shared" si="120"/>
        <v>3</v>
      </c>
      <c r="F392" s="70">
        <f t="shared" si="121"/>
        <v>131788.79999999999</v>
      </c>
      <c r="G392" s="16">
        <f t="shared" si="122"/>
        <v>2080</v>
      </c>
    </row>
    <row r="393" spans="1:13" x14ac:dyDescent="0.35">
      <c r="A393" t="str">
        <v>Isogen</v>
      </c>
      <c r="C393">
        <v>460</v>
      </c>
      <c r="D393" s="2">
        <v>55.98</v>
      </c>
      <c r="E393">
        <f t="shared" si="120"/>
        <v>3</v>
      </c>
      <c r="F393" s="70">
        <f t="shared" si="121"/>
        <v>68855.399999999994</v>
      </c>
      <c r="G393" s="16">
        <f t="shared" si="122"/>
        <v>1230</v>
      </c>
    </row>
    <row r="394" spans="1:13" x14ac:dyDescent="0.35">
      <c r="A394" t="str">
        <v>Nocxium</v>
      </c>
      <c r="C394">
        <v>171</v>
      </c>
      <c r="D394" s="2">
        <v>1341</v>
      </c>
      <c r="E394">
        <f t="shared" si="120"/>
        <v>3</v>
      </c>
      <c r="F394" s="70">
        <f t="shared" si="121"/>
        <v>614178</v>
      </c>
      <c r="G394" s="16">
        <f t="shared" si="122"/>
        <v>458</v>
      </c>
    </row>
    <row r="395" spans="1:13" x14ac:dyDescent="0.35">
      <c r="A395" t="str">
        <v>Megacyte</v>
      </c>
      <c r="C395">
        <v>134</v>
      </c>
      <c r="D395" s="2">
        <v>598</v>
      </c>
      <c r="E395">
        <f t="shared" si="120"/>
        <v>3</v>
      </c>
      <c r="F395" s="70">
        <f t="shared" si="121"/>
        <v>214682</v>
      </c>
      <c r="G395" s="16">
        <f t="shared" si="122"/>
        <v>359</v>
      </c>
    </row>
    <row r="396" spans="1:13" x14ac:dyDescent="0.35">
      <c r="A396" t="str">
        <v>Zydrine</v>
      </c>
      <c r="C396">
        <v>34</v>
      </c>
      <c r="D396" s="2">
        <v>868.3</v>
      </c>
      <c r="E396">
        <f t="shared" si="120"/>
        <v>3</v>
      </c>
      <c r="F396" s="70">
        <f t="shared" si="121"/>
        <v>79015.3</v>
      </c>
      <c r="G396" s="16">
        <f t="shared" si="122"/>
        <v>91</v>
      </c>
    </row>
    <row r="397" spans="1:13" x14ac:dyDescent="0.35">
      <c r="A397" t="str">
        <v>Morphite</v>
      </c>
      <c r="C397">
        <v>11</v>
      </c>
      <c r="D397" s="2">
        <v>41900</v>
      </c>
      <c r="E397">
        <f t="shared" si="120"/>
        <v>3</v>
      </c>
      <c r="F397" s="71">
        <f t="shared" si="121"/>
        <v>1257000</v>
      </c>
      <c r="G397" s="16">
        <f t="shared" si="122"/>
        <v>30</v>
      </c>
    </row>
    <row r="398" spans="1:13" x14ac:dyDescent="0.35">
      <c r="E398" s="1" t="str">
        <f>A385</f>
        <v>ProtoType cloaking Device I</v>
      </c>
      <c r="F398" s="4">
        <f>SUM(F386:F397)</f>
        <v>4302708.97</v>
      </c>
    </row>
    <row r="399" spans="1:13" s="18" customFormat="1" x14ac:dyDescent="0.35">
      <c r="D399" s="31"/>
      <c r="K399" s="19"/>
      <c r="L399" s="19"/>
      <c r="M399" s="19"/>
    </row>
    <row r="400" spans="1:13" x14ac:dyDescent="0.35">
      <c r="A400" t="s">
        <v>185</v>
      </c>
    </row>
    <row r="401" spans="1:16" x14ac:dyDescent="0.35">
      <c r="A401" t="s">
        <v>175</v>
      </c>
      <c r="D401" s="2" t="s">
        <v>21</v>
      </c>
      <c r="E401" t="s">
        <v>19</v>
      </c>
      <c r="J401" t="s">
        <v>25</v>
      </c>
      <c r="K401" s="3" t="s">
        <v>30</v>
      </c>
      <c r="L401" s="3" t="s">
        <v>27</v>
      </c>
      <c r="M401" s="3" t="s">
        <v>35</v>
      </c>
      <c r="N401" t="s">
        <v>26</v>
      </c>
      <c r="O401" s="3" t="s">
        <v>34</v>
      </c>
    </row>
    <row r="402" spans="1:16" x14ac:dyDescent="0.35">
      <c r="A402" t="s">
        <v>183</v>
      </c>
      <c r="C402">
        <v>13</v>
      </c>
      <c r="D402" s="23">
        <f>Pricing!F15</f>
        <v>100.4</v>
      </c>
      <c r="E402">
        <f>IF('Ship Component Reqs'!F122&lt;0,0,'Ship Component Reqs'!F122)</f>
        <v>116</v>
      </c>
      <c r="F402" s="13">
        <f>MAX(E402,_xlfn.CEILING.MATH(ROUNDUP(E402*C402*((1-10%)*(1-2%)*(1-1%)),20)))*D402</f>
        <v>132226.80000000002</v>
      </c>
      <c r="G402" s="16">
        <f>MAX(E402,_xlfn.CEILING.MATH(ROUNDUP(E402*C402*((1-10%)*(1-2%)*(1-1%)),20)))</f>
        <v>1317</v>
      </c>
      <c r="J402" t="str">
        <f>A402</f>
        <v>Fernite Carbide</v>
      </c>
      <c r="K402" s="3">
        <f>G402+G406+G411+G416+G421+G427+G433</f>
        <v>1834</v>
      </c>
      <c r="L402" s="3">
        <v>0</v>
      </c>
      <c r="M402" s="7">
        <f>((K402*'Ship Component Reqs'!$D$32)-L402)</f>
        <v>1834</v>
      </c>
      <c r="N402">
        <f>D402</f>
        <v>100.4</v>
      </c>
      <c r="O402" s="14">
        <f>IF(M402&lt;0,0,M402*N402)</f>
        <v>184133.6</v>
      </c>
      <c r="P402" t="s">
        <v>167</v>
      </c>
    </row>
    <row r="403" spans="1:16" x14ac:dyDescent="0.35">
      <c r="A403" t="s">
        <v>10</v>
      </c>
      <c r="C403">
        <v>3</v>
      </c>
      <c r="D403" s="23">
        <f>D237</f>
        <v>950</v>
      </c>
      <c r="E403">
        <f>E402</f>
        <v>116</v>
      </c>
      <c r="F403" s="13">
        <f>MAX(E403,_xlfn.CEILING.MATH(ROUNDUP(E403*C403*((1-10%)*(1-2%)*(1-1%)),20)))*D403</f>
        <v>288800</v>
      </c>
      <c r="G403" s="16">
        <f>MAX(E403,_xlfn.CEILING.MATH(ROUNDUP(E403*C403*((1-10%)*(1-2%)*(1-1%)),20)))</f>
        <v>304</v>
      </c>
      <c r="J403" t="str">
        <f>A403</f>
        <v>Phenolic Composites</v>
      </c>
      <c r="K403" s="3">
        <f>G403+G408</f>
        <v>3930</v>
      </c>
      <c r="L403" s="3">
        <v>0</v>
      </c>
      <c r="M403" s="7">
        <f>((K403*'Ship Component Reqs'!$D$32)-L403)</f>
        <v>3930</v>
      </c>
      <c r="N403">
        <f>D403</f>
        <v>950</v>
      </c>
      <c r="O403" s="14">
        <f t="shared" ref="O403:O409" si="123">IF(M403&lt;0,0,M403*N403)</f>
        <v>3733500</v>
      </c>
      <c r="P403" t="s">
        <v>167</v>
      </c>
    </row>
    <row r="404" spans="1:16" ht="16" x14ac:dyDescent="0.5">
      <c r="A404" t="s">
        <v>11</v>
      </c>
      <c r="C404">
        <v>1</v>
      </c>
      <c r="D404" s="23">
        <f>D233</f>
        <v>19380</v>
      </c>
      <c r="E404">
        <f>E403</f>
        <v>116</v>
      </c>
      <c r="F404" s="39">
        <f>MAX(E404,_xlfn.CEILING.MATH(ROUNDUP(E404*C404*((1-10%)*(1-2%)*(1-1%)),20)))*D404</f>
        <v>2248080</v>
      </c>
      <c r="G404" s="16">
        <f>MAX(E404,_xlfn.CEILING.MATH(ROUNDUP(E404*C404*((1-10%)*(1-2%)*(1-1%)),20)))</f>
        <v>116</v>
      </c>
      <c r="J404" t="str">
        <f>A404</f>
        <v>Ferrogel</v>
      </c>
      <c r="K404" s="3">
        <f>G404+G424</f>
        <v>189</v>
      </c>
      <c r="L404" s="3">
        <v>0</v>
      </c>
      <c r="M404" s="7">
        <f>((K404*'Ship Component Reqs'!$D$32)-L404)</f>
        <v>189</v>
      </c>
      <c r="N404" s="4">
        <f>D407</f>
        <v>100.4</v>
      </c>
      <c r="O404" s="14">
        <f t="shared" si="123"/>
        <v>18975.600000000002</v>
      </c>
      <c r="P404" t="s">
        <v>167</v>
      </c>
    </row>
    <row r="405" spans="1:16" x14ac:dyDescent="0.35">
      <c r="E405" s="1" t="str">
        <f>A401</f>
        <v>Plasma Thruster</v>
      </c>
      <c r="F405" s="4">
        <f>SUM(F402:F404)*1.03</f>
        <v>2749180.0039999997</v>
      </c>
      <c r="G405" s="6"/>
      <c r="J405" t="str">
        <f>A409</f>
        <v>Nanotransistors</v>
      </c>
      <c r="K405" s="3">
        <f>G409+G418+G433</f>
        <v>1643</v>
      </c>
      <c r="L405" s="3">
        <v>0</v>
      </c>
      <c r="M405" s="7">
        <f>((K405*'Ship Component Reqs'!$D$32)-L405)</f>
        <v>1643</v>
      </c>
      <c r="N405" s="4">
        <f>D408</f>
        <v>208.9</v>
      </c>
      <c r="O405" s="14">
        <f t="shared" si="123"/>
        <v>343222.7</v>
      </c>
      <c r="P405" t="s">
        <v>167</v>
      </c>
    </row>
    <row r="406" spans="1:16" x14ac:dyDescent="0.35">
      <c r="A406" t="s">
        <v>176</v>
      </c>
      <c r="G406" s="6"/>
      <c r="J406" t="str">
        <f>A410</f>
        <v>Plasmonic MetaMaterials</v>
      </c>
      <c r="K406" s="3">
        <f>G410+G434</f>
        <v>1714</v>
      </c>
      <c r="L406" s="3">
        <v>0</v>
      </c>
      <c r="M406" s="7">
        <f>((K406*'Ship Component Reqs'!$D$32)-L406)</f>
        <v>1714</v>
      </c>
      <c r="N406">
        <f>D412</f>
        <v>0</v>
      </c>
      <c r="O406" s="14">
        <f t="shared" si="123"/>
        <v>0</v>
      </c>
      <c r="P406" t="s">
        <v>167</v>
      </c>
    </row>
    <row r="407" spans="1:16" x14ac:dyDescent="0.35">
      <c r="A407" t="s">
        <v>183</v>
      </c>
      <c r="C407">
        <v>17</v>
      </c>
      <c r="D407" s="38">
        <f>D402</f>
        <v>100.4</v>
      </c>
      <c r="E407">
        <f>IF('Ship Component Reqs'!F123&lt;0,0,'Ship Component Reqs'!F123)</f>
        <v>692</v>
      </c>
      <c r="F407" s="13">
        <f t="shared" ref="F407:F409" si="124">MAX(E407,_xlfn.CEILING.MATH(ROUNDUP(E407*C407*((1-10%)*(1-2%)*(1-1%)),20)))*D407</f>
        <v>1031409.2000000001</v>
      </c>
      <c r="G407" s="16">
        <f t="shared" ref="G407:G409" si="125">MAX(E407,_xlfn.CEILING.MATH(ROUNDUP(E407*C407*((1-10%)*(1-2%)*(1-1%)),20)))</f>
        <v>10273</v>
      </c>
      <c r="J407" t="str">
        <f>A414</f>
        <v>Sylramic Fibers</v>
      </c>
      <c r="K407" s="3">
        <f>G414+G423</f>
        <v>28246</v>
      </c>
      <c r="L407" s="3">
        <v>0</v>
      </c>
      <c r="M407" s="7">
        <f>((K407*'Ship Component Reqs'!$D$32)-L407)</f>
        <v>28246</v>
      </c>
      <c r="N407" s="4">
        <f>D417</f>
        <v>100.4</v>
      </c>
      <c r="O407" s="14">
        <f t="shared" si="123"/>
        <v>2835898.4000000004</v>
      </c>
      <c r="P407" t="s">
        <v>167</v>
      </c>
    </row>
    <row r="408" spans="1:16" x14ac:dyDescent="0.35">
      <c r="A408" t="s">
        <v>10</v>
      </c>
      <c r="C408">
        <v>6</v>
      </c>
      <c r="D408" s="38">
        <f>D232</f>
        <v>208.9</v>
      </c>
      <c r="E408">
        <f>E407</f>
        <v>692</v>
      </c>
      <c r="F408" s="13">
        <f t="shared" si="124"/>
        <v>757471.4</v>
      </c>
      <c r="G408" s="16">
        <f t="shared" si="125"/>
        <v>3626</v>
      </c>
      <c r="J408" t="str">
        <f>A419</f>
        <v>Hypersynaptic Fibers</v>
      </c>
      <c r="K408" s="3">
        <f>G419</f>
        <v>254</v>
      </c>
      <c r="L408" s="3">
        <v>0</v>
      </c>
      <c r="M408" s="7">
        <f>((K408*'Ship Component Reqs'!$D$32)-L408)</f>
        <v>254</v>
      </c>
      <c r="N408" s="4">
        <f>D418</f>
        <v>2760</v>
      </c>
      <c r="O408" s="14">
        <f t="shared" si="123"/>
        <v>701040</v>
      </c>
      <c r="P408" t="s">
        <v>167</v>
      </c>
    </row>
    <row r="409" spans="1:16" x14ac:dyDescent="0.35">
      <c r="A409" t="s">
        <v>164</v>
      </c>
      <c r="C409">
        <v>2</v>
      </c>
      <c r="D409" s="23">
        <f>D248</f>
        <v>2760</v>
      </c>
      <c r="E409">
        <f>E407</f>
        <v>692</v>
      </c>
      <c r="F409" s="13">
        <f t="shared" si="124"/>
        <v>3336840</v>
      </c>
      <c r="G409" s="16">
        <f t="shared" si="125"/>
        <v>1209</v>
      </c>
      <c r="J409" t="str">
        <f>A428</f>
        <v>Fermionic Condensates</v>
      </c>
      <c r="K409" s="3">
        <f>G428</f>
        <v>51</v>
      </c>
      <c r="L409" s="3">
        <v>0</v>
      </c>
      <c r="M409" s="7">
        <f>((K409*'Ship Component Reqs'!$D$32)-L409)</f>
        <v>51</v>
      </c>
      <c r="N409">
        <f>D422</f>
        <v>100.4</v>
      </c>
      <c r="O409" s="14">
        <f t="shared" si="123"/>
        <v>5120.4000000000005</v>
      </c>
      <c r="P409" t="s">
        <v>167</v>
      </c>
    </row>
    <row r="410" spans="1:16" ht="16" x14ac:dyDescent="0.5">
      <c r="A410" t="s">
        <v>184</v>
      </c>
      <c r="C410">
        <v>2</v>
      </c>
      <c r="D410" s="23">
        <f>Pricing!F17</f>
        <v>10830</v>
      </c>
      <c r="E410">
        <f>E408</f>
        <v>692</v>
      </c>
      <c r="F410" s="39">
        <f>MAX(E410,_xlfn.CEILING.MATH(ROUNDUP(E410*C410*((1-10%)*(1-2%)*(1-1%)),20)))*D410</f>
        <v>13093470</v>
      </c>
      <c r="G410" s="16">
        <f>MAX(E410,_xlfn.CEILING.MATH(ROUNDUP(E410*C410*((1-10%)*(1-2%)*(1-1%)),20)))</f>
        <v>1209</v>
      </c>
      <c r="J410" t="str">
        <f>A432</f>
        <v>Fullerides</v>
      </c>
      <c r="K410" s="3">
        <f>G432</f>
        <v>2776</v>
      </c>
      <c r="L410" s="3">
        <v>0</v>
      </c>
      <c r="M410" s="7">
        <f>((K410*'Ship Component Reqs'!$D$32)-L410)</f>
        <v>2776</v>
      </c>
      <c r="N410">
        <f>D424</f>
        <v>19380</v>
      </c>
      <c r="O410" s="12">
        <f>IF(M410&lt;0,0,M410*N410)</f>
        <v>53798880</v>
      </c>
    </row>
    <row r="411" spans="1:16" x14ac:dyDescent="0.35">
      <c r="E411" s="1" t="str">
        <f>A406</f>
        <v>Nanomechanical Microprocessor</v>
      </c>
      <c r="F411" s="4">
        <f>SUM(F407:F410)*1.03</f>
        <v>18765766.318000004</v>
      </c>
      <c r="G411" s="6"/>
      <c r="K411" s="11"/>
      <c r="O411" s="4">
        <f>SUM(O402:O410)</f>
        <v>61620770.700000003</v>
      </c>
    </row>
    <row r="412" spans="1:16" ht="16" x14ac:dyDescent="0.5">
      <c r="A412" t="s">
        <v>177</v>
      </c>
      <c r="G412" s="6"/>
      <c r="M412" s="7"/>
      <c r="O412" s="12"/>
    </row>
    <row r="413" spans="1:16" x14ac:dyDescent="0.35">
      <c r="A413" t="s">
        <v>183</v>
      </c>
      <c r="C413">
        <v>44</v>
      </c>
      <c r="D413" s="38">
        <f>D402</f>
        <v>100.4</v>
      </c>
      <c r="E413">
        <f>IF('Ship Component Reqs'!F124&lt;0,0,'Ship Component Reqs'!F124)</f>
        <v>2881</v>
      </c>
      <c r="F413" s="13">
        <f>MAX(E413,_xlfn.CEILING.MATH(ROUNDUP(E413*C413*((1-10%)*(1-2%)*(1-1%)),20)))*D413</f>
        <v>11113075.200000001</v>
      </c>
      <c r="G413" s="16">
        <f>MAX(E413,_xlfn.CEILING.MATH(ROUNDUP(E413*C413*((1-10%)*(1-2%)*(1-1%)),20)))</f>
        <v>110688</v>
      </c>
      <c r="K413" s="11"/>
      <c r="O413" s="4"/>
    </row>
    <row r="414" spans="1:16" ht="16" x14ac:dyDescent="0.5">
      <c r="A414" t="s">
        <v>12</v>
      </c>
      <c r="C414">
        <v>11</v>
      </c>
      <c r="D414" s="23">
        <f>D237</f>
        <v>950</v>
      </c>
      <c r="E414">
        <f>E413</f>
        <v>2881</v>
      </c>
      <c r="F414" s="39">
        <f>MAX(E414,_xlfn.CEILING.MATH(ROUNDUP(E414*C414*((1-10%)*(1-2%)*(1-1%)),20)))*D414</f>
        <v>26288400</v>
      </c>
      <c r="G414" s="16">
        <f>MAX(E414,_xlfn.CEILING.MATH(ROUNDUP(E414*C414*((1-10%)*(1-2%)*(1-1%)),20)))</f>
        <v>27672</v>
      </c>
    </row>
    <row r="415" spans="1:16" x14ac:dyDescent="0.35">
      <c r="E415" s="1" t="str">
        <f>A412</f>
        <v>Fernite Carbide Composite AP</v>
      </c>
      <c r="F415" s="4">
        <f>SUM(F413:F414)*1.03</f>
        <v>38523519.456000008</v>
      </c>
      <c r="G415" s="6"/>
    </row>
    <row r="416" spans="1:16" x14ac:dyDescent="0.35">
      <c r="A416" t="s">
        <v>178</v>
      </c>
      <c r="G416" s="6"/>
    </row>
    <row r="417" spans="1:7" x14ac:dyDescent="0.35">
      <c r="A417" t="s">
        <v>183</v>
      </c>
      <c r="C417">
        <v>22</v>
      </c>
      <c r="D417" s="2">
        <f>D413</f>
        <v>100.4</v>
      </c>
      <c r="E417">
        <f>IF('Ship Component Reqs'!F125&lt;0,0,'Ship Component Reqs'!F125)</f>
        <v>145</v>
      </c>
      <c r="F417" s="13">
        <f t="shared" ref="F417:F418" si="126">MAX(E417,_xlfn.CEILING.MATH(ROUNDUP(E417*C417*((1-10%)*(1-2%)*(1-1%)),20)))*D417</f>
        <v>279714.40000000002</v>
      </c>
      <c r="G417" s="16">
        <f t="shared" ref="G417:G418" si="127">MAX(E417,_xlfn.CEILING.MATH(ROUNDUP(E417*C417*((1-10%)*(1-2%)*(1-1%)),20)))</f>
        <v>2786</v>
      </c>
    </row>
    <row r="418" spans="1:7" x14ac:dyDescent="0.35">
      <c r="A418" t="s">
        <v>164</v>
      </c>
      <c r="C418">
        <v>1</v>
      </c>
      <c r="D418" s="2">
        <f>D409</f>
        <v>2760</v>
      </c>
      <c r="E418">
        <f>E417</f>
        <v>145</v>
      </c>
      <c r="F418" s="13">
        <f t="shared" si="126"/>
        <v>400200</v>
      </c>
      <c r="G418" s="16">
        <f t="shared" si="127"/>
        <v>145</v>
      </c>
    </row>
    <row r="419" spans="1:7" ht="16" x14ac:dyDescent="0.5">
      <c r="A419" t="s">
        <v>15</v>
      </c>
      <c r="C419">
        <v>2</v>
      </c>
      <c r="D419" s="23">
        <f>D243</f>
        <v>5067</v>
      </c>
      <c r="E419">
        <f>E417</f>
        <v>145</v>
      </c>
      <c r="F419" s="39">
        <f>MAX(E419,_xlfn.CEILING.MATH(ROUNDUP(E419*C419*((1-10%)*(1-2%)*(1-1%)),20)))*D419</f>
        <v>1287018</v>
      </c>
      <c r="G419" s="16">
        <f>MAX(E419,_xlfn.CEILING.MATH(ROUNDUP(E419*C419*((1-10%)*(1-2%)*(1-1%)),20)))</f>
        <v>254</v>
      </c>
    </row>
    <row r="420" spans="1:7" x14ac:dyDescent="0.35">
      <c r="E420" s="1" t="str">
        <f>A416</f>
        <v>Ladar Sensor Cluster</v>
      </c>
      <c r="F420" s="4">
        <f>SUM(F417:F419)*1.03</f>
        <v>2025940.372</v>
      </c>
      <c r="G420" s="6"/>
    </row>
    <row r="421" spans="1:7" x14ac:dyDescent="0.35">
      <c r="A421" t="s">
        <v>179</v>
      </c>
      <c r="G421" s="6"/>
    </row>
    <row r="422" spans="1:7" x14ac:dyDescent="0.35">
      <c r="A422" t="s">
        <v>183</v>
      </c>
      <c r="C422">
        <v>22</v>
      </c>
      <c r="D422" s="2">
        <f>D417</f>
        <v>100.4</v>
      </c>
      <c r="E422">
        <f>IF('Ship Component Reqs'!F126&lt;0,0,'Ship Component Reqs'!F126)</f>
        <v>73</v>
      </c>
      <c r="F422" s="13">
        <f t="shared" ref="F422:F423" si="128">MAX(E422,_xlfn.CEILING.MATH(ROUNDUP(E422*C422*((1-10%)*(1-2%)*(1-1%)),20)))*D422</f>
        <v>140861.20000000001</v>
      </c>
      <c r="G422" s="16">
        <f t="shared" ref="G422:G423" si="129">MAX(E422,_xlfn.CEILING.MATH(ROUNDUP(E422*C422*((1-10%)*(1-2%)*(1-1%)),20)))</f>
        <v>1403</v>
      </c>
    </row>
    <row r="423" spans="1:7" x14ac:dyDescent="0.35">
      <c r="A423" t="s">
        <v>12</v>
      </c>
      <c r="C423">
        <v>9</v>
      </c>
      <c r="D423" s="2">
        <f>D414</f>
        <v>950</v>
      </c>
      <c r="E423">
        <f>E422</f>
        <v>73</v>
      </c>
      <c r="F423" s="13">
        <f t="shared" si="128"/>
        <v>545300</v>
      </c>
      <c r="G423" s="16">
        <f t="shared" si="129"/>
        <v>574</v>
      </c>
    </row>
    <row r="424" spans="1:7" ht="16" x14ac:dyDescent="0.5">
      <c r="A424" t="s">
        <v>11</v>
      </c>
      <c r="C424">
        <v>1</v>
      </c>
      <c r="D424" s="2">
        <f>D404</f>
        <v>19380</v>
      </c>
      <c r="E424">
        <f>E422</f>
        <v>73</v>
      </c>
      <c r="F424" s="39">
        <f>MAX(E424,_xlfn.CEILING.MATH(ROUNDUP(E424*C424*((1-10%)*(1-2%)*(1-1%)),20)))*D424</f>
        <v>1414740</v>
      </c>
      <c r="G424" s="16">
        <f>MAX(E424,_xlfn.CEILING.MATH(ROUNDUP(E424*C424*((1-10%)*(1-2%)*(1-1%)),20)))</f>
        <v>73</v>
      </c>
    </row>
    <row r="425" spans="1:7" x14ac:dyDescent="0.35">
      <c r="E425" s="1" t="str">
        <f>A421</f>
        <v>Deflection Shield Emitter</v>
      </c>
      <c r="F425" s="4">
        <f>SUM(F422:F424)*1.03</f>
        <v>2163928.236</v>
      </c>
      <c r="G425" s="6"/>
    </row>
    <row r="426" spans="1:7" x14ac:dyDescent="0.35">
      <c r="A426" t="s">
        <v>180</v>
      </c>
      <c r="G426" s="6"/>
    </row>
    <row r="427" spans="1:7" x14ac:dyDescent="0.35">
      <c r="A427" t="s">
        <v>183</v>
      </c>
      <c r="C427">
        <v>9</v>
      </c>
      <c r="D427" s="2">
        <f>D422</f>
        <v>100.4</v>
      </c>
      <c r="E427">
        <f>IF('Ship Component Reqs'!F127&lt;0,0,'Ship Component Reqs'!F127)</f>
        <v>29</v>
      </c>
      <c r="F427" s="13">
        <f>MAX(E427,_xlfn.CEILING.MATH(ROUNDUP(E427*C427*((1-10%)*(1-2%)*(1-1%)),20)))*D427</f>
        <v>22891.200000000001</v>
      </c>
      <c r="G427" s="16">
        <f>MAX(E427,_xlfn.CEILING.MATH(ROUNDUP(E427*C427*((1-10%)*(1-2%)*(1-1%)),20)))</f>
        <v>228</v>
      </c>
    </row>
    <row r="428" spans="1:7" ht="16" x14ac:dyDescent="0.5">
      <c r="A428" t="s">
        <v>9</v>
      </c>
      <c r="C428">
        <v>2</v>
      </c>
      <c r="D428" s="23">
        <f>D228</f>
        <v>36700</v>
      </c>
      <c r="E428">
        <f>E427</f>
        <v>29</v>
      </c>
      <c r="F428" s="39">
        <f>MAX(E428,_xlfn.CEILING.MATH(ROUNDUP(E428*C428*((1-10%)*(1-2%)*(1-1%)),20)))*D428</f>
        <v>1871700</v>
      </c>
      <c r="G428" s="16">
        <f>MAX(E428,_xlfn.CEILING.MATH(ROUNDUP(E428*C428*((1-10%)*(1-2%)*(1-1%)),20)))</f>
        <v>51</v>
      </c>
    </row>
    <row r="429" spans="1:7" x14ac:dyDescent="0.35">
      <c r="E429" s="1" t="str">
        <f>A426</f>
        <v>Nuclear Reactor Unit</v>
      </c>
      <c r="F429" s="4">
        <f>SUM(F427:F428)*1.03</f>
        <v>1951428.936</v>
      </c>
      <c r="G429" s="6"/>
    </row>
    <row r="430" spans="1:7" x14ac:dyDescent="0.35">
      <c r="A430" t="s">
        <v>181</v>
      </c>
      <c r="G430" s="6"/>
    </row>
    <row r="431" spans="1:7" x14ac:dyDescent="0.35">
      <c r="A431" t="s">
        <v>183</v>
      </c>
      <c r="C431">
        <v>27</v>
      </c>
      <c r="D431" s="2">
        <f>D402</f>
        <v>100.4</v>
      </c>
      <c r="E431">
        <f>IF('Ship Component Reqs'!F128&lt;0,0,'Ship Component Reqs'!F128)</f>
        <v>289</v>
      </c>
      <c r="F431" s="13">
        <f t="shared" ref="F431:F433" si="130">MAX(E431,_xlfn.CEILING.MATH(ROUNDUP(E431*C431*((1-10%)*(1-2%)*(1-1%)),20)))*D431</f>
        <v>684125.60000000009</v>
      </c>
      <c r="G431" s="16">
        <f t="shared" ref="G431:G433" si="131">MAX(E431,_xlfn.CEILING.MATH(ROUNDUP(E431*C431*((1-10%)*(1-2%)*(1-1%)),20)))</f>
        <v>6814</v>
      </c>
    </row>
    <row r="432" spans="1:7" x14ac:dyDescent="0.35">
      <c r="A432" t="s">
        <v>16</v>
      </c>
      <c r="C432">
        <v>11</v>
      </c>
      <c r="D432" s="2">
        <f>D247</f>
        <v>502</v>
      </c>
      <c r="E432">
        <f>E431</f>
        <v>289</v>
      </c>
      <c r="F432" s="13">
        <f t="shared" si="130"/>
        <v>1393552</v>
      </c>
      <c r="G432" s="16">
        <f t="shared" si="131"/>
        <v>2776</v>
      </c>
    </row>
    <row r="433" spans="1:16" x14ac:dyDescent="0.35">
      <c r="A433" t="s">
        <v>164</v>
      </c>
      <c r="C433">
        <v>1</v>
      </c>
      <c r="D433" s="2">
        <f>D418</f>
        <v>2760</v>
      </c>
      <c r="E433">
        <f>E432</f>
        <v>289</v>
      </c>
      <c r="F433" s="13">
        <f t="shared" si="130"/>
        <v>797640</v>
      </c>
      <c r="G433" s="16">
        <f t="shared" si="131"/>
        <v>289</v>
      </c>
    </row>
    <row r="434" spans="1:16" ht="16" x14ac:dyDescent="0.5">
      <c r="A434" t="s">
        <v>184</v>
      </c>
      <c r="C434">
        <v>2</v>
      </c>
      <c r="D434" s="2">
        <f>D410</f>
        <v>10830</v>
      </c>
      <c r="E434">
        <f>E431</f>
        <v>289</v>
      </c>
      <c r="F434" s="39">
        <f>MAX(E434,_xlfn.CEILING.MATH(ROUNDUP(E434*C434*((1-10%)*(1-2%)*(1-1%)),20)))*D434</f>
        <v>5469150</v>
      </c>
      <c r="G434" s="16">
        <f>MAX(E434,_xlfn.CEILING.MATH(ROUNDUP(E434*C434*((1-10%)*(1-2%)*(1-1%)),20)))</f>
        <v>505</v>
      </c>
    </row>
    <row r="435" spans="1:16" x14ac:dyDescent="0.35">
      <c r="E435" s="1" t="str">
        <f>A430</f>
        <v>Electrolytic Capacitor Unit</v>
      </c>
      <c r="F435" s="4">
        <f>SUM(F431:F434)*1.03</f>
        <v>8594801.6280000005</v>
      </c>
    </row>
    <row r="436" spans="1:16" s="18" customFormat="1" x14ac:dyDescent="0.35">
      <c r="D436" s="31"/>
      <c r="E436" s="65"/>
      <c r="F436" s="64"/>
      <c r="K436" s="19"/>
      <c r="L436" s="19"/>
      <c r="M436" s="19"/>
    </row>
    <row r="437" spans="1:16" x14ac:dyDescent="0.35">
      <c r="A437" t="s">
        <v>302</v>
      </c>
    </row>
    <row r="438" spans="1:16" x14ac:dyDescent="0.35">
      <c r="A438" t="s">
        <v>175</v>
      </c>
      <c r="D438" s="2" t="s">
        <v>21</v>
      </c>
      <c r="E438" t="s">
        <v>19</v>
      </c>
      <c r="J438" t="s">
        <v>25</v>
      </c>
      <c r="K438" s="3" t="s">
        <v>30</v>
      </c>
      <c r="L438" s="3" t="s">
        <v>27</v>
      </c>
      <c r="M438" s="3" t="s">
        <v>35</v>
      </c>
      <c r="N438" t="s">
        <v>26</v>
      </c>
      <c r="O438" s="3" t="s">
        <v>34</v>
      </c>
    </row>
    <row r="439" spans="1:16" x14ac:dyDescent="0.35">
      <c r="A439" t="s">
        <v>183</v>
      </c>
      <c r="C439">
        <v>13</v>
      </c>
      <c r="D439" s="23">
        <f>D402</f>
        <v>100.4</v>
      </c>
      <c r="E439">
        <f>'Ship Component Reqs'!F137</f>
        <v>36</v>
      </c>
      <c r="F439" s="13">
        <f>MAX(E439,_xlfn.CEILING.MATH(ROUNDUP(E439*C439*((1-10%)*(1-2%)*(1-1%)),20)))*D439</f>
        <v>41063.600000000006</v>
      </c>
      <c r="G439" s="16">
        <f>MAX(E439,_xlfn.CEILING.MATH(ROUNDUP(E439*C439*((1-10%)*(1-2%)*(1-1%)),20)))</f>
        <v>409</v>
      </c>
      <c r="J439" t="str">
        <f>A439</f>
        <v>Fernite Carbide</v>
      </c>
      <c r="K439" s="3">
        <f>G439+G443+G448+G453+G458+G464+G470</f>
        <v>9308</v>
      </c>
      <c r="L439" s="3">
        <v>0</v>
      </c>
      <c r="M439" s="7">
        <f>((K439*'Ship Component Reqs'!$D$32)-L439)</f>
        <v>9308</v>
      </c>
      <c r="N439">
        <f>D439</f>
        <v>100.4</v>
      </c>
      <c r="O439" s="14">
        <f>IF(M439&lt;0,0,M439*N439)</f>
        <v>934523.20000000007</v>
      </c>
      <c r="P439" t="s">
        <v>167</v>
      </c>
    </row>
    <row r="440" spans="1:16" x14ac:dyDescent="0.35">
      <c r="A440" t="s">
        <v>10</v>
      </c>
      <c r="C440">
        <v>3</v>
      </c>
      <c r="D440" s="23">
        <f>D403</f>
        <v>950</v>
      </c>
      <c r="E440">
        <f>E439</f>
        <v>36</v>
      </c>
      <c r="F440" s="13">
        <f>MAX(E440,_xlfn.CEILING.MATH(ROUNDUP(E440*C440*((1-10%)*(1-2%)*(1-1%)),20)))*D440</f>
        <v>90250</v>
      </c>
      <c r="G440" s="16">
        <f>MAX(E440,_xlfn.CEILING.MATH(ROUNDUP(E440*C440*((1-10%)*(1-2%)*(1-1%)),20)))</f>
        <v>95</v>
      </c>
      <c r="J440" t="str">
        <f>A440</f>
        <v>Phenolic Composites</v>
      </c>
      <c r="K440" s="3">
        <f>G440+G445</f>
        <v>1919</v>
      </c>
      <c r="L440" s="3">
        <v>0</v>
      </c>
      <c r="M440" s="7">
        <f>((K440*'Ship Component Reqs'!$D$32)-L440)</f>
        <v>1919</v>
      </c>
      <c r="N440">
        <f>D440</f>
        <v>950</v>
      </c>
      <c r="O440" s="14">
        <f t="shared" ref="O440:O446" si="132">IF(M440&lt;0,0,M440*N440)</f>
        <v>1823050</v>
      </c>
      <c r="P440" t="s">
        <v>167</v>
      </c>
    </row>
    <row r="441" spans="1:16" ht="16" x14ac:dyDescent="0.5">
      <c r="A441" t="s">
        <v>11</v>
      </c>
      <c r="C441">
        <v>1</v>
      </c>
      <c r="D441" s="23">
        <f>D404</f>
        <v>19380</v>
      </c>
      <c r="E441">
        <f>E440</f>
        <v>36</v>
      </c>
      <c r="F441" s="39">
        <f>MAX(E441,_xlfn.CEILING.MATH(ROUNDUP(E441*C441*((1-10%)*(1-2%)*(1-1%)),20)))*D441</f>
        <v>697680</v>
      </c>
      <c r="G441" s="16">
        <f>MAX(E441,_xlfn.CEILING.MATH(ROUNDUP(E441*C441*((1-10%)*(1-2%)*(1-1%)),20)))</f>
        <v>36</v>
      </c>
      <c r="J441" t="str">
        <f>A441</f>
        <v>Ferrogel</v>
      </c>
      <c r="K441" s="3">
        <f>G441+G461</f>
        <v>820</v>
      </c>
      <c r="L441" s="3">
        <v>0</v>
      </c>
      <c r="M441" s="7">
        <f>((K441*'Ship Component Reqs'!$D$32)-L441)</f>
        <v>820</v>
      </c>
      <c r="N441" s="4">
        <f>D444</f>
        <v>100.4</v>
      </c>
      <c r="O441" s="14">
        <f t="shared" si="132"/>
        <v>82328</v>
      </c>
      <c r="P441" t="s">
        <v>167</v>
      </c>
    </row>
    <row r="442" spans="1:16" x14ac:dyDescent="0.35">
      <c r="E442" s="1" t="str">
        <f>A438</f>
        <v>Plasma Thruster</v>
      </c>
      <c r="F442" s="4">
        <f>SUM(F439:F441)*1.03</f>
        <v>853863.40800000005</v>
      </c>
      <c r="G442" s="6"/>
      <c r="J442" t="str">
        <f>A446</f>
        <v>Nanotransistors</v>
      </c>
      <c r="K442" s="3">
        <f>G446+G455+G470</f>
        <v>5972</v>
      </c>
      <c r="L442" s="3">
        <v>0</v>
      </c>
      <c r="M442" s="7">
        <f>((K442*'Ship Component Reqs'!$D$32)-L442)</f>
        <v>5972</v>
      </c>
      <c r="N442" s="4">
        <f>D445</f>
        <v>208.9</v>
      </c>
      <c r="O442" s="14">
        <f t="shared" si="132"/>
        <v>1247550.8</v>
      </c>
      <c r="P442" t="s">
        <v>167</v>
      </c>
    </row>
    <row r="443" spans="1:16" x14ac:dyDescent="0.35">
      <c r="A443" t="s">
        <v>176</v>
      </c>
      <c r="G443" s="6"/>
      <c r="J443" t="str">
        <f>A447</f>
        <v>Plasmonic MetaMaterials</v>
      </c>
      <c r="K443" s="3">
        <f>G447+G471</f>
        <v>6651</v>
      </c>
      <c r="L443" s="3">
        <v>0</v>
      </c>
      <c r="M443" s="7">
        <f>((K443*'Ship Component Reqs'!$D$32)-L443)</f>
        <v>6651</v>
      </c>
      <c r="N443">
        <f>D449</f>
        <v>0</v>
      </c>
      <c r="O443" s="14">
        <f t="shared" si="132"/>
        <v>0</v>
      </c>
      <c r="P443" t="s">
        <v>167</v>
      </c>
    </row>
    <row r="444" spans="1:16" x14ac:dyDescent="0.35">
      <c r="A444" t="s">
        <v>183</v>
      </c>
      <c r="C444">
        <v>17</v>
      </c>
      <c r="D444" s="38">
        <f>D439</f>
        <v>100.4</v>
      </c>
      <c r="E444">
        <f>'Ship Component Reqs'!F138</f>
        <v>348</v>
      </c>
      <c r="F444" s="13">
        <f t="shared" ref="F444:F446" si="133">MAX(E444,_xlfn.CEILING.MATH(ROUNDUP(E444*C444*((1-10%)*(1-2%)*(1-1%)),20)))*D444</f>
        <v>518666.4</v>
      </c>
      <c r="G444" s="16">
        <f t="shared" ref="G444:G446" si="134">MAX(E444,_xlfn.CEILING.MATH(ROUNDUP(E444*C444*((1-10%)*(1-2%)*(1-1%)),20)))</f>
        <v>5166</v>
      </c>
      <c r="J444" t="str">
        <f>A451</f>
        <v>Sylramic Fibers</v>
      </c>
      <c r="K444" s="3">
        <f>G451+G460</f>
        <v>7853</v>
      </c>
      <c r="L444" s="3">
        <v>0</v>
      </c>
      <c r="M444" s="7">
        <f>((K444*'Ship Component Reqs'!$D$32)-L444)</f>
        <v>7853</v>
      </c>
      <c r="N444" s="4">
        <f>D454</f>
        <v>100.4</v>
      </c>
      <c r="O444" s="14">
        <f t="shared" si="132"/>
        <v>788441.20000000007</v>
      </c>
      <c r="P444" t="s">
        <v>167</v>
      </c>
    </row>
    <row r="445" spans="1:16" x14ac:dyDescent="0.35">
      <c r="A445" t="s">
        <v>10</v>
      </c>
      <c r="C445">
        <v>6</v>
      </c>
      <c r="D445" s="38">
        <f>D269</f>
        <v>208.9</v>
      </c>
      <c r="E445">
        <f>E444</f>
        <v>348</v>
      </c>
      <c r="F445" s="13">
        <f t="shared" si="133"/>
        <v>381033.60000000003</v>
      </c>
      <c r="G445" s="16">
        <f t="shared" si="134"/>
        <v>1824</v>
      </c>
      <c r="J445" t="str">
        <f>A456</f>
        <v>Hypersynaptic Fibers</v>
      </c>
      <c r="K445" s="3">
        <f>G456</f>
        <v>3326</v>
      </c>
      <c r="L445" s="3">
        <v>0</v>
      </c>
      <c r="M445" s="7">
        <f>((K445*'Ship Component Reqs'!$D$32)-L445)</f>
        <v>3326</v>
      </c>
      <c r="N445" s="4">
        <f>D455</f>
        <v>2760</v>
      </c>
      <c r="O445" s="14">
        <f t="shared" si="132"/>
        <v>9179760</v>
      </c>
      <c r="P445" t="s">
        <v>167</v>
      </c>
    </row>
    <row r="446" spans="1:16" x14ac:dyDescent="0.35">
      <c r="A446" t="s">
        <v>164</v>
      </c>
      <c r="C446">
        <v>2</v>
      </c>
      <c r="D446" s="23">
        <f>D409</f>
        <v>2760</v>
      </c>
      <c r="E446">
        <f>E444</f>
        <v>348</v>
      </c>
      <c r="F446" s="13">
        <f t="shared" si="133"/>
        <v>1678080</v>
      </c>
      <c r="G446" s="16">
        <f t="shared" si="134"/>
        <v>608</v>
      </c>
      <c r="J446" t="str">
        <f>A465</f>
        <v>Fermionic Condensates</v>
      </c>
      <c r="K446" s="3">
        <f>G465</f>
        <v>1209</v>
      </c>
      <c r="L446" s="3">
        <v>0</v>
      </c>
      <c r="M446" s="7">
        <f>((K446*'Ship Component Reqs'!$D$32)-L446)</f>
        <v>1209</v>
      </c>
      <c r="N446">
        <f>D459</f>
        <v>100.4</v>
      </c>
      <c r="O446" s="14">
        <f t="shared" si="132"/>
        <v>121383.6</v>
      </c>
      <c r="P446" t="s">
        <v>167</v>
      </c>
    </row>
    <row r="447" spans="1:16" ht="16" x14ac:dyDescent="0.5">
      <c r="A447" t="s">
        <v>184</v>
      </c>
      <c r="C447">
        <v>2</v>
      </c>
      <c r="D447" s="23">
        <f>D410</f>
        <v>10830</v>
      </c>
      <c r="E447">
        <f>E445</f>
        <v>348</v>
      </c>
      <c r="F447" s="39">
        <f>MAX(E447,_xlfn.CEILING.MATH(ROUNDUP(E447*C447*((1-10%)*(1-2%)*(1-1%)),20)))*D447</f>
        <v>6584640</v>
      </c>
      <c r="G447" s="16">
        <f>MAX(E447,_xlfn.CEILING.MATH(ROUNDUP(E447*C447*((1-10%)*(1-2%)*(1-1%)),20)))</f>
        <v>608</v>
      </c>
      <c r="J447" t="str">
        <f>A469</f>
        <v>Fullerides</v>
      </c>
      <c r="K447" s="3">
        <f>G469</f>
        <v>33234</v>
      </c>
      <c r="L447" s="3">
        <v>0</v>
      </c>
      <c r="M447" s="7">
        <f>((K447*'Ship Component Reqs'!$D$32)-L447)</f>
        <v>33234</v>
      </c>
      <c r="N447">
        <f>D461</f>
        <v>19380</v>
      </c>
      <c r="O447" s="12">
        <f>IF(M447&lt;0,0,M447*N447)</f>
        <v>644074920</v>
      </c>
    </row>
    <row r="448" spans="1:16" x14ac:dyDescent="0.35">
      <c r="E448" s="1" t="str">
        <f>A443</f>
        <v>Nanomechanical Microprocessor</v>
      </c>
      <c r="F448" s="4">
        <f>SUM(F444:F447)*1.03</f>
        <v>9437292.5999999996</v>
      </c>
      <c r="G448" s="6"/>
      <c r="K448" s="11"/>
      <c r="O448" s="4">
        <f>SUM(O439:O447)</f>
        <v>658251956.79999995</v>
      </c>
    </row>
    <row r="449" spans="1:15" ht="16" x14ac:dyDescent="0.5">
      <c r="A449" t="s">
        <v>177</v>
      </c>
      <c r="G449" s="6"/>
      <c r="M449" s="7"/>
      <c r="O449" s="12"/>
    </row>
    <row r="450" spans="1:15" x14ac:dyDescent="0.35">
      <c r="A450" t="s">
        <v>183</v>
      </c>
      <c r="C450">
        <v>44</v>
      </c>
      <c r="D450" s="38">
        <f>D439</f>
        <v>100.4</v>
      </c>
      <c r="E450">
        <f>'Ship Component Reqs'!F139</f>
        <v>176</v>
      </c>
      <c r="F450" s="13">
        <f>MAX(E450,_xlfn.CEILING.MATH(ROUNDUP(E450*C450*((1-10%)*(1-2%)*(1-1%)),20)))*D450</f>
        <v>678904.8</v>
      </c>
      <c r="G450" s="16">
        <f>MAX(E450,_xlfn.CEILING.MATH(ROUNDUP(E450*C450*((1-10%)*(1-2%)*(1-1%)),20)))</f>
        <v>6762</v>
      </c>
      <c r="K450" s="11"/>
      <c r="O450" s="4"/>
    </row>
    <row r="451" spans="1:15" ht="16" x14ac:dyDescent="0.5">
      <c r="A451" t="s">
        <v>12</v>
      </c>
      <c r="C451">
        <v>11</v>
      </c>
      <c r="D451" s="23">
        <f>D414</f>
        <v>950</v>
      </c>
      <c r="E451">
        <f>E450</f>
        <v>176</v>
      </c>
      <c r="F451" s="39">
        <f>MAX(E451,_xlfn.CEILING.MATH(ROUNDUP(E451*C451*((1-10%)*(1-2%)*(1-1%)),20)))*D451</f>
        <v>1606450</v>
      </c>
      <c r="G451" s="16">
        <f>MAX(E451,_xlfn.CEILING.MATH(ROUNDUP(E451*C451*((1-10%)*(1-2%)*(1-1%)),20)))</f>
        <v>1691</v>
      </c>
    </row>
    <row r="452" spans="1:15" x14ac:dyDescent="0.35">
      <c r="E452" s="1" t="str">
        <f>A449</f>
        <v>Fernite Carbide Composite AP</v>
      </c>
      <c r="F452" s="4">
        <f>SUM(F450:F451)*1.03</f>
        <v>2353915.4439999997</v>
      </c>
      <c r="G452" s="6"/>
    </row>
    <row r="453" spans="1:15" x14ac:dyDescent="0.35">
      <c r="A453" t="s">
        <v>178</v>
      </c>
      <c r="G453" s="6"/>
    </row>
    <row r="454" spans="1:15" x14ac:dyDescent="0.35">
      <c r="A454" t="s">
        <v>183</v>
      </c>
      <c r="C454">
        <v>22</v>
      </c>
      <c r="D454" s="2">
        <f>D450</f>
        <v>100.4</v>
      </c>
      <c r="E454">
        <f>'Ship Component Reqs'!F140</f>
        <v>1904</v>
      </c>
      <c r="F454" s="13">
        <f t="shared" ref="F454:F455" si="135">MAX(E454,_xlfn.CEILING.MATH(ROUNDUP(E454*C454*((1-10%)*(1-2%)*(1-1%)),20)))*D454</f>
        <v>3672230.4000000004</v>
      </c>
      <c r="G454" s="16">
        <f t="shared" ref="G454:G455" si="136">MAX(E454,_xlfn.CEILING.MATH(ROUNDUP(E454*C454*((1-10%)*(1-2%)*(1-1%)),20)))</f>
        <v>36576</v>
      </c>
    </row>
    <row r="455" spans="1:15" x14ac:dyDescent="0.35">
      <c r="A455" t="s">
        <v>164</v>
      </c>
      <c r="C455">
        <v>1</v>
      </c>
      <c r="D455" s="2">
        <f>D446</f>
        <v>2760</v>
      </c>
      <c r="E455">
        <f>E454</f>
        <v>1904</v>
      </c>
      <c r="F455" s="13">
        <f t="shared" si="135"/>
        <v>5255040</v>
      </c>
      <c r="G455" s="16">
        <f t="shared" si="136"/>
        <v>1904</v>
      </c>
    </row>
    <row r="456" spans="1:15" ht="16" x14ac:dyDescent="0.5">
      <c r="A456" t="s">
        <v>15</v>
      </c>
      <c r="C456">
        <v>2</v>
      </c>
      <c r="D456" s="23">
        <f>D419</f>
        <v>5067</v>
      </c>
      <c r="E456">
        <f>E454</f>
        <v>1904</v>
      </c>
      <c r="F456" s="39">
        <f>MAX(E456,_xlfn.CEILING.MATH(ROUNDUP(E456*C456*((1-10%)*(1-2%)*(1-1%)),20)))*D456</f>
        <v>16852842</v>
      </c>
      <c r="G456" s="16">
        <f>MAX(E456,_xlfn.CEILING.MATH(ROUNDUP(E456*C456*((1-10%)*(1-2%)*(1-1%)),20)))</f>
        <v>3326</v>
      </c>
    </row>
    <row r="457" spans="1:15" x14ac:dyDescent="0.35">
      <c r="E457" s="1" t="str">
        <f>A453</f>
        <v>Ladar Sensor Cluster</v>
      </c>
      <c r="F457" s="4">
        <f>SUM(F454:F456)*1.03</f>
        <v>26553515.772</v>
      </c>
      <c r="G457" s="6"/>
    </row>
    <row r="458" spans="1:15" x14ac:dyDescent="0.35">
      <c r="A458" t="s">
        <v>179</v>
      </c>
      <c r="G458" s="6"/>
    </row>
    <row r="459" spans="1:15" x14ac:dyDescent="0.35">
      <c r="A459" t="s">
        <v>183</v>
      </c>
      <c r="C459">
        <v>22</v>
      </c>
      <c r="D459" s="2">
        <f>D454</f>
        <v>100.4</v>
      </c>
      <c r="E459">
        <f>'Ship Component Reqs'!F141</f>
        <v>784</v>
      </c>
      <c r="F459" s="13">
        <f t="shared" ref="F459:F460" si="137">MAX(E459,_xlfn.CEILING.MATH(ROUNDUP(E459*C459*((1-10%)*(1-2%)*(1-1%)),20)))*D459</f>
        <v>1512124.4000000001</v>
      </c>
      <c r="G459" s="16">
        <f t="shared" ref="G459:G460" si="138">MAX(E459,_xlfn.CEILING.MATH(ROUNDUP(E459*C459*((1-10%)*(1-2%)*(1-1%)),20)))</f>
        <v>15061</v>
      </c>
    </row>
    <row r="460" spans="1:15" x14ac:dyDescent="0.35">
      <c r="A460" t="s">
        <v>12</v>
      </c>
      <c r="C460">
        <v>9</v>
      </c>
      <c r="D460" s="2">
        <f>D451</f>
        <v>950</v>
      </c>
      <c r="E460">
        <f>E459</f>
        <v>784</v>
      </c>
      <c r="F460" s="13">
        <f t="shared" si="137"/>
        <v>5853900</v>
      </c>
      <c r="G460" s="16">
        <f t="shared" si="138"/>
        <v>6162</v>
      </c>
    </row>
    <row r="461" spans="1:15" ht="16" x14ac:dyDescent="0.5">
      <c r="A461" t="s">
        <v>11</v>
      </c>
      <c r="C461">
        <v>1</v>
      </c>
      <c r="D461" s="2">
        <f>D441</f>
        <v>19380</v>
      </c>
      <c r="E461">
        <f>E459</f>
        <v>784</v>
      </c>
      <c r="F461" s="39">
        <f>MAX(E461,_xlfn.CEILING.MATH(ROUNDUP(E461*C461*((1-10%)*(1-2%)*(1-1%)),20)))*D461</f>
        <v>15193920</v>
      </c>
      <c r="G461" s="16">
        <f>MAX(E461,_xlfn.CEILING.MATH(ROUNDUP(E461*C461*((1-10%)*(1-2%)*(1-1%)),20)))</f>
        <v>784</v>
      </c>
    </row>
    <row r="462" spans="1:15" x14ac:dyDescent="0.35">
      <c r="E462" s="1" t="str">
        <f>A458</f>
        <v>Deflection Shield Emitter</v>
      </c>
      <c r="F462" s="4">
        <f>SUM(F459:F461)*1.03</f>
        <v>23236742.732000001</v>
      </c>
      <c r="G462" s="6"/>
    </row>
    <row r="463" spans="1:15" x14ac:dyDescent="0.35">
      <c r="A463" t="s">
        <v>180</v>
      </c>
      <c r="G463" s="6"/>
    </row>
    <row r="464" spans="1:15" x14ac:dyDescent="0.35">
      <c r="A464" t="s">
        <v>183</v>
      </c>
      <c r="C464">
        <v>9</v>
      </c>
      <c r="D464" s="2">
        <f>D459</f>
        <v>100.4</v>
      </c>
      <c r="E464">
        <f>'Ship Component Reqs'!F142</f>
        <v>692</v>
      </c>
      <c r="F464" s="13">
        <f>MAX(E464,_xlfn.CEILING.MATH(ROUNDUP(E464*C464*((1-10%)*(1-2%)*(1-1%)),20)))*D464</f>
        <v>546075.6</v>
      </c>
      <c r="G464" s="16">
        <f>MAX(E464,_xlfn.CEILING.MATH(ROUNDUP(E464*C464*((1-10%)*(1-2%)*(1-1%)),20)))</f>
        <v>5439</v>
      </c>
    </row>
    <row r="465" spans="1:15" ht="16" x14ac:dyDescent="0.5">
      <c r="A465" t="s">
        <v>9</v>
      </c>
      <c r="C465">
        <v>2</v>
      </c>
      <c r="D465" s="23">
        <f>D428</f>
        <v>36700</v>
      </c>
      <c r="E465">
        <f>E464</f>
        <v>692</v>
      </c>
      <c r="F465" s="39">
        <f>MAX(E465,_xlfn.CEILING.MATH(ROUNDUP(E465*C465*((1-10%)*(1-2%)*(1-1%)),20)))*D465</f>
        <v>44370300</v>
      </c>
      <c r="G465" s="16">
        <f>MAX(E465,_xlfn.CEILING.MATH(ROUNDUP(E465*C465*((1-10%)*(1-2%)*(1-1%)),20)))</f>
        <v>1209</v>
      </c>
    </row>
    <row r="466" spans="1:15" x14ac:dyDescent="0.35">
      <c r="E466" s="1" t="str">
        <f>A463</f>
        <v>Nuclear Reactor Unit</v>
      </c>
      <c r="F466" s="4">
        <f>SUM(F464:F465)*1.03</f>
        <v>46263866.868000001</v>
      </c>
      <c r="G466" s="6"/>
    </row>
    <row r="467" spans="1:15" x14ac:dyDescent="0.35">
      <c r="A467" t="s">
        <v>181</v>
      </c>
      <c r="G467" s="6"/>
    </row>
    <row r="468" spans="1:15" x14ac:dyDescent="0.35">
      <c r="A468" t="s">
        <v>183</v>
      </c>
      <c r="C468">
        <v>27</v>
      </c>
      <c r="D468" s="2">
        <f>D439</f>
        <v>100.4</v>
      </c>
      <c r="E468">
        <f>'Ship Component Reqs'!F143</f>
        <v>3460</v>
      </c>
      <c r="F468" s="13">
        <f t="shared" ref="F468:F470" si="139">MAX(E468,_xlfn.CEILING.MATH(ROUNDUP(E468*C468*((1-10%)*(1-2%)*(1-1%)),20)))*D468</f>
        <v>8189929.2000000002</v>
      </c>
      <c r="G468" s="16">
        <f t="shared" ref="G468:G470" si="140">MAX(E468,_xlfn.CEILING.MATH(ROUNDUP(E468*C468*((1-10%)*(1-2%)*(1-1%)),20)))</f>
        <v>81573</v>
      </c>
    </row>
    <row r="469" spans="1:15" x14ac:dyDescent="0.35">
      <c r="A469" t="s">
        <v>16</v>
      </c>
      <c r="C469">
        <v>11</v>
      </c>
      <c r="D469" s="2">
        <f>D284</f>
        <v>502</v>
      </c>
      <c r="E469">
        <f>E468</f>
        <v>3460</v>
      </c>
      <c r="F469" s="13">
        <f t="shared" si="139"/>
        <v>16683468</v>
      </c>
      <c r="G469" s="16">
        <f t="shared" si="140"/>
        <v>33234</v>
      </c>
    </row>
    <row r="470" spans="1:15" x14ac:dyDescent="0.35">
      <c r="A470" t="s">
        <v>164</v>
      </c>
      <c r="C470">
        <v>1</v>
      </c>
      <c r="D470" s="2">
        <f>D455</f>
        <v>2760</v>
      </c>
      <c r="E470">
        <f>E469</f>
        <v>3460</v>
      </c>
      <c r="F470" s="13">
        <f t="shared" si="139"/>
        <v>9549600</v>
      </c>
      <c r="G470" s="16">
        <f t="shared" si="140"/>
        <v>3460</v>
      </c>
    </row>
    <row r="471" spans="1:15" ht="16" x14ac:dyDescent="0.5">
      <c r="A471" t="s">
        <v>184</v>
      </c>
      <c r="C471">
        <v>2</v>
      </c>
      <c r="D471" s="2">
        <f>D447</f>
        <v>10830</v>
      </c>
      <c r="E471">
        <f>E468</f>
        <v>3460</v>
      </c>
      <c r="F471" s="39">
        <f>MAX(E471,_xlfn.CEILING.MATH(ROUNDUP(E471*C471*((1-10%)*(1-2%)*(1-1%)),20)))*D471</f>
        <v>65445690</v>
      </c>
      <c r="G471" s="16">
        <f>MAX(E471,_xlfn.CEILING.MATH(ROUNDUP(E471*C471*((1-10%)*(1-2%)*(1-1%)),20)))</f>
        <v>6043</v>
      </c>
    </row>
    <row r="472" spans="1:15" x14ac:dyDescent="0.35">
      <c r="E472" s="1" t="str">
        <f>A467</f>
        <v>Electrolytic Capacitor Unit</v>
      </c>
      <c r="F472" s="4">
        <f>SUM(F468:F471)*1.03</f>
        <v>102864747.816</v>
      </c>
    </row>
    <row r="473" spans="1:15" s="18" customFormat="1" x14ac:dyDescent="0.35">
      <c r="D473" s="31"/>
      <c r="K473" s="19"/>
      <c r="L473" s="19"/>
      <c r="M473" s="19"/>
    </row>
    <row r="474" spans="1:15" x14ac:dyDescent="0.35">
      <c r="A474" t="s">
        <v>238</v>
      </c>
    </row>
    <row r="475" spans="1:15" x14ac:dyDescent="0.35">
      <c r="A475" t="s">
        <v>247</v>
      </c>
      <c r="D475" s="2" t="s">
        <v>21</v>
      </c>
      <c r="E475" t="s">
        <v>19</v>
      </c>
      <c r="J475" t="s">
        <v>25</v>
      </c>
      <c r="K475" s="3" t="s">
        <v>30</v>
      </c>
      <c r="L475" s="3" t="s">
        <v>27</v>
      </c>
      <c r="M475" s="3" t="s">
        <v>35</v>
      </c>
      <c r="N475" t="s">
        <v>26</v>
      </c>
      <c r="O475" s="3" t="s">
        <v>34</v>
      </c>
    </row>
    <row r="476" spans="1:15" x14ac:dyDescent="0.35">
      <c r="A476" s="6" t="s">
        <v>241</v>
      </c>
      <c r="C476">
        <v>44</v>
      </c>
      <c r="D476" s="23">
        <f>Pricing!F21</f>
        <v>104</v>
      </c>
      <c r="E476">
        <f>'Ship Component Reqs'!F152</f>
        <v>3076</v>
      </c>
      <c r="F476" s="13">
        <f t="shared" ref="F476" si="141">MAX(E476,_xlfn.CEILING.MATH(ROUNDUP(E476*C476*((1-10%)*(1-2%)*(1-1%)),20)))*D476</f>
        <v>12290720</v>
      </c>
      <c r="G476" s="16">
        <f t="shared" ref="G476" si="142">MAX(E476,_xlfn.CEILING.MATH(ROUNDUP(E476*C476*((1-10%)*(1-2%)*(1-1%)),20)))</f>
        <v>118180</v>
      </c>
      <c r="J476" t="str">
        <f>A476</f>
        <v>Crystalline Carbonide</v>
      </c>
      <c r="K476" s="3">
        <f>G476+G480+G484+G489+G494+G500+G506</f>
        <v>186837</v>
      </c>
      <c r="L476" s="3">
        <v>9258</v>
      </c>
      <c r="M476" s="7">
        <f>((K476*'Ship Component Reqs'!$D$32)-L476)</f>
        <v>177579</v>
      </c>
      <c r="N476" s="4">
        <f>D476</f>
        <v>104</v>
      </c>
      <c r="O476" s="14">
        <f>IF(M476&lt;0,0,M476*N476)</f>
        <v>18468216</v>
      </c>
    </row>
    <row r="477" spans="1:15" ht="16" x14ac:dyDescent="0.5">
      <c r="A477" t="s">
        <v>12</v>
      </c>
      <c r="C477">
        <v>11</v>
      </c>
      <c r="D477" s="23">
        <f>Pricing!F29</f>
        <v>208.9</v>
      </c>
      <c r="E477">
        <f>E476</f>
        <v>3076</v>
      </c>
      <c r="F477" s="39">
        <f>MAX(E477,_xlfn.CEILING.MATH(ROUNDUP(E477*C477*((1-10%)*(1-2%)*(1-1%)),20)))*D477</f>
        <v>6171950.5</v>
      </c>
      <c r="G477" s="16">
        <f>MAX(E477,_xlfn.CEILING.MATH(ROUNDUP(E477*C477*((1-10%)*(1-2%)*(1-1%)),20)))</f>
        <v>29545</v>
      </c>
      <c r="J477" t="str">
        <f>A477</f>
        <v>Sylramic Fibers</v>
      </c>
      <c r="K477" s="3">
        <f>+G477+G507</f>
        <v>32217</v>
      </c>
      <c r="L477" s="3">
        <v>1598</v>
      </c>
      <c r="M477" s="7">
        <f>((K477*'Ship Component Reqs'!$D$32)-L477)</f>
        <v>30619</v>
      </c>
      <c r="N477" s="4">
        <f>D477</f>
        <v>208.9</v>
      </c>
      <c r="O477" s="14">
        <f t="shared" ref="O477:O483" si="143">IF(M477&lt;0,0,M477*N477)</f>
        <v>6396309.1000000006</v>
      </c>
    </row>
    <row r="478" spans="1:15" x14ac:dyDescent="0.35">
      <c r="D478" s="38"/>
      <c r="E478" s="1" t="str">
        <f>A475</f>
        <v>Crystalline Carbonide Armor Plate</v>
      </c>
      <c r="F478" s="4">
        <f>SUM(F476:F477)*1.03</f>
        <v>19016550.615000002</v>
      </c>
      <c r="G478" s="16"/>
      <c r="J478" t="str">
        <f>A481</f>
        <v>Fermionic Condensates</v>
      </c>
      <c r="K478" s="3">
        <f>+G481</f>
        <v>84</v>
      </c>
      <c r="L478" s="3">
        <v>4</v>
      </c>
      <c r="M478" s="7">
        <f>((K478*'Ship Component Reqs'!$D$32)-L478)</f>
        <v>80</v>
      </c>
      <c r="N478" s="4">
        <f>D481</f>
        <v>36700</v>
      </c>
      <c r="O478" s="14">
        <f t="shared" si="143"/>
        <v>2936000</v>
      </c>
    </row>
    <row r="479" spans="1:15" x14ac:dyDescent="0.35">
      <c r="A479" t="s">
        <v>242</v>
      </c>
      <c r="G479" s="6"/>
      <c r="J479" t="str">
        <f>A485</f>
        <v>Phenolic Composites</v>
      </c>
      <c r="K479" s="3">
        <f>+G501+G485</f>
        <v>14440</v>
      </c>
      <c r="L479" s="3">
        <v>0</v>
      </c>
      <c r="M479" s="7">
        <f>((K479*'Ship Component Reqs'!$D$32)-L479)</f>
        <v>14440</v>
      </c>
      <c r="N479" s="4">
        <f>D485</f>
        <v>950</v>
      </c>
      <c r="O479" s="14">
        <f t="shared" si="143"/>
        <v>13718000</v>
      </c>
    </row>
    <row r="480" spans="1:15" x14ac:dyDescent="0.35">
      <c r="A480" s="6" t="s">
        <v>241</v>
      </c>
      <c r="C480">
        <v>9</v>
      </c>
      <c r="D480" s="23">
        <f>D476</f>
        <v>104</v>
      </c>
      <c r="E480">
        <f>'Ship Component Reqs'!F153</f>
        <v>48</v>
      </c>
      <c r="F480" s="13">
        <f t="shared" ref="F480" si="144">MAX(E480,_xlfn.CEILING.MATH(ROUNDUP(E480*C480*((1-10%)*(1-2%)*(1-1%)),20)))*D480</f>
        <v>39312</v>
      </c>
      <c r="G480" s="16">
        <f t="shared" ref="G480" si="145">MAX(E480,_xlfn.CEILING.MATH(ROUNDUP(E480*C480*((1-10%)*(1-2%)*(1-1%)),20)))</f>
        <v>378</v>
      </c>
      <c r="J480" t="str">
        <f>A486</f>
        <v>Ferrogel</v>
      </c>
      <c r="K480" s="3">
        <f>G486+G508</f>
        <v>620</v>
      </c>
      <c r="L480" s="3">
        <v>0</v>
      </c>
      <c r="M480" s="7">
        <f>((K480*'Ship Component Reqs'!$D$32)-L480)</f>
        <v>620</v>
      </c>
      <c r="N480" s="4">
        <f>D486</f>
        <v>19380</v>
      </c>
      <c r="O480" s="14">
        <f t="shared" si="143"/>
        <v>12015600</v>
      </c>
    </row>
    <row r="481" spans="1:15" ht="16" x14ac:dyDescent="0.5">
      <c r="A481" t="s">
        <v>9</v>
      </c>
      <c r="C481">
        <v>2</v>
      </c>
      <c r="D481" s="23">
        <f>Pricing!F26</f>
        <v>36700</v>
      </c>
      <c r="E481">
        <f>E480</f>
        <v>48</v>
      </c>
      <c r="F481" s="39">
        <f>MAX(E481,_xlfn.CEILING.MATH(ROUNDUP(E481*C481*((1-10%)*(1-2%)*(1-1%)),20)))*D481</f>
        <v>3082800</v>
      </c>
      <c r="G481" s="16">
        <f>MAX(E481,_xlfn.CEILING.MATH(ROUNDUP(E481*C481*((1-10%)*(1-2%)*(1-1%)),20)))</f>
        <v>84</v>
      </c>
      <c r="J481" t="str">
        <f>A490</f>
        <v>Nanotransistors</v>
      </c>
      <c r="K481" s="3">
        <f>G490+G496+G502</f>
        <v>5449</v>
      </c>
      <c r="L481" s="3">
        <v>4817</v>
      </c>
      <c r="M481" s="7">
        <f>((K481*'Ship Component Reqs'!$D$32)-L481)</f>
        <v>632</v>
      </c>
      <c r="N481" s="4">
        <f>D490</f>
        <v>2760</v>
      </c>
      <c r="O481" s="14">
        <f t="shared" si="143"/>
        <v>1744320</v>
      </c>
    </row>
    <row r="482" spans="1:15" x14ac:dyDescent="0.35">
      <c r="D482" s="38"/>
      <c r="E482" s="1" t="str">
        <f>A479</f>
        <v>Fusion Reactor Unit</v>
      </c>
      <c r="F482" s="4">
        <f>SUM(F480:F481)*1.03</f>
        <v>3215775.36</v>
      </c>
      <c r="G482" s="16"/>
      <c r="J482" t="str">
        <f>A491</f>
        <v>Hypersynaptic Fibers</v>
      </c>
      <c r="K482" s="3">
        <f>G491</f>
        <v>406</v>
      </c>
      <c r="L482" s="3">
        <v>0</v>
      </c>
      <c r="M482" s="7">
        <f>((K482*'Ship Component Reqs'!$D$32)-L482)</f>
        <v>406</v>
      </c>
      <c r="N482" s="4">
        <f>D491</f>
        <v>5067</v>
      </c>
      <c r="O482" s="14">
        <f t="shared" si="143"/>
        <v>2057202</v>
      </c>
    </row>
    <row r="483" spans="1:15" x14ac:dyDescent="0.35">
      <c r="A483" t="s">
        <v>240</v>
      </c>
      <c r="G483" s="6"/>
      <c r="J483" t="str">
        <f>A495</f>
        <v>Fullerides</v>
      </c>
      <c r="K483" s="3">
        <f>G495</f>
        <v>6225</v>
      </c>
      <c r="L483" s="3">
        <v>0</v>
      </c>
      <c r="M483" s="7">
        <f>((K483*'Ship Component Reqs'!$D$32)-L483)</f>
        <v>6225</v>
      </c>
      <c r="N483" s="4">
        <f>D495</f>
        <v>502</v>
      </c>
      <c r="O483" s="14">
        <f t="shared" si="143"/>
        <v>3124950</v>
      </c>
    </row>
    <row r="484" spans="1:15" ht="16" x14ac:dyDescent="0.5">
      <c r="A484" s="6" t="s">
        <v>241</v>
      </c>
      <c r="C484">
        <v>13</v>
      </c>
      <c r="D484" s="23">
        <f>D476</f>
        <v>104</v>
      </c>
      <c r="E484">
        <f>'Ship Component Reqs'!F154</f>
        <v>280</v>
      </c>
      <c r="F484" s="13">
        <f t="shared" ref="F484:F485" si="146">MAX(E484,_xlfn.CEILING.MATH(ROUNDUP(E484*C484*((1-10%)*(1-2%)*(1-1%)),20)))*D484</f>
        <v>330616</v>
      </c>
      <c r="G484" s="16">
        <f t="shared" ref="G484:G485" si="147">MAX(E484,_xlfn.CEILING.MATH(ROUNDUP(E484*C484*((1-10%)*(1-2%)*(1-1%)),20)))</f>
        <v>3179</v>
      </c>
      <c r="J484" t="str">
        <f>A497</f>
        <v>Photonic Metamaterials</v>
      </c>
      <c r="K484" s="3">
        <f>G497+G503</f>
        <v>5701</v>
      </c>
      <c r="L484" s="3">
        <v>0</v>
      </c>
      <c r="M484" s="7">
        <f>((K484*'Ship Component Reqs'!$D$32)-L484)</f>
        <v>5701</v>
      </c>
      <c r="N484" s="4">
        <f>D497</f>
        <v>7145</v>
      </c>
      <c r="O484" s="12">
        <f>IF(M484&lt;0,0,M484*N484)</f>
        <v>40733645</v>
      </c>
    </row>
    <row r="485" spans="1:15" x14ac:dyDescent="0.35">
      <c r="A485" t="s">
        <v>10</v>
      </c>
      <c r="C485">
        <v>3</v>
      </c>
      <c r="D485" s="23">
        <f>Pricing!F27</f>
        <v>950</v>
      </c>
      <c r="E485">
        <f>E484</f>
        <v>280</v>
      </c>
      <c r="F485" s="13">
        <f t="shared" si="146"/>
        <v>697300</v>
      </c>
      <c r="G485" s="16">
        <f t="shared" si="147"/>
        <v>734</v>
      </c>
      <c r="K485" s="11"/>
      <c r="O485" s="4">
        <f>SUM(O476:O484)</f>
        <v>101194242.09999999</v>
      </c>
    </row>
    <row r="486" spans="1:15" ht="16" x14ac:dyDescent="0.5">
      <c r="A486" t="s">
        <v>11</v>
      </c>
      <c r="C486">
        <v>1</v>
      </c>
      <c r="D486" s="23">
        <f>Pricing!F28</f>
        <v>19380</v>
      </c>
      <c r="E486">
        <f>E485</f>
        <v>280</v>
      </c>
      <c r="F486" s="39">
        <f>MAX(E486,_xlfn.CEILING.MATH(ROUNDUP(E486*C486*((1-10%)*(1-2%)*(1-1%)),20)))*D486</f>
        <v>5426400</v>
      </c>
      <c r="G486" s="16">
        <f>MAX(E486,_xlfn.CEILING.MATH(ROUNDUP(E486*C486*((1-10%)*(1-2%)*(1-1%)),20)))</f>
        <v>280</v>
      </c>
      <c r="M486" s="7"/>
      <c r="O486" s="12">
        <f>F478+F482+F487+F492+F498+F504+F509</f>
        <v>119410594.789</v>
      </c>
    </row>
    <row r="487" spans="1:15" x14ac:dyDescent="0.35">
      <c r="D487" s="38"/>
      <c r="E487" s="1" t="str">
        <f>A483</f>
        <v>Ion Thruster</v>
      </c>
      <c r="F487" s="4">
        <f>SUM(F484:F486)*1.03</f>
        <v>6647945.4800000004</v>
      </c>
      <c r="G487" s="6"/>
      <c r="J487" s="6"/>
      <c r="K487" s="11"/>
      <c r="O487" s="4"/>
    </row>
    <row r="488" spans="1:15" x14ac:dyDescent="0.35">
      <c r="A488" t="s">
        <v>246</v>
      </c>
      <c r="D488" s="59"/>
      <c r="G488" s="6"/>
      <c r="J488" s="6"/>
    </row>
    <row r="489" spans="1:15" x14ac:dyDescent="0.35">
      <c r="A489" s="6" t="s">
        <v>241</v>
      </c>
      <c r="C489">
        <v>22</v>
      </c>
      <c r="D489" s="23">
        <f>D484</f>
        <v>104</v>
      </c>
      <c r="E489">
        <f>'Ship Component Reqs'!F155</f>
        <v>232</v>
      </c>
      <c r="F489" s="13">
        <f t="shared" ref="F489:F490" si="148">MAX(E489,_xlfn.CEILING.MATH(ROUNDUP(E489*C489*((1-10%)*(1-2%)*(1-1%)),20)))*D489</f>
        <v>463528</v>
      </c>
      <c r="G489" s="16">
        <f t="shared" ref="G489:G490" si="149">MAX(E489,_xlfn.CEILING.MATH(ROUNDUP(E489*C489*((1-10%)*(1-2%)*(1-1%)),20)))</f>
        <v>4457</v>
      </c>
    </row>
    <row r="490" spans="1:15" x14ac:dyDescent="0.35">
      <c r="A490" t="s">
        <v>164</v>
      </c>
      <c r="C490">
        <v>1</v>
      </c>
      <c r="D490" s="23">
        <f>Pricing!F30</f>
        <v>2760</v>
      </c>
      <c r="E490">
        <f>E489</f>
        <v>232</v>
      </c>
      <c r="F490" s="13">
        <f t="shared" si="148"/>
        <v>640320</v>
      </c>
      <c r="G490" s="16">
        <f t="shared" si="149"/>
        <v>232</v>
      </c>
    </row>
    <row r="491" spans="1:15" ht="16" x14ac:dyDescent="0.5">
      <c r="A491" t="s">
        <v>15</v>
      </c>
      <c r="C491">
        <v>2</v>
      </c>
      <c r="D491" s="23">
        <f>Pricing!F31</f>
        <v>5067</v>
      </c>
      <c r="E491">
        <f>E489</f>
        <v>232</v>
      </c>
      <c r="F491" s="39">
        <f>MAX(E491,_xlfn.CEILING.MATH(ROUNDUP(E491*C491*((1-10%)*(1-2%)*(1-1%)),20)))*D491</f>
        <v>2057202</v>
      </c>
      <c r="G491" s="16">
        <f>MAX(E491,_xlfn.CEILING.MATH(ROUNDUP(E491*C491*((1-10%)*(1-2%)*(1-1%)),20)))</f>
        <v>406</v>
      </c>
    </row>
    <row r="492" spans="1:15" x14ac:dyDescent="0.35">
      <c r="E492" s="1" t="str">
        <f>A488</f>
        <v>Magnetometric Sensor Cluster</v>
      </c>
      <c r="F492" s="4">
        <f>SUM(F489:F491)*1.03</f>
        <v>3255881.5</v>
      </c>
      <c r="G492" s="6"/>
    </row>
    <row r="493" spans="1:15" ht="16" x14ac:dyDescent="0.5">
      <c r="A493" t="s">
        <v>243</v>
      </c>
      <c r="D493" s="38"/>
      <c r="F493" s="39"/>
      <c r="G493" s="16"/>
    </row>
    <row r="494" spans="1:15" x14ac:dyDescent="0.35">
      <c r="A494" s="6" t="s">
        <v>241</v>
      </c>
      <c r="C494">
        <v>27</v>
      </c>
      <c r="D494" s="23">
        <f>D484</f>
        <v>104</v>
      </c>
      <c r="E494">
        <f>'Ship Component Reqs'!F156</f>
        <v>648</v>
      </c>
      <c r="F494" s="13">
        <f t="shared" ref="F494:F496" si="150">MAX(E494,_xlfn.CEILING.MATH(ROUNDUP(E494*C494*((1-10%)*(1-2%)*(1-1%)),20)))*D494</f>
        <v>1588912</v>
      </c>
      <c r="G494" s="16">
        <f t="shared" ref="G494:G496" si="151">MAX(E494,_xlfn.CEILING.MATH(ROUNDUP(E494*C494*((1-10%)*(1-2%)*(1-1%)),20)))</f>
        <v>15278</v>
      </c>
    </row>
    <row r="495" spans="1:15" x14ac:dyDescent="0.35">
      <c r="A495" t="s">
        <v>16</v>
      </c>
      <c r="C495">
        <v>11</v>
      </c>
      <c r="D495" s="23">
        <f>Pricing!F32</f>
        <v>502</v>
      </c>
      <c r="E495">
        <f>E494</f>
        <v>648</v>
      </c>
      <c r="F495" s="13">
        <f t="shared" si="150"/>
        <v>3124950</v>
      </c>
      <c r="G495" s="16">
        <f t="shared" si="151"/>
        <v>6225</v>
      </c>
    </row>
    <row r="496" spans="1:15" x14ac:dyDescent="0.35">
      <c r="A496" t="s">
        <v>164</v>
      </c>
      <c r="C496">
        <v>1</v>
      </c>
      <c r="D496" s="23">
        <f>D490</f>
        <v>2760</v>
      </c>
      <c r="E496">
        <f>E495</f>
        <v>648</v>
      </c>
      <c r="F496" s="13">
        <f t="shared" si="150"/>
        <v>1788480</v>
      </c>
      <c r="G496" s="16">
        <f t="shared" si="151"/>
        <v>648</v>
      </c>
    </row>
    <row r="497" spans="1:15" ht="16" x14ac:dyDescent="0.5">
      <c r="A497" s="6" t="s">
        <v>251</v>
      </c>
      <c r="C497">
        <v>2</v>
      </c>
      <c r="D497" s="23">
        <f>Pricing!F23</f>
        <v>7145</v>
      </c>
      <c r="E497">
        <f>E496</f>
        <v>648</v>
      </c>
      <c r="F497" s="39">
        <f>MAX(E497,_xlfn.CEILING.MATH(ROUNDUP(E497*C497*((1-10%)*(1-2%)*(1-1%)),20)))*D497</f>
        <v>8088140</v>
      </c>
      <c r="G497" s="16">
        <f>MAX(E497,_xlfn.CEILING.MATH(ROUNDUP(E497*C497*((1-10%)*(1-2%)*(1-1%)),20)))</f>
        <v>1132</v>
      </c>
    </row>
    <row r="498" spans="1:15" x14ac:dyDescent="0.35">
      <c r="E498" s="1" t="str">
        <f>A493</f>
        <v>Oscillator Capacitor</v>
      </c>
      <c r="F498" s="4">
        <f>SUM(F494:F497)*1.03</f>
        <v>15028196.460000001</v>
      </c>
      <c r="G498" s="16"/>
    </row>
    <row r="499" spans="1:15" x14ac:dyDescent="0.35">
      <c r="A499" t="s">
        <v>244</v>
      </c>
      <c r="E499" s="1"/>
      <c r="F499" s="4"/>
      <c r="G499" s="6"/>
    </row>
    <row r="500" spans="1:15" x14ac:dyDescent="0.35">
      <c r="A500" s="6" t="s">
        <v>241</v>
      </c>
      <c r="C500">
        <v>17</v>
      </c>
      <c r="D500" s="23">
        <f>D494</f>
        <v>104</v>
      </c>
      <c r="E500">
        <f>'Ship Component Reqs'!F157</f>
        <v>2616</v>
      </c>
      <c r="F500" s="13">
        <f t="shared" ref="F500:F502" si="152">MAX(E500,_xlfn.CEILING.MATH(ROUNDUP(E500*C500*((1-10%)*(1-2%)*(1-1%)),20)))*D500</f>
        <v>4038632</v>
      </c>
      <c r="G500" s="16">
        <f t="shared" ref="G500:G502" si="153">MAX(E500,_xlfn.CEILING.MATH(ROUNDUP(E500*C500*((1-10%)*(1-2%)*(1-1%)),20)))</f>
        <v>38833</v>
      </c>
    </row>
    <row r="501" spans="1:15" x14ac:dyDescent="0.35">
      <c r="A501" t="s">
        <v>10</v>
      </c>
      <c r="C501">
        <v>6</v>
      </c>
      <c r="D501" s="23">
        <f>D485</f>
        <v>950</v>
      </c>
      <c r="E501">
        <f>E500</f>
        <v>2616</v>
      </c>
      <c r="F501" s="13">
        <f t="shared" si="152"/>
        <v>13020700</v>
      </c>
      <c r="G501" s="16">
        <f t="shared" si="153"/>
        <v>13706</v>
      </c>
    </row>
    <row r="502" spans="1:15" x14ac:dyDescent="0.35">
      <c r="A502" t="s">
        <v>164</v>
      </c>
      <c r="C502">
        <v>2</v>
      </c>
      <c r="D502" s="23">
        <f>D496</f>
        <v>2760</v>
      </c>
      <c r="E502">
        <f>E501</f>
        <v>2616</v>
      </c>
      <c r="F502" s="13">
        <f t="shared" si="152"/>
        <v>12610440</v>
      </c>
      <c r="G502" s="16">
        <f t="shared" si="153"/>
        <v>4569</v>
      </c>
    </row>
    <row r="503" spans="1:15" ht="16" x14ac:dyDescent="0.5">
      <c r="A503" s="6" t="s">
        <v>251</v>
      </c>
      <c r="C503">
        <v>2</v>
      </c>
      <c r="D503" s="23">
        <f>D497</f>
        <v>7145</v>
      </c>
      <c r="E503">
        <f>E502</f>
        <v>2616</v>
      </c>
      <c r="F503" s="39">
        <f>MAX(E503,_xlfn.CEILING.MATH(ROUNDUP(E503*C503*((1-10%)*(1-2%)*(1-1%)),20)))*D503</f>
        <v>32645505</v>
      </c>
      <c r="G503" s="16">
        <f>MAX(E503,_xlfn.CEILING.MATH(ROUNDUP(E503*C503*((1-10%)*(1-2%)*(1-1%)),20)))</f>
        <v>4569</v>
      </c>
    </row>
    <row r="504" spans="1:15" x14ac:dyDescent="0.35">
      <c r="E504" s="1" t="str">
        <f>A499</f>
        <v>Photon Microprocessor</v>
      </c>
      <c r="F504" s="4">
        <f>SUM(F500:F503)*1.03</f>
        <v>64184735.310000002</v>
      </c>
      <c r="G504" s="6"/>
    </row>
    <row r="505" spans="1:15" x14ac:dyDescent="0.35">
      <c r="A505" t="s">
        <v>245</v>
      </c>
      <c r="G505" s="6"/>
    </row>
    <row r="506" spans="1:15" x14ac:dyDescent="0.35">
      <c r="A506" s="6" t="s">
        <v>241</v>
      </c>
      <c r="C506">
        <v>22</v>
      </c>
      <c r="D506" s="23">
        <f>D500</f>
        <v>104</v>
      </c>
      <c r="E506">
        <f>'Ship Component Reqs'!F158</f>
        <v>340</v>
      </c>
      <c r="F506" s="13">
        <f t="shared" ref="F506:F507" si="154">MAX(E506,_xlfn.CEILING.MATH(ROUNDUP(E506*C506*((1-10%)*(1-2%)*(1-1%)),20)))*D506</f>
        <v>679328</v>
      </c>
      <c r="G506" s="16">
        <f t="shared" ref="G506:G507" si="155">MAX(E506,_xlfn.CEILING.MATH(ROUNDUP(E506*C506*((1-10%)*(1-2%)*(1-1%)),20)))</f>
        <v>6532</v>
      </c>
    </row>
    <row r="507" spans="1:15" x14ac:dyDescent="0.35">
      <c r="A507" t="s">
        <v>12</v>
      </c>
      <c r="C507">
        <v>9</v>
      </c>
      <c r="D507" s="23">
        <f>D477</f>
        <v>208.9</v>
      </c>
      <c r="E507">
        <f>E506</f>
        <v>340</v>
      </c>
      <c r="F507" s="13">
        <f t="shared" si="154"/>
        <v>558180.80000000005</v>
      </c>
      <c r="G507" s="16">
        <f t="shared" si="155"/>
        <v>2672</v>
      </c>
    </row>
    <row r="508" spans="1:15" ht="16" x14ac:dyDescent="0.5">
      <c r="A508" t="s">
        <v>11</v>
      </c>
      <c r="C508">
        <v>1</v>
      </c>
      <c r="D508" s="23">
        <f>D486</f>
        <v>19380</v>
      </c>
      <c r="E508">
        <f>E507</f>
        <v>340</v>
      </c>
      <c r="F508" s="39">
        <f>MAX(E508,_xlfn.CEILING.MATH(ROUNDUP(E508*C508*((1-10%)*(1-2%)*(1-1%)),20)))*D508</f>
        <v>6589200</v>
      </c>
      <c r="G508" s="16">
        <f>MAX(E508,_xlfn.CEILING.MATH(ROUNDUP(E508*C508*((1-10%)*(1-2%)*(1-1%)),20)))</f>
        <v>340</v>
      </c>
    </row>
    <row r="509" spans="1:15" x14ac:dyDescent="0.35">
      <c r="E509" s="1" t="str">
        <f>A505</f>
        <v>Pulse Shield Emitter</v>
      </c>
      <c r="F509" s="4">
        <f>SUM(F506:F508)*1.03</f>
        <v>8061510.0640000002</v>
      </c>
      <c r="G509" s="16"/>
    </row>
    <row r="510" spans="1:15" s="18" customFormat="1" x14ac:dyDescent="0.35">
      <c r="D510" s="31"/>
      <c r="K510" s="19"/>
      <c r="L510" s="19"/>
      <c r="M510" s="19"/>
    </row>
    <row r="511" spans="1:15" x14ac:dyDescent="0.35">
      <c r="A511" t="s">
        <v>299</v>
      </c>
    </row>
    <row r="512" spans="1:15" x14ac:dyDescent="0.35">
      <c r="A512" t="s">
        <v>247</v>
      </c>
      <c r="D512" s="2" t="s">
        <v>21</v>
      </c>
      <c r="E512" t="s">
        <v>19</v>
      </c>
      <c r="J512" t="s">
        <v>25</v>
      </c>
      <c r="K512" s="3" t="s">
        <v>30</v>
      </c>
      <c r="L512" s="3" t="s">
        <v>27</v>
      </c>
      <c r="M512" s="3" t="s">
        <v>35</v>
      </c>
      <c r="N512" t="s">
        <v>26</v>
      </c>
      <c r="O512" s="3" t="s">
        <v>34</v>
      </c>
    </row>
    <row r="513" spans="1:16" x14ac:dyDescent="0.35">
      <c r="A513" t="s">
        <v>241</v>
      </c>
      <c r="C513">
        <v>44</v>
      </c>
      <c r="D513" s="23">
        <f>Pricing!F21</f>
        <v>104</v>
      </c>
      <c r="E513">
        <f>'Ship Component Reqs'!F167</f>
        <v>4612</v>
      </c>
      <c r="F513" s="13">
        <f t="shared" ref="F513" si="156">MAX(E513,_xlfn.CEILING.MATH(ROUNDUP(E513*C513*((1-10%)*(1-2%)*(1-1%)),20)))*D513</f>
        <v>18428072</v>
      </c>
      <c r="G513" s="16">
        <f t="shared" ref="G513" si="157">MAX(E513,_xlfn.CEILING.MATH(ROUNDUP(E513*C513*((1-10%)*(1-2%)*(1-1%)),20)))</f>
        <v>177193</v>
      </c>
      <c r="H513" s="4"/>
      <c r="I513" s="84"/>
      <c r="J513" t="str">
        <f>A513</f>
        <v>Crystalline Carbonide</v>
      </c>
      <c r="K513" s="3">
        <f>G513+G517+G521+G526+G531+G537+G543</f>
        <v>266859</v>
      </c>
      <c r="L513" s="3">
        <v>0</v>
      </c>
      <c r="M513" s="7">
        <f>((K513*'Ship Component Reqs'!$D$32)-L513)</f>
        <v>266859</v>
      </c>
      <c r="N513" s="4">
        <f>D513</f>
        <v>104</v>
      </c>
      <c r="O513" s="14">
        <f t="shared" ref="O513:O521" si="158">IF(M513&lt;0,0,M513*N513)</f>
        <v>27753336</v>
      </c>
      <c r="P513" s="4"/>
    </row>
    <row r="514" spans="1:16" ht="16" x14ac:dyDescent="0.5">
      <c r="A514" t="s">
        <v>12</v>
      </c>
      <c r="C514">
        <v>11</v>
      </c>
      <c r="D514" s="23">
        <f>Pricing!F29</f>
        <v>208.9</v>
      </c>
      <c r="E514">
        <f>E513</f>
        <v>4612</v>
      </c>
      <c r="F514" s="39">
        <f>MAX(E514,_xlfn.CEILING.MATH(ROUNDUP(E514*C514*((1-10%)*(1-2%)*(1-1%)),20)))*D514</f>
        <v>9254061.0999999996</v>
      </c>
      <c r="G514" s="16">
        <f>MAX(E514,_xlfn.CEILING.MATH(ROUNDUP(E514*C514*((1-10%)*(1-2%)*(1-1%)),20)))</f>
        <v>44299</v>
      </c>
      <c r="H514" s="4"/>
      <c r="I514" s="84"/>
      <c r="J514" t="str">
        <f>A514</f>
        <v>Sylramic Fibers</v>
      </c>
      <c r="K514" s="3">
        <f>G514+G544</f>
        <v>46123</v>
      </c>
      <c r="L514" s="3">
        <v>0</v>
      </c>
      <c r="M514" s="7">
        <f>((K514*'Ship Component Reqs'!$D$32)-L514)</f>
        <v>46123</v>
      </c>
      <c r="N514" s="4">
        <f>D514</f>
        <v>208.9</v>
      </c>
      <c r="O514" s="14">
        <f t="shared" si="158"/>
        <v>9635094.7000000011</v>
      </c>
      <c r="P514" s="4"/>
    </row>
    <row r="515" spans="1:16" x14ac:dyDescent="0.35">
      <c r="D515" s="38"/>
      <c r="E515" s="1" t="str">
        <f>A512</f>
        <v>Crystalline Carbonide Armor Plate</v>
      </c>
      <c r="F515" s="4">
        <f>SUM(F513:F514)*1.03</f>
        <v>28512597.093000002</v>
      </c>
      <c r="G515" s="16"/>
      <c r="H515" s="4"/>
      <c r="I515" s="84"/>
      <c r="J515" t="str">
        <f>A518</f>
        <v>Fermionic Condensates</v>
      </c>
      <c r="K515" s="3">
        <f>G518</f>
        <v>84</v>
      </c>
      <c r="L515" s="3">
        <v>0</v>
      </c>
      <c r="M515" s="7">
        <f>((K515*'Ship Component Reqs'!$D$32)-L515)</f>
        <v>84</v>
      </c>
      <c r="N515" s="4">
        <f>D518</f>
        <v>36700</v>
      </c>
      <c r="O515" s="14">
        <f t="shared" si="158"/>
        <v>3082800</v>
      </c>
      <c r="P515" s="4"/>
    </row>
    <row r="516" spans="1:16" x14ac:dyDescent="0.35">
      <c r="A516" t="s">
        <v>242</v>
      </c>
      <c r="G516" s="6"/>
      <c r="I516" s="84"/>
      <c r="J516" t="str">
        <f>A522</f>
        <v>Phenolic Composites</v>
      </c>
      <c r="K516" s="3">
        <f>G522+G538</f>
        <v>14503</v>
      </c>
      <c r="L516" s="3">
        <v>0</v>
      </c>
      <c r="M516" s="7">
        <f>((K516*'Ship Component Reqs'!$D$32)-L516)</f>
        <v>14503</v>
      </c>
      <c r="N516" s="4">
        <f>D522</f>
        <v>950</v>
      </c>
      <c r="O516" s="14">
        <f t="shared" si="158"/>
        <v>13777850</v>
      </c>
      <c r="P516" s="4"/>
    </row>
    <row r="517" spans="1:16" x14ac:dyDescent="0.35">
      <c r="A517" t="s">
        <v>241</v>
      </c>
      <c r="C517">
        <v>9</v>
      </c>
      <c r="D517" s="23">
        <f>D513</f>
        <v>104</v>
      </c>
      <c r="E517">
        <f>'Ship Component Reqs'!F168</f>
        <v>48</v>
      </c>
      <c r="F517" s="13">
        <f t="shared" ref="F517" si="159">MAX(E517,_xlfn.CEILING.MATH(ROUNDUP(E517*C517*((1-10%)*(1-2%)*(1-1%)),20)))*D517</f>
        <v>39312</v>
      </c>
      <c r="G517" s="16">
        <f t="shared" ref="G517" si="160">MAX(E517,_xlfn.CEILING.MATH(ROUNDUP(E517*C517*((1-10%)*(1-2%)*(1-1%)),20)))</f>
        <v>378</v>
      </c>
      <c r="H517" s="4"/>
      <c r="I517" s="84"/>
      <c r="J517" t="str">
        <f>A523</f>
        <v>Ferrogel</v>
      </c>
      <c r="K517" s="3">
        <f>G523+G545</f>
        <v>696</v>
      </c>
      <c r="L517" s="3">
        <v>0</v>
      </c>
      <c r="M517" s="7">
        <f>((K517*'Ship Component Reqs'!$D$32)-L517)</f>
        <v>696</v>
      </c>
      <c r="N517" s="4">
        <f>D523</f>
        <v>19380</v>
      </c>
      <c r="O517" s="14">
        <f t="shared" si="158"/>
        <v>13488480</v>
      </c>
      <c r="P517" s="4"/>
    </row>
    <row r="518" spans="1:16" ht="16" x14ac:dyDescent="0.5">
      <c r="A518" t="s">
        <v>9</v>
      </c>
      <c r="C518">
        <v>2</v>
      </c>
      <c r="D518" s="23">
        <f>Pricing!F26</f>
        <v>36700</v>
      </c>
      <c r="E518">
        <f>E517</f>
        <v>48</v>
      </c>
      <c r="F518" s="39">
        <f>MAX(E518,_xlfn.CEILING.MATH(ROUNDUP(E518*C518*((1-10%)*(1-2%)*(1-1%)),20)))*D518</f>
        <v>3082800</v>
      </c>
      <c r="G518" s="16">
        <f>MAX(E518,_xlfn.CEILING.MATH(ROUNDUP(E518*C518*((1-10%)*(1-2%)*(1-1%)),20)))</f>
        <v>84</v>
      </c>
      <c r="H518" s="4"/>
      <c r="I518" s="84"/>
      <c r="J518" t="str">
        <f>A527</f>
        <v>Nanotransistors</v>
      </c>
      <c r="K518" s="3">
        <f>G527+G533+G539</f>
        <v>6401</v>
      </c>
      <c r="L518" s="3">
        <v>0</v>
      </c>
      <c r="M518" s="7">
        <f>((K518*'Ship Component Reqs'!$D$32)-L518)</f>
        <v>6401</v>
      </c>
      <c r="N518" s="4">
        <f>D527</f>
        <v>2760</v>
      </c>
      <c r="O518" s="14">
        <f t="shared" si="158"/>
        <v>17666760</v>
      </c>
      <c r="P518" s="4"/>
    </row>
    <row r="519" spans="1:16" x14ac:dyDescent="0.35">
      <c r="D519" s="38"/>
      <c r="E519" s="1" t="str">
        <f>A516</f>
        <v>Fusion Reactor Unit</v>
      </c>
      <c r="F519" s="4">
        <f>SUM(F517:F518)*1.03</f>
        <v>3215775.36</v>
      </c>
      <c r="G519" s="16"/>
      <c r="H519" s="4"/>
      <c r="J519" t="str">
        <f>A528</f>
        <v>Hypersynaptic Fibers</v>
      </c>
      <c r="K519" s="3">
        <f>G528</f>
        <v>1831</v>
      </c>
      <c r="M519" s="7">
        <f>((K519*'Ship Component Reqs'!$D$32)-L519)</f>
        <v>1831</v>
      </c>
      <c r="N519" s="4">
        <f>D528</f>
        <v>5067</v>
      </c>
      <c r="O519" s="14">
        <f t="shared" si="158"/>
        <v>9277677</v>
      </c>
      <c r="P519" s="4"/>
    </row>
    <row r="520" spans="1:16" x14ac:dyDescent="0.35">
      <c r="A520" t="s">
        <v>240</v>
      </c>
      <c r="G520" s="6"/>
      <c r="I520" s="84"/>
      <c r="J520" t="str">
        <f>A532</f>
        <v>Fullerides</v>
      </c>
      <c r="K520" s="3">
        <f>G532</f>
        <v>8876</v>
      </c>
      <c r="L520" s="3">
        <v>0</v>
      </c>
      <c r="M520" s="7">
        <f>((K520*'Ship Component Reqs'!$D$32)-L520)</f>
        <v>8876</v>
      </c>
      <c r="N520" s="4">
        <f>D532</f>
        <v>502</v>
      </c>
      <c r="O520" s="14">
        <f t="shared" si="158"/>
        <v>4455752</v>
      </c>
      <c r="P520" s="4"/>
    </row>
    <row r="521" spans="1:16" ht="16" x14ac:dyDescent="0.5">
      <c r="A521" t="s">
        <v>241</v>
      </c>
      <c r="C521">
        <v>13</v>
      </c>
      <c r="D521" s="23">
        <f>D513</f>
        <v>104</v>
      </c>
      <c r="E521">
        <f>'Ship Component Reqs'!F169</f>
        <v>464</v>
      </c>
      <c r="F521" s="13">
        <f t="shared" ref="F521:F522" si="161">MAX(E521,_xlfn.CEILING.MATH(ROUNDUP(E521*C521*((1-10%)*(1-2%)*(1-1%)),20)))*D521</f>
        <v>547872</v>
      </c>
      <c r="G521" s="16">
        <f t="shared" ref="G521:G522" si="162">MAX(E521,_xlfn.CEILING.MATH(ROUNDUP(E521*C521*((1-10%)*(1-2%)*(1-1%)),20)))</f>
        <v>5268</v>
      </c>
      <c r="H521" s="4"/>
      <c r="I521" s="84"/>
      <c r="J521" t="str">
        <f>A534</f>
        <v>Photonic Metamaterials</v>
      </c>
      <c r="K521" s="3">
        <f>G534+G540</f>
        <v>6043</v>
      </c>
      <c r="L521" s="3">
        <v>0</v>
      </c>
      <c r="M521" s="7">
        <f>((K521*'Ship Component Reqs'!$D$32)-L521)</f>
        <v>6043</v>
      </c>
      <c r="N521" s="4">
        <f>D534</f>
        <v>7145</v>
      </c>
      <c r="O521" s="12">
        <f t="shared" si="158"/>
        <v>43177235</v>
      </c>
      <c r="P521" s="4"/>
    </row>
    <row r="522" spans="1:16" x14ac:dyDescent="0.35">
      <c r="A522" t="s">
        <v>10</v>
      </c>
      <c r="C522">
        <v>3</v>
      </c>
      <c r="D522" s="23">
        <f>Pricing!F27</f>
        <v>950</v>
      </c>
      <c r="E522">
        <f>E521</f>
        <v>464</v>
      </c>
      <c r="F522" s="13">
        <f t="shared" si="161"/>
        <v>1155200</v>
      </c>
      <c r="G522" s="16">
        <f t="shared" si="162"/>
        <v>1216</v>
      </c>
      <c r="H522" s="4"/>
      <c r="K522" s="11"/>
      <c r="O522" s="4">
        <f>SUM(O513:O521)</f>
        <v>142314984.69999999</v>
      </c>
    </row>
    <row r="523" spans="1:16" ht="16" x14ac:dyDescent="0.5">
      <c r="A523" t="s">
        <v>11</v>
      </c>
      <c r="C523">
        <v>1</v>
      </c>
      <c r="D523" s="23">
        <f>Pricing!F28</f>
        <v>19380</v>
      </c>
      <c r="E523">
        <f>E522</f>
        <v>464</v>
      </c>
      <c r="F523" s="39">
        <f>MAX(E523,_xlfn.CEILING.MATH(ROUNDUP(E523*C523*((1-10%)*(1-2%)*(1-1%)),20)))*D523</f>
        <v>8992320</v>
      </c>
      <c r="G523" s="16">
        <f>MAX(E523,_xlfn.CEILING.MATH(ROUNDUP(E523*C523*((1-10%)*(1-2%)*(1-1%)),20)))</f>
        <v>464</v>
      </c>
      <c r="H523" s="4"/>
      <c r="M523" s="7"/>
      <c r="O523" s="12"/>
    </row>
    <row r="524" spans="1:16" x14ac:dyDescent="0.35">
      <c r="D524" s="38"/>
      <c r="E524" s="1" t="str">
        <f>A520</f>
        <v>Ion Thruster</v>
      </c>
      <c r="F524" s="4">
        <f>SUM(F521:F523)*1.03</f>
        <v>11016253.76</v>
      </c>
      <c r="G524" s="6"/>
      <c r="H524" s="4"/>
      <c r="J524" s="6"/>
      <c r="K524" s="11"/>
      <c r="O524" s="4"/>
    </row>
    <row r="525" spans="1:16" x14ac:dyDescent="0.35">
      <c r="A525" t="s">
        <v>246</v>
      </c>
      <c r="D525" s="59"/>
      <c r="G525" s="6"/>
      <c r="J525" s="6"/>
    </row>
    <row r="526" spans="1:16" x14ac:dyDescent="0.35">
      <c r="A526" t="s">
        <v>241</v>
      </c>
      <c r="C526">
        <v>22</v>
      </c>
      <c r="D526" s="23">
        <f>D521</f>
        <v>104</v>
      </c>
      <c r="E526">
        <f>'Ship Component Reqs'!F170</f>
        <v>1048</v>
      </c>
      <c r="F526" s="13">
        <f t="shared" ref="F526:F527" si="163">MAX(E526,_xlfn.CEILING.MATH(ROUNDUP(E526*C526*((1-10%)*(1-2%)*(1-1%)),20)))*D526</f>
        <v>2093832</v>
      </c>
      <c r="G526" s="16">
        <f t="shared" ref="G526:G527" si="164">MAX(E526,_xlfn.CEILING.MATH(ROUNDUP(E526*C526*((1-10%)*(1-2%)*(1-1%)),20)))</f>
        <v>20133</v>
      </c>
      <c r="H526" s="4"/>
    </row>
    <row r="527" spans="1:16" x14ac:dyDescent="0.35">
      <c r="A527" t="s">
        <v>164</v>
      </c>
      <c r="C527">
        <v>1</v>
      </c>
      <c r="D527" s="23">
        <f>Pricing!F30</f>
        <v>2760</v>
      </c>
      <c r="E527">
        <f>E526</f>
        <v>1048</v>
      </c>
      <c r="F527" s="13">
        <f t="shared" si="163"/>
        <v>2892480</v>
      </c>
      <c r="G527" s="16">
        <f t="shared" si="164"/>
        <v>1048</v>
      </c>
      <c r="H527" s="4"/>
    </row>
    <row r="528" spans="1:16" ht="16" x14ac:dyDescent="0.5">
      <c r="A528" t="s">
        <v>15</v>
      </c>
      <c r="C528">
        <v>2</v>
      </c>
      <c r="D528" s="23">
        <f>Pricing!F31</f>
        <v>5067</v>
      </c>
      <c r="E528">
        <f>E526</f>
        <v>1048</v>
      </c>
      <c r="F528" s="39">
        <f>MAX(E528,_xlfn.CEILING.MATH(ROUNDUP(E528*C528*((1-10%)*(1-2%)*(1-1%)),20)))*D528</f>
        <v>9277677</v>
      </c>
      <c r="G528" s="16">
        <f>MAX(E528,_xlfn.CEILING.MATH(ROUNDUP(E528*C528*((1-10%)*(1-2%)*(1-1%)),20)))</f>
        <v>1831</v>
      </c>
      <c r="H528" s="4"/>
    </row>
    <row r="529" spans="1:8" x14ac:dyDescent="0.35">
      <c r="E529" s="1" t="str">
        <f>A525</f>
        <v>Magnetometric Sensor Cluster</v>
      </c>
      <c r="F529" s="4">
        <f>SUM(F526:F528)*1.03</f>
        <v>14691908.67</v>
      </c>
      <c r="G529" s="6"/>
      <c r="H529" s="4"/>
    </row>
    <row r="530" spans="1:8" ht="16" x14ac:dyDescent="0.5">
      <c r="A530" t="s">
        <v>243</v>
      </c>
      <c r="D530" s="38"/>
      <c r="F530" s="39"/>
      <c r="G530" s="16"/>
    </row>
    <row r="531" spans="1:8" x14ac:dyDescent="0.35">
      <c r="A531" t="s">
        <v>241</v>
      </c>
      <c r="C531">
        <v>27</v>
      </c>
      <c r="D531" s="23">
        <f>D521</f>
        <v>104</v>
      </c>
      <c r="E531">
        <f>'Ship Component Reqs'!F171</f>
        <v>924</v>
      </c>
      <c r="F531" s="13">
        <f t="shared" ref="F531:F533" si="165">MAX(E531,_xlfn.CEILING.MATH(ROUNDUP(E531*C531*((1-10%)*(1-2%)*(1-1%)),20)))*D531</f>
        <v>2265640</v>
      </c>
      <c r="G531" s="16">
        <f t="shared" ref="G531:G533" si="166">MAX(E531,_xlfn.CEILING.MATH(ROUNDUP(E531*C531*((1-10%)*(1-2%)*(1-1%)),20)))</f>
        <v>21785</v>
      </c>
    </row>
    <row r="532" spans="1:8" x14ac:dyDescent="0.35">
      <c r="A532" t="s">
        <v>16</v>
      </c>
      <c r="C532">
        <v>11</v>
      </c>
      <c r="D532" s="23">
        <f>Pricing!F32</f>
        <v>502</v>
      </c>
      <c r="E532">
        <f>E531</f>
        <v>924</v>
      </c>
      <c r="F532" s="13">
        <f t="shared" si="165"/>
        <v>4455752</v>
      </c>
      <c r="G532" s="16">
        <f t="shared" si="166"/>
        <v>8876</v>
      </c>
    </row>
    <row r="533" spans="1:8" x14ac:dyDescent="0.35">
      <c r="A533" t="s">
        <v>164</v>
      </c>
      <c r="C533">
        <v>1</v>
      </c>
      <c r="D533" s="23">
        <f>D527</f>
        <v>2760</v>
      </c>
      <c r="E533">
        <f>E532</f>
        <v>924</v>
      </c>
      <c r="F533" s="13">
        <f t="shared" si="165"/>
        <v>2550240</v>
      </c>
      <c r="G533" s="16">
        <f t="shared" si="166"/>
        <v>924</v>
      </c>
    </row>
    <row r="534" spans="1:8" ht="16" x14ac:dyDescent="0.5">
      <c r="A534" t="s">
        <v>251</v>
      </c>
      <c r="C534">
        <v>2</v>
      </c>
      <c r="D534" s="23">
        <f>Pricing!F23</f>
        <v>7145</v>
      </c>
      <c r="E534">
        <f>E533</f>
        <v>924</v>
      </c>
      <c r="F534" s="39">
        <f>MAX(E534,_xlfn.CEILING.MATH(ROUNDUP(E534*C534*((1-10%)*(1-2%)*(1-1%)),20)))*D534</f>
        <v>11532030</v>
      </c>
      <c r="G534" s="16">
        <f>MAX(E534,_xlfn.CEILING.MATH(ROUNDUP(E534*C534*((1-10%)*(1-2%)*(1-1%)),20)))</f>
        <v>1614</v>
      </c>
    </row>
    <row r="535" spans="1:8" x14ac:dyDescent="0.35">
      <c r="E535" s="1" t="str">
        <f>A530</f>
        <v>Oscillator Capacitor</v>
      </c>
      <c r="F535" s="4">
        <f>SUM(F531:F534)*1.03</f>
        <v>21427771.859999999</v>
      </c>
      <c r="G535" s="16"/>
    </row>
    <row r="536" spans="1:8" x14ac:dyDescent="0.35">
      <c r="A536" t="s">
        <v>244</v>
      </c>
      <c r="E536" s="1"/>
      <c r="F536" s="4"/>
      <c r="G536" s="6"/>
    </row>
    <row r="537" spans="1:8" x14ac:dyDescent="0.35">
      <c r="A537" t="s">
        <v>241</v>
      </c>
      <c r="C537">
        <v>17</v>
      </c>
      <c r="D537" s="23">
        <f>D531</f>
        <v>104</v>
      </c>
      <c r="E537">
        <f>'Ship Component Reqs'!F172</f>
        <v>2536</v>
      </c>
      <c r="F537" s="13">
        <f t="shared" ref="F537:F539" si="167">MAX(E537,_xlfn.CEILING.MATH(ROUNDUP(E537*C537*((1-10%)*(1-2%)*(1-1%)),20)))*D537</f>
        <v>3915080</v>
      </c>
      <c r="G537" s="16">
        <f t="shared" ref="G537:G539" si="168">MAX(E537,_xlfn.CEILING.MATH(ROUNDUP(E537*C537*((1-10%)*(1-2%)*(1-1%)),20)))</f>
        <v>37645</v>
      </c>
    </row>
    <row r="538" spans="1:8" x14ac:dyDescent="0.35">
      <c r="A538" t="s">
        <v>10</v>
      </c>
      <c r="C538">
        <v>6</v>
      </c>
      <c r="D538" s="23">
        <f>D522</f>
        <v>950</v>
      </c>
      <c r="E538">
        <f>E537</f>
        <v>2536</v>
      </c>
      <c r="F538" s="13">
        <f t="shared" si="167"/>
        <v>12622650</v>
      </c>
      <c r="G538" s="16">
        <f t="shared" si="168"/>
        <v>13287</v>
      </c>
    </row>
    <row r="539" spans="1:8" x14ac:dyDescent="0.35">
      <c r="A539" t="s">
        <v>164</v>
      </c>
      <c r="C539">
        <v>2</v>
      </c>
      <c r="D539" s="23">
        <f>D533</f>
        <v>2760</v>
      </c>
      <c r="E539">
        <f>E538</f>
        <v>2536</v>
      </c>
      <c r="F539" s="13">
        <f t="shared" si="167"/>
        <v>12224040</v>
      </c>
      <c r="G539" s="16">
        <f t="shared" si="168"/>
        <v>4429</v>
      </c>
    </row>
    <row r="540" spans="1:8" ht="16" x14ac:dyDescent="0.5">
      <c r="A540" t="s">
        <v>251</v>
      </c>
      <c r="C540">
        <v>2</v>
      </c>
      <c r="D540" s="23">
        <f>D534</f>
        <v>7145</v>
      </c>
      <c r="E540">
        <f>E539</f>
        <v>2536</v>
      </c>
      <c r="F540" s="39">
        <f>MAX(E540,_xlfn.CEILING.MATH(ROUNDUP(E540*C540*((1-10%)*(1-2%)*(1-1%)),20)))*D540</f>
        <v>31645205</v>
      </c>
      <c r="G540" s="16">
        <f>MAX(E540,_xlfn.CEILING.MATH(ROUNDUP(E540*C540*((1-10%)*(1-2%)*(1-1%)),20)))</f>
        <v>4429</v>
      </c>
    </row>
    <row r="541" spans="1:8" x14ac:dyDescent="0.35">
      <c r="E541" s="1" t="str">
        <f>A536</f>
        <v>Photon Microprocessor</v>
      </c>
      <c r="F541" s="4">
        <f>SUM(F537:F540)*1.03</f>
        <v>62219184.25</v>
      </c>
      <c r="G541" s="6"/>
    </row>
    <row r="542" spans="1:8" x14ac:dyDescent="0.35">
      <c r="A542" t="s">
        <v>245</v>
      </c>
      <c r="G542" s="6"/>
    </row>
    <row r="543" spans="1:8" x14ac:dyDescent="0.35">
      <c r="A543" t="s">
        <v>241</v>
      </c>
      <c r="C543">
        <v>22</v>
      </c>
      <c r="D543" s="23">
        <f>D537</f>
        <v>104</v>
      </c>
      <c r="E543">
        <f>'Ship Component Reqs'!F173</f>
        <v>232</v>
      </c>
      <c r="F543" s="13">
        <f t="shared" ref="F543:F544" si="169">MAX(E543,_xlfn.CEILING.MATH(ROUNDUP(E543*C543*((1-10%)*(1-2%)*(1-1%)),20)))*D543</f>
        <v>463528</v>
      </c>
      <c r="G543" s="16">
        <f t="shared" ref="G543:G544" si="170">MAX(E543,_xlfn.CEILING.MATH(ROUNDUP(E543*C543*((1-10%)*(1-2%)*(1-1%)),20)))</f>
        <v>4457</v>
      </c>
    </row>
    <row r="544" spans="1:8" x14ac:dyDescent="0.35">
      <c r="A544" t="s">
        <v>12</v>
      </c>
      <c r="C544">
        <v>9</v>
      </c>
      <c r="D544" s="23">
        <f>D514</f>
        <v>208.9</v>
      </c>
      <c r="E544">
        <f>E543</f>
        <v>232</v>
      </c>
      <c r="F544" s="13">
        <f t="shared" si="169"/>
        <v>381033.60000000003</v>
      </c>
      <c r="G544" s="16">
        <f t="shared" si="170"/>
        <v>1824</v>
      </c>
    </row>
    <row r="545" spans="1:15" ht="16" x14ac:dyDescent="0.5">
      <c r="A545" t="s">
        <v>11</v>
      </c>
      <c r="C545">
        <v>1</v>
      </c>
      <c r="D545" s="23">
        <f>D523</f>
        <v>19380</v>
      </c>
      <c r="E545">
        <f>E544</f>
        <v>232</v>
      </c>
      <c r="F545" s="39">
        <f>MAX(E545,_xlfn.CEILING.MATH(ROUNDUP(E545*C545*((1-10%)*(1-2%)*(1-1%)),20)))*D545</f>
        <v>4496160</v>
      </c>
      <c r="G545" s="16">
        <f>MAX(E545,_xlfn.CEILING.MATH(ROUNDUP(E545*C545*((1-10%)*(1-2%)*(1-1%)),20)))</f>
        <v>232</v>
      </c>
    </row>
    <row r="546" spans="1:15" x14ac:dyDescent="0.35">
      <c r="E546" s="1" t="str">
        <f>A542</f>
        <v>Pulse Shield Emitter</v>
      </c>
      <c r="F546" s="4">
        <f>SUM(F543:F545)*1.03</f>
        <v>5500943.2479999997</v>
      </c>
      <c r="G546" s="16"/>
    </row>
    <row r="547" spans="1:15" s="18" customFormat="1" x14ac:dyDescent="0.35">
      <c r="D547" s="31"/>
      <c r="K547" s="19"/>
      <c r="L547" s="19"/>
      <c r="M547" s="19"/>
    </row>
    <row r="548" spans="1:15" x14ac:dyDescent="0.35">
      <c r="A548" t="s">
        <v>301</v>
      </c>
    </row>
    <row r="549" spans="1:15" x14ac:dyDescent="0.35">
      <c r="A549" t="s">
        <v>247</v>
      </c>
      <c r="D549" s="2" t="s">
        <v>21</v>
      </c>
      <c r="E549" t="s">
        <v>19</v>
      </c>
      <c r="J549" t="s">
        <v>25</v>
      </c>
      <c r="K549" s="3" t="s">
        <v>30</v>
      </c>
      <c r="L549" s="3" t="s">
        <v>27</v>
      </c>
      <c r="M549" s="3" t="s">
        <v>35</v>
      </c>
      <c r="N549" t="s">
        <v>26</v>
      </c>
      <c r="O549" s="3" t="s">
        <v>34</v>
      </c>
    </row>
    <row r="550" spans="1:15" x14ac:dyDescent="0.35">
      <c r="A550" s="6" t="s">
        <v>241</v>
      </c>
      <c r="C550">
        <v>44</v>
      </c>
      <c r="D550" s="23">
        <f>D513</f>
        <v>104</v>
      </c>
      <c r="E550">
        <f>'Ship Component Reqs'!F182</f>
        <v>3459</v>
      </c>
      <c r="F550" s="13">
        <f t="shared" ref="F550" si="171">MAX(E550,_xlfn.CEILING.MATH(ROUNDUP(E550*C550*((1-10%)*(1-2%)*(1-1%)),20)))*D550</f>
        <v>13821080</v>
      </c>
      <c r="G550" s="16">
        <f t="shared" ref="G550" si="172">MAX(E550,_xlfn.CEILING.MATH(ROUNDUP(E550*C550*((1-10%)*(1-2%)*(1-1%)),20)))</f>
        <v>132895</v>
      </c>
      <c r="J550" t="str">
        <f>A550</f>
        <v>Crystalline Carbonide</v>
      </c>
      <c r="K550" s="3">
        <f>G550+G554+G558+G563+G568+G574+G580</f>
        <v>201224</v>
      </c>
      <c r="L550" s="3">
        <v>0</v>
      </c>
      <c r="M550" s="7">
        <f>((K550*'Ship Component Reqs'!$D$32)-L550)</f>
        <v>201224</v>
      </c>
      <c r="N550" s="4">
        <f>D550</f>
        <v>104</v>
      </c>
      <c r="O550" s="14">
        <f>IF(M550&lt;0,0,M550*N550)</f>
        <v>20927296</v>
      </c>
    </row>
    <row r="551" spans="1:15" ht="16" x14ac:dyDescent="0.5">
      <c r="A551" t="s">
        <v>12</v>
      </c>
      <c r="C551">
        <v>11</v>
      </c>
      <c r="D551" s="23">
        <f>D514</f>
        <v>208.9</v>
      </c>
      <c r="E551">
        <f>E550</f>
        <v>3459</v>
      </c>
      <c r="F551" s="39">
        <f>MAX(E551,_xlfn.CEILING.MATH(ROUNDUP(E551*C551*((1-10%)*(1-2%)*(1-1%)),20)))*D551</f>
        <v>6940493.6000000006</v>
      </c>
      <c r="G551" s="16">
        <f>MAX(E551,_xlfn.CEILING.MATH(ROUNDUP(E551*C551*((1-10%)*(1-2%)*(1-1%)),20)))</f>
        <v>33224</v>
      </c>
      <c r="J551" t="str">
        <f>A551</f>
        <v>Sylramic Fibers</v>
      </c>
      <c r="K551" s="3">
        <f>+G551+G581</f>
        <v>34592</v>
      </c>
      <c r="L551" s="3">
        <v>0</v>
      </c>
      <c r="M551" s="7">
        <f>((K551*'Ship Component Reqs'!$D$32)-L551)</f>
        <v>34592</v>
      </c>
      <c r="N551" s="4">
        <f>D551</f>
        <v>208.9</v>
      </c>
      <c r="O551" s="14">
        <f t="shared" ref="O551:O557" si="173">IF(M551&lt;0,0,M551*N551)</f>
        <v>7226268.7999999998</v>
      </c>
    </row>
    <row r="552" spans="1:15" x14ac:dyDescent="0.35">
      <c r="D552" s="38"/>
      <c r="E552" s="1" t="str">
        <f>A549</f>
        <v>Crystalline Carbonide Armor Plate</v>
      </c>
      <c r="F552" s="4">
        <f>SUM(F550:F551)*1.03</f>
        <v>21384420.808000002</v>
      </c>
      <c r="G552" s="16"/>
      <c r="J552" t="str">
        <f>A555</f>
        <v>Fermionic Condensates</v>
      </c>
      <c r="K552" s="3">
        <f>+G555</f>
        <v>126</v>
      </c>
      <c r="L552" s="3">
        <v>0</v>
      </c>
      <c r="M552" s="7">
        <f>((K552*'Ship Component Reqs'!$D$32)-L552)</f>
        <v>126</v>
      </c>
      <c r="N552" s="4">
        <f>D555</f>
        <v>36700</v>
      </c>
      <c r="O552" s="14">
        <f t="shared" si="173"/>
        <v>4624200</v>
      </c>
    </row>
    <row r="553" spans="1:15" x14ac:dyDescent="0.35">
      <c r="A553" t="s">
        <v>242</v>
      </c>
      <c r="G553" s="6"/>
      <c r="J553" t="str">
        <f>A559</f>
        <v>Phenolic Composites</v>
      </c>
      <c r="K553" s="3">
        <f>+G575+G559</f>
        <v>11789</v>
      </c>
      <c r="L553" s="3">
        <v>0</v>
      </c>
      <c r="M553" s="7">
        <f>((K553*'Ship Component Reqs'!$D$32)-L553)</f>
        <v>11789</v>
      </c>
      <c r="N553" s="4">
        <f>D559</f>
        <v>950</v>
      </c>
      <c r="O553" s="14">
        <f t="shared" si="173"/>
        <v>11199550</v>
      </c>
    </row>
    <row r="554" spans="1:15" x14ac:dyDescent="0.35">
      <c r="A554" s="6" t="s">
        <v>241</v>
      </c>
      <c r="C554">
        <v>9</v>
      </c>
      <c r="D554" s="23">
        <f>D550</f>
        <v>104</v>
      </c>
      <c r="E554">
        <f>'Ship Component Reqs'!F183</f>
        <v>72</v>
      </c>
      <c r="F554" s="13">
        <f t="shared" ref="F554" si="174">MAX(E554,_xlfn.CEILING.MATH(ROUNDUP(E554*C554*((1-10%)*(1-2%)*(1-1%)),20)))*D554</f>
        <v>58864</v>
      </c>
      <c r="G554" s="16">
        <f t="shared" ref="G554" si="175">MAX(E554,_xlfn.CEILING.MATH(ROUNDUP(E554*C554*((1-10%)*(1-2%)*(1-1%)),20)))</f>
        <v>566</v>
      </c>
      <c r="J554" t="str">
        <f>A560</f>
        <v>Ferrogel</v>
      </c>
      <c r="K554" s="3">
        <f>G560+G582</f>
        <v>522</v>
      </c>
      <c r="L554" s="3">
        <v>0</v>
      </c>
      <c r="M554" s="7">
        <f>((K554*'Ship Component Reqs'!$D$32)-L554)</f>
        <v>522</v>
      </c>
      <c r="N554" s="4">
        <f>D560</f>
        <v>19380</v>
      </c>
      <c r="O554" s="14">
        <f t="shared" si="173"/>
        <v>10116360</v>
      </c>
    </row>
    <row r="555" spans="1:15" ht="16" x14ac:dyDescent="0.5">
      <c r="A555" t="s">
        <v>9</v>
      </c>
      <c r="C555">
        <v>2</v>
      </c>
      <c r="D555" s="23">
        <f>D518</f>
        <v>36700</v>
      </c>
      <c r="E555">
        <f>E554</f>
        <v>72</v>
      </c>
      <c r="F555" s="39">
        <f>MAX(E555,_xlfn.CEILING.MATH(ROUNDUP(E555*C555*((1-10%)*(1-2%)*(1-1%)),20)))*D555</f>
        <v>4624200</v>
      </c>
      <c r="G555" s="16">
        <f>MAX(E555,_xlfn.CEILING.MATH(ROUNDUP(E555*C555*((1-10%)*(1-2%)*(1-1%)),20)))</f>
        <v>126</v>
      </c>
      <c r="J555" t="str">
        <f>A564</f>
        <v>Nanotransistors</v>
      </c>
      <c r="K555" s="3">
        <f>G564+G570+G576</f>
        <v>5012</v>
      </c>
      <c r="L555" s="3">
        <v>0</v>
      </c>
      <c r="M555" s="7">
        <f>((K555*'Ship Component Reqs'!$D$32)-L555)</f>
        <v>5012</v>
      </c>
      <c r="N555" s="4">
        <f>D564</f>
        <v>2760</v>
      </c>
      <c r="O555" s="14">
        <f t="shared" si="173"/>
        <v>13833120</v>
      </c>
    </row>
    <row r="556" spans="1:15" x14ac:dyDescent="0.35">
      <c r="D556" s="38"/>
      <c r="E556" s="1" t="str">
        <f>A553</f>
        <v>Fusion Reactor Unit</v>
      </c>
      <c r="F556" s="4">
        <f>SUM(F554:F555)*1.03</f>
        <v>4823555.92</v>
      </c>
      <c r="G556" s="16"/>
      <c r="J556" t="str">
        <f>A565</f>
        <v>Hypersynaptic Fibers</v>
      </c>
      <c r="K556" s="3">
        <f>G565</f>
        <v>1211</v>
      </c>
      <c r="L556" s="3">
        <v>0</v>
      </c>
      <c r="M556" s="7">
        <f>((K556*'Ship Component Reqs'!$D$32)-L556)</f>
        <v>1211</v>
      </c>
      <c r="N556" s="4">
        <f>D565</f>
        <v>5067</v>
      </c>
      <c r="O556" s="14">
        <f t="shared" si="173"/>
        <v>6136137</v>
      </c>
    </row>
    <row r="557" spans="1:15" x14ac:dyDescent="0.35">
      <c r="A557" t="s">
        <v>240</v>
      </c>
      <c r="G557" s="6"/>
      <c r="J557" t="str">
        <f>A569</f>
        <v>Fullerides</v>
      </c>
      <c r="K557" s="3">
        <f>G569</f>
        <v>6657</v>
      </c>
      <c r="L557" s="3">
        <v>0</v>
      </c>
      <c r="M557" s="7">
        <f>((K557*'Ship Component Reqs'!$D$32)-L557)</f>
        <v>6657</v>
      </c>
      <c r="N557" s="4">
        <f>D569</f>
        <v>502</v>
      </c>
      <c r="O557" s="14">
        <f t="shared" si="173"/>
        <v>3341814</v>
      </c>
    </row>
    <row r="558" spans="1:15" ht="16" x14ac:dyDescent="0.5">
      <c r="A558" s="6" t="s">
        <v>241</v>
      </c>
      <c r="C558">
        <v>13</v>
      </c>
      <c r="D558" s="23">
        <f>D550</f>
        <v>104</v>
      </c>
      <c r="E558">
        <f>'Ship Component Reqs'!F184</f>
        <v>348</v>
      </c>
      <c r="F558" s="13">
        <f t="shared" ref="F558:F559" si="176">MAX(E558,_xlfn.CEILING.MATH(ROUNDUP(E558*C558*((1-10%)*(1-2%)*(1-1%)),20)))*D558</f>
        <v>410904</v>
      </c>
      <c r="G558" s="16">
        <f t="shared" ref="G558:G559" si="177">MAX(E558,_xlfn.CEILING.MATH(ROUNDUP(E558*C558*((1-10%)*(1-2%)*(1-1%)),20)))</f>
        <v>3951</v>
      </c>
      <c r="J558" t="str">
        <f>A571</f>
        <v>Photonic Metamaterials</v>
      </c>
      <c r="K558" s="3">
        <f>G571+G577</f>
        <v>4837</v>
      </c>
      <c r="L558" s="3">
        <v>0</v>
      </c>
      <c r="M558" s="7">
        <f>((K558*'Ship Component Reqs'!$D$32)-L558)</f>
        <v>4837</v>
      </c>
      <c r="N558" s="4">
        <f>D571</f>
        <v>7145</v>
      </c>
      <c r="O558" s="12">
        <f>IF(M558&lt;0,0,M558*N558)</f>
        <v>34560365</v>
      </c>
    </row>
    <row r="559" spans="1:15" x14ac:dyDescent="0.35">
      <c r="A559" t="s">
        <v>10</v>
      </c>
      <c r="C559">
        <v>3</v>
      </c>
      <c r="D559" s="23">
        <f>D522</f>
        <v>950</v>
      </c>
      <c r="E559">
        <f>E558</f>
        <v>348</v>
      </c>
      <c r="F559" s="13">
        <f t="shared" si="176"/>
        <v>866400</v>
      </c>
      <c r="G559" s="16">
        <f t="shared" si="177"/>
        <v>912</v>
      </c>
      <c r="K559" s="11"/>
      <c r="O559" s="4">
        <f>SUM(O550:O558)</f>
        <v>111965110.8</v>
      </c>
    </row>
    <row r="560" spans="1:15" ht="16" x14ac:dyDescent="0.5">
      <c r="A560" t="s">
        <v>11</v>
      </c>
      <c r="C560">
        <v>1</v>
      </c>
      <c r="D560" s="23">
        <f>D523</f>
        <v>19380</v>
      </c>
      <c r="E560">
        <f>E559</f>
        <v>348</v>
      </c>
      <c r="F560" s="39">
        <f>MAX(E560,_xlfn.CEILING.MATH(ROUNDUP(E560*C560*((1-10%)*(1-2%)*(1-1%)),20)))*D560</f>
        <v>6744240</v>
      </c>
      <c r="G560" s="16">
        <f>MAX(E560,_xlfn.CEILING.MATH(ROUNDUP(E560*C560*((1-10%)*(1-2%)*(1-1%)),20)))</f>
        <v>348</v>
      </c>
      <c r="M560" s="7"/>
      <c r="O560" s="12">
        <f>F552+F556+F561+F566+F572+F578+F583</f>
        <v>115324064.124</v>
      </c>
    </row>
    <row r="561" spans="1:15" x14ac:dyDescent="0.35">
      <c r="D561" s="38"/>
      <c r="E561" s="1" t="str">
        <f>A557</f>
        <v>Ion Thruster</v>
      </c>
      <c r="F561" s="4">
        <f>SUM(F558:F560)*1.03</f>
        <v>8262190.3200000003</v>
      </c>
      <c r="G561" s="6"/>
      <c r="J561" s="6"/>
      <c r="K561" s="11"/>
      <c r="O561" s="4"/>
    </row>
    <row r="562" spans="1:15" x14ac:dyDescent="0.35">
      <c r="A562" t="s">
        <v>246</v>
      </c>
      <c r="D562" s="59"/>
      <c r="G562" s="6"/>
      <c r="J562" s="6"/>
    </row>
    <row r="563" spans="1:15" x14ac:dyDescent="0.35">
      <c r="A563" s="6" t="s">
        <v>241</v>
      </c>
      <c r="C563">
        <v>22</v>
      </c>
      <c r="D563" s="23">
        <f>D558</f>
        <v>104</v>
      </c>
      <c r="E563">
        <f>'Ship Component Reqs'!F185</f>
        <v>693</v>
      </c>
      <c r="F563" s="13">
        <f t="shared" ref="F563:F564" si="178">MAX(E563,_xlfn.CEILING.MATH(ROUNDUP(E563*C563*((1-10%)*(1-2%)*(1-1%)),20)))*D563</f>
        <v>1384552</v>
      </c>
      <c r="G563" s="16">
        <f t="shared" ref="G563:G564" si="179">MAX(E563,_xlfn.CEILING.MATH(ROUNDUP(E563*C563*((1-10%)*(1-2%)*(1-1%)),20)))</f>
        <v>13313</v>
      </c>
    </row>
    <row r="564" spans="1:15" x14ac:dyDescent="0.35">
      <c r="A564" t="s">
        <v>164</v>
      </c>
      <c r="C564">
        <v>1</v>
      </c>
      <c r="D564" s="23">
        <f>D527</f>
        <v>2760</v>
      </c>
      <c r="E564">
        <f>E563</f>
        <v>693</v>
      </c>
      <c r="F564" s="13">
        <f t="shared" si="178"/>
        <v>1912680</v>
      </c>
      <c r="G564" s="16">
        <f t="shared" si="179"/>
        <v>693</v>
      </c>
    </row>
    <row r="565" spans="1:15" ht="16" x14ac:dyDescent="0.5">
      <c r="A565" t="s">
        <v>15</v>
      </c>
      <c r="C565">
        <v>2</v>
      </c>
      <c r="D565" s="23">
        <f>D528</f>
        <v>5067</v>
      </c>
      <c r="E565">
        <f>E563</f>
        <v>693</v>
      </c>
      <c r="F565" s="39">
        <f>MAX(E565,_xlfn.CEILING.MATH(ROUNDUP(E565*C565*((1-10%)*(1-2%)*(1-1%)),20)))*D565</f>
        <v>6136137</v>
      </c>
      <c r="G565" s="16">
        <f>MAX(E565,_xlfn.CEILING.MATH(ROUNDUP(E565*C565*((1-10%)*(1-2%)*(1-1%)),20)))</f>
        <v>1211</v>
      </c>
    </row>
    <row r="566" spans="1:15" x14ac:dyDescent="0.35">
      <c r="E566" s="1" t="str">
        <f>A562</f>
        <v>Magnetometric Sensor Cluster</v>
      </c>
      <c r="F566" s="4">
        <f>SUM(F563:F565)*1.03</f>
        <v>9716370.0700000003</v>
      </c>
      <c r="G566" s="6"/>
    </row>
    <row r="567" spans="1:15" ht="16" x14ac:dyDescent="0.5">
      <c r="A567" t="s">
        <v>243</v>
      </c>
      <c r="D567" s="38"/>
      <c r="F567" s="39"/>
      <c r="G567" s="16"/>
    </row>
    <row r="568" spans="1:15" x14ac:dyDescent="0.35">
      <c r="A568" s="6" t="s">
        <v>241</v>
      </c>
      <c r="C568">
        <v>27</v>
      </c>
      <c r="D568" s="23">
        <f>D558</f>
        <v>104</v>
      </c>
      <c r="E568">
        <f>'Ship Component Reqs'!F186</f>
        <v>693</v>
      </c>
      <c r="F568" s="13">
        <f t="shared" ref="F568:F570" si="180">MAX(E568,_xlfn.CEILING.MATH(ROUNDUP(E568*C568*((1-10%)*(1-2%)*(1-1%)),20)))*D568</f>
        <v>1699256</v>
      </c>
      <c r="G568" s="16">
        <f t="shared" ref="G568:G570" si="181">MAX(E568,_xlfn.CEILING.MATH(ROUNDUP(E568*C568*((1-10%)*(1-2%)*(1-1%)),20)))</f>
        <v>16339</v>
      </c>
    </row>
    <row r="569" spans="1:15" x14ac:dyDescent="0.35">
      <c r="A569" t="s">
        <v>16</v>
      </c>
      <c r="C569">
        <v>11</v>
      </c>
      <c r="D569" s="23">
        <f>D532</f>
        <v>502</v>
      </c>
      <c r="E569">
        <f>E568</f>
        <v>693</v>
      </c>
      <c r="F569" s="13">
        <f t="shared" si="180"/>
        <v>3341814</v>
      </c>
      <c r="G569" s="16">
        <f t="shared" si="181"/>
        <v>6657</v>
      </c>
    </row>
    <row r="570" spans="1:15" x14ac:dyDescent="0.35">
      <c r="A570" t="s">
        <v>164</v>
      </c>
      <c r="C570">
        <v>1</v>
      </c>
      <c r="D570" s="23">
        <f>D564</f>
        <v>2760</v>
      </c>
      <c r="E570">
        <f>E569</f>
        <v>693</v>
      </c>
      <c r="F570" s="13">
        <f t="shared" si="180"/>
        <v>1912680</v>
      </c>
      <c r="G570" s="16">
        <f t="shared" si="181"/>
        <v>693</v>
      </c>
    </row>
    <row r="571" spans="1:15" ht="16" x14ac:dyDescent="0.5">
      <c r="A571" s="6" t="s">
        <v>251</v>
      </c>
      <c r="C571">
        <v>2</v>
      </c>
      <c r="D571" s="23">
        <f>D534</f>
        <v>7145</v>
      </c>
      <c r="E571">
        <f>E570</f>
        <v>693</v>
      </c>
      <c r="F571" s="39">
        <f>MAX(E571,_xlfn.CEILING.MATH(ROUNDUP(E571*C571*((1-10%)*(1-2%)*(1-1%)),20)))*D571</f>
        <v>8652595</v>
      </c>
      <c r="G571" s="16">
        <f>MAX(E571,_xlfn.CEILING.MATH(ROUNDUP(E571*C571*((1-10%)*(1-2%)*(1-1%)),20)))</f>
        <v>1211</v>
      </c>
    </row>
    <row r="572" spans="1:15" x14ac:dyDescent="0.35">
      <c r="E572" s="1" t="str">
        <f>A567</f>
        <v>Oscillator Capacitor</v>
      </c>
      <c r="F572" s="4">
        <f>SUM(F568:F571)*1.03</f>
        <v>16074535.35</v>
      </c>
      <c r="G572" s="16"/>
    </row>
    <row r="573" spans="1:15" x14ac:dyDescent="0.35">
      <c r="A573" t="s">
        <v>244</v>
      </c>
      <c r="E573" s="1"/>
      <c r="F573" s="4"/>
      <c r="G573" s="6"/>
    </row>
    <row r="574" spans="1:15" x14ac:dyDescent="0.35">
      <c r="A574" s="6" t="s">
        <v>241</v>
      </c>
      <c r="C574">
        <v>17</v>
      </c>
      <c r="D574" s="23">
        <f>D568</f>
        <v>104</v>
      </c>
      <c r="E574">
        <f>'Ship Component Reqs'!F187</f>
        <v>2076</v>
      </c>
      <c r="F574" s="13">
        <f t="shared" ref="F574:F576" si="182">MAX(E574,_xlfn.CEILING.MATH(ROUNDUP(E574*C574*((1-10%)*(1-2%)*(1-1%)),20)))*D574</f>
        <v>3204968</v>
      </c>
      <c r="G574" s="16">
        <f t="shared" ref="G574:G576" si="183">MAX(E574,_xlfn.CEILING.MATH(ROUNDUP(E574*C574*((1-10%)*(1-2%)*(1-1%)),20)))</f>
        <v>30817</v>
      </c>
    </row>
    <row r="575" spans="1:15" x14ac:dyDescent="0.35">
      <c r="A575" t="s">
        <v>10</v>
      </c>
      <c r="C575">
        <v>6</v>
      </c>
      <c r="D575" s="23">
        <f>D559</f>
        <v>950</v>
      </c>
      <c r="E575">
        <f>E574</f>
        <v>2076</v>
      </c>
      <c r="F575" s="13">
        <f t="shared" si="182"/>
        <v>10333150</v>
      </c>
      <c r="G575" s="16">
        <f t="shared" si="183"/>
        <v>10877</v>
      </c>
    </row>
    <row r="576" spans="1:15" x14ac:dyDescent="0.35">
      <c r="A576" t="s">
        <v>164</v>
      </c>
      <c r="C576">
        <v>2</v>
      </c>
      <c r="D576" s="23">
        <f>D570</f>
        <v>2760</v>
      </c>
      <c r="E576">
        <f>E575</f>
        <v>2076</v>
      </c>
      <c r="F576" s="13">
        <f t="shared" si="182"/>
        <v>10007760</v>
      </c>
      <c r="G576" s="16">
        <f t="shared" si="183"/>
        <v>3626</v>
      </c>
    </row>
    <row r="577" spans="1:7" ht="16" x14ac:dyDescent="0.5">
      <c r="A577" s="6" t="s">
        <v>251</v>
      </c>
      <c r="C577">
        <v>2</v>
      </c>
      <c r="D577" s="23">
        <f>D571</f>
        <v>7145</v>
      </c>
      <c r="E577">
        <f>E576</f>
        <v>2076</v>
      </c>
      <c r="F577" s="39">
        <f>MAX(E577,_xlfn.CEILING.MATH(ROUNDUP(E577*C577*((1-10%)*(1-2%)*(1-1%)),20)))*D577</f>
        <v>25907770</v>
      </c>
      <c r="G577" s="16">
        <f>MAX(E577,_xlfn.CEILING.MATH(ROUNDUP(E577*C577*((1-10%)*(1-2%)*(1-1%)),20)))</f>
        <v>3626</v>
      </c>
    </row>
    <row r="578" spans="1:7" x14ac:dyDescent="0.35">
      <c r="E578" s="1" t="str">
        <f>A573</f>
        <v>Photon Microprocessor</v>
      </c>
      <c r="F578" s="4">
        <f>SUM(F574:F577)*1.03</f>
        <v>50937257.439999998</v>
      </c>
      <c r="G578" s="6"/>
    </row>
    <row r="579" spans="1:7" x14ac:dyDescent="0.35">
      <c r="A579" t="s">
        <v>245</v>
      </c>
      <c r="G579" s="6"/>
    </row>
    <row r="580" spans="1:7" x14ac:dyDescent="0.35">
      <c r="A580" s="6" t="s">
        <v>241</v>
      </c>
      <c r="C580">
        <v>22</v>
      </c>
      <c r="D580" s="23">
        <f>D574</f>
        <v>104</v>
      </c>
      <c r="E580">
        <f>'Ship Component Reqs'!F188</f>
        <v>174</v>
      </c>
      <c r="F580" s="13">
        <f t="shared" ref="F580:F581" si="184">MAX(E580,_xlfn.CEILING.MATH(ROUNDUP(E580*C580*((1-10%)*(1-2%)*(1-1%)),20)))*D580</f>
        <v>347672</v>
      </c>
      <c r="G580" s="16">
        <f t="shared" ref="G580:G581" si="185">MAX(E580,_xlfn.CEILING.MATH(ROUNDUP(E580*C580*((1-10%)*(1-2%)*(1-1%)),20)))</f>
        <v>3343</v>
      </c>
    </row>
    <row r="581" spans="1:7" x14ac:dyDescent="0.35">
      <c r="A581" t="s">
        <v>12</v>
      </c>
      <c r="C581">
        <v>9</v>
      </c>
      <c r="D581" s="23">
        <f>D551</f>
        <v>208.9</v>
      </c>
      <c r="E581">
        <f>E580</f>
        <v>174</v>
      </c>
      <c r="F581" s="13">
        <f t="shared" si="184"/>
        <v>285775.2</v>
      </c>
      <c r="G581" s="16">
        <f t="shared" si="185"/>
        <v>1368</v>
      </c>
    </row>
    <row r="582" spans="1:7" ht="16" x14ac:dyDescent="0.5">
      <c r="A582" t="s">
        <v>11</v>
      </c>
      <c r="C582">
        <v>1</v>
      </c>
      <c r="D582" s="23">
        <f>D560</f>
        <v>19380</v>
      </c>
      <c r="E582">
        <f>E581</f>
        <v>174</v>
      </c>
      <c r="F582" s="39">
        <f>MAX(E582,_xlfn.CEILING.MATH(ROUNDUP(E582*C582*((1-10%)*(1-2%)*(1-1%)),20)))*D582</f>
        <v>3372120</v>
      </c>
      <c r="G582" s="16">
        <f>MAX(E582,_xlfn.CEILING.MATH(ROUNDUP(E582*C582*((1-10%)*(1-2%)*(1-1%)),20)))</f>
        <v>174</v>
      </c>
    </row>
    <row r="583" spans="1:7" x14ac:dyDescent="0.35">
      <c r="E583" s="1" t="str">
        <f>A579</f>
        <v>Pulse Shield Emitter</v>
      </c>
      <c r="F583" s="4">
        <f>SUM(F580:F582)*1.03</f>
        <v>4125734.2160000005</v>
      </c>
      <c r="G583" s="16"/>
    </row>
  </sheetData>
  <conditionalFormatting sqref="M3:M11">
    <cfRule type="cellIs" dxfId="22" priority="21" operator="lessThan">
      <formula>0</formula>
    </cfRule>
  </conditionalFormatting>
  <conditionalFormatting sqref="M115:M123">
    <cfRule type="cellIs" dxfId="21" priority="20" operator="lessThan">
      <formula>0</formula>
    </cfRule>
  </conditionalFormatting>
  <conditionalFormatting sqref="M190:M198">
    <cfRule type="cellIs" dxfId="20" priority="19" operator="lessThan">
      <formula>0</formula>
    </cfRule>
  </conditionalFormatting>
  <conditionalFormatting sqref="M227:M235">
    <cfRule type="cellIs" dxfId="19" priority="18" operator="lessThan">
      <formula>0</formula>
    </cfRule>
  </conditionalFormatting>
  <conditionalFormatting sqref="M412">
    <cfRule type="cellIs" dxfId="18" priority="17" operator="lessThan">
      <formula>0</formula>
    </cfRule>
  </conditionalFormatting>
  <conditionalFormatting sqref="M402:M410">
    <cfRule type="cellIs" dxfId="17" priority="15" operator="lessThan">
      <formula>0</formula>
    </cfRule>
  </conditionalFormatting>
  <conditionalFormatting sqref="M40:M48">
    <cfRule type="cellIs" dxfId="16" priority="14" operator="lessThan">
      <formula>0</formula>
    </cfRule>
  </conditionalFormatting>
  <conditionalFormatting sqref="M77:M85">
    <cfRule type="cellIs" dxfId="15" priority="13" operator="lessThan">
      <formula>0</formula>
    </cfRule>
  </conditionalFormatting>
  <conditionalFormatting sqref="M486">
    <cfRule type="cellIs" dxfId="14" priority="12" operator="lessThan">
      <formula>0</formula>
    </cfRule>
  </conditionalFormatting>
  <conditionalFormatting sqref="M476:M484">
    <cfRule type="cellIs" dxfId="13" priority="11" operator="lessThan">
      <formula>0</formula>
    </cfRule>
  </conditionalFormatting>
  <conditionalFormatting sqref="M264:M272">
    <cfRule type="cellIs" dxfId="12" priority="10" operator="lessThan">
      <formula>0</formula>
    </cfRule>
  </conditionalFormatting>
  <conditionalFormatting sqref="M301:M309">
    <cfRule type="cellIs" dxfId="11" priority="9" operator="lessThan">
      <formula>0</formula>
    </cfRule>
  </conditionalFormatting>
  <conditionalFormatting sqref="M338:M346">
    <cfRule type="cellIs" dxfId="10" priority="8" operator="lessThan">
      <formula>0</formula>
    </cfRule>
  </conditionalFormatting>
  <conditionalFormatting sqref="M523">
    <cfRule type="cellIs" dxfId="9" priority="7" operator="lessThan">
      <formula>0</formula>
    </cfRule>
  </conditionalFormatting>
  <conditionalFormatting sqref="M513:M521">
    <cfRule type="cellIs" dxfId="8" priority="6" operator="lessThan">
      <formula>0</formula>
    </cfRule>
  </conditionalFormatting>
  <conditionalFormatting sqref="M560">
    <cfRule type="cellIs" dxfId="7" priority="5" operator="lessThan">
      <formula>0</formula>
    </cfRule>
  </conditionalFormatting>
  <conditionalFormatting sqref="M550:M558">
    <cfRule type="cellIs" dxfId="6" priority="4" operator="lessThan">
      <formula>0</formula>
    </cfRule>
  </conditionalFormatting>
  <conditionalFormatting sqref="M449">
    <cfRule type="cellIs" dxfId="5" priority="3" operator="lessThan">
      <formula>0</formula>
    </cfRule>
  </conditionalFormatting>
  <conditionalFormatting sqref="M439:M447">
    <cfRule type="cellIs" dxfId="4" priority="2" operator="lessThan">
      <formula>0</formula>
    </cfRule>
  </conditionalFormatting>
  <conditionalFormatting sqref="M152:M160">
    <cfRule type="cellIs" dxfId="3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7CB8-8CE0-4D4A-B747-E4DC76E40091}">
  <sheetPr>
    <tabColor rgb="FFFF0000"/>
  </sheetPr>
  <dimension ref="A1:M71"/>
  <sheetViews>
    <sheetView topLeftCell="A25" workbookViewId="0">
      <selection activeCell="H46" sqref="H46"/>
    </sheetView>
  </sheetViews>
  <sheetFormatPr defaultRowHeight="14.5" x14ac:dyDescent="0.35"/>
  <sheetData>
    <row r="1" spans="1:5" x14ac:dyDescent="0.35">
      <c r="A1" t="s">
        <v>28</v>
      </c>
      <c r="C1" t="s">
        <v>29</v>
      </c>
      <c r="E1">
        <f>'Ship Component Reqs'!D2*'Ship Component Reqs'!D4</f>
        <v>12</v>
      </c>
    </row>
    <row r="2" spans="1:5" x14ac:dyDescent="0.35">
      <c r="A2" t="str">
        <f>'Component BP'!A2</f>
        <v>Antimatter Reactor Unit</v>
      </c>
      <c r="D2">
        <f>'Component BP'!E3</f>
        <v>36</v>
      </c>
      <c r="E2" s="24"/>
    </row>
    <row r="3" spans="1:5" x14ac:dyDescent="0.35">
      <c r="A3" t="str">
        <f>'Component BP'!A6</f>
        <v>Fusion Thruster</v>
      </c>
      <c r="D3">
        <f>'Component BP'!E7</f>
        <v>348</v>
      </c>
      <c r="E3" s="24"/>
    </row>
    <row r="4" spans="1:5" x14ac:dyDescent="0.35">
      <c r="A4" t="str">
        <f>'Component BP'!A11</f>
        <v>Linear Shield Emitter</v>
      </c>
      <c r="D4">
        <f>'Component BP'!E12</f>
        <v>176</v>
      </c>
      <c r="E4" s="24"/>
    </row>
    <row r="5" spans="1:5" x14ac:dyDescent="0.35">
      <c r="A5" s="8" t="str">
        <f>'Component BP'!A16</f>
        <v>Nanoelectrical Microprocessor</v>
      </c>
      <c r="D5">
        <f>'Component BP'!E17</f>
        <v>1904</v>
      </c>
      <c r="E5" s="24"/>
    </row>
    <row r="6" spans="1:5" x14ac:dyDescent="0.35">
      <c r="A6" t="str">
        <f>'Component BP'!A22</f>
        <v>Radar Sensor Cluster</v>
      </c>
      <c r="D6">
        <f>'Component BP'!E23</f>
        <v>784</v>
      </c>
      <c r="E6" s="24"/>
    </row>
    <row r="7" spans="1:5" x14ac:dyDescent="0.35">
      <c r="A7" t="str">
        <f>'Component BP'!A27</f>
        <v>Tesseract Capacitor Unit</v>
      </c>
      <c r="D7">
        <f>'Component BP'!E29</f>
        <v>692</v>
      </c>
      <c r="E7" s="24"/>
    </row>
    <row r="8" spans="1:5" x14ac:dyDescent="0.35">
      <c r="A8" t="str">
        <f>'Component BP'!A33</f>
        <v>Tungsten Carbide Armor Plate</v>
      </c>
      <c r="D8">
        <f>'Component BP'!E34</f>
        <v>3460</v>
      </c>
      <c r="E8" s="24"/>
    </row>
    <row r="9" spans="1:5" s="18" customFormat="1" x14ac:dyDescent="0.35"/>
    <row r="10" spans="1:5" x14ac:dyDescent="0.35">
      <c r="A10" t="s">
        <v>28</v>
      </c>
      <c r="C10" t="s">
        <v>189</v>
      </c>
      <c r="E10" s="24"/>
    </row>
    <row r="11" spans="1:5" x14ac:dyDescent="0.35">
      <c r="A11" t="s">
        <v>6</v>
      </c>
      <c r="D11">
        <f>'Ship Component Reqs'!F18</f>
        <v>96</v>
      </c>
      <c r="E11" s="24"/>
    </row>
    <row r="12" spans="1:5" x14ac:dyDescent="0.35">
      <c r="A12" t="s">
        <v>1</v>
      </c>
      <c r="D12">
        <f>'Ship Component Reqs'!F19</f>
        <v>464</v>
      </c>
      <c r="E12" s="24"/>
    </row>
    <row r="13" spans="1:5" x14ac:dyDescent="0.35">
      <c r="A13" t="s">
        <v>7</v>
      </c>
      <c r="D13">
        <f>'Ship Component Reqs'!F20</f>
        <v>232</v>
      </c>
      <c r="E13" s="24"/>
    </row>
    <row r="14" spans="1:5" x14ac:dyDescent="0.35">
      <c r="A14" s="8" t="s">
        <v>4</v>
      </c>
      <c r="D14">
        <f>'Ship Component Reqs'!F21</f>
        <v>2768</v>
      </c>
      <c r="E14" s="24"/>
    </row>
    <row r="15" spans="1:5" x14ac:dyDescent="0.35">
      <c r="A15" t="s">
        <v>3</v>
      </c>
      <c r="D15">
        <f>'Ship Component Reqs'!F22</f>
        <v>924</v>
      </c>
      <c r="E15" s="24"/>
    </row>
    <row r="16" spans="1:5" x14ac:dyDescent="0.35">
      <c r="A16" t="s">
        <v>2</v>
      </c>
      <c r="D16">
        <f>'Ship Component Reqs'!F23</f>
        <v>924</v>
      </c>
      <c r="E16" s="24"/>
    </row>
    <row r="17" spans="1:13" x14ac:dyDescent="0.35">
      <c r="A17" t="s">
        <v>5</v>
      </c>
      <c r="D17">
        <f>'Ship Component Reqs'!F24</f>
        <v>4612</v>
      </c>
      <c r="E17" s="24"/>
    </row>
    <row r="18" spans="1:13" s="18" customFormat="1" x14ac:dyDescent="0.35"/>
    <row r="19" spans="1:13" x14ac:dyDescent="0.35">
      <c r="A19" t="s">
        <v>28</v>
      </c>
      <c r="C19" t="s">
        <v>237</v>
      </c>
      <c r="E19">
        <f>'Ship Component Reqs'!D34*'Ship Component Reqs'!D32</f>
        <v>1</v>
      </c>
    </row>
    <row r="20" spans="1:13" x14ac:dyDescent="0.35">
      <c r="A20" t="str">
        <f>'Component BP'!A114</f>
        <v>Antimatter Reactor Unit</v>
      </c>
      <c r="D20">
        <f>D2+D11</f>
        <v>132</v>
      </c>
      <c r="E20" s="24"/>
    </row>
    <row r="21" spans="1:13" x14ac:dyDescent="0.35">
      <c r="A21" t="str">
        <f>'Component BP'!A118</f>
        <v>Fusion Thruster</v>
      </c>
      <c r="D21">
        <f t="shared" ref="D21:D26" si="0">D3+D12</f>
        <v>812</v>
      </c>
      <c r="E21" s="24"/>
    </row>
    <row r="22" spans="1:13" x14ac:dyDescent="0.35">
      <c r="A22" t="str">
        <f>'Component BP'!A123</f>
        <v>Linear Shield Emitter</v>
      </c>
      <c r="D22">
        <f t="shared" si="0"/>
        <v>408</v>
      </c>
      <c r="E22" s="24"/>
      <c r="F22">
        <f>D22-176</f>
        <v>232</v>
      </c>
    </row>
    <row r="23" spans="1:13" x14ac:dyDescent="0.35">
      <c r="A23" s="8" t="str">
        <f>'Component BP'!A128</f>
        <v>Nanoelectrical Microprocessor</v>
      </c>
      <c r="D23">
        <f t="shared" si="0"/>
        <v>4672</v>
      </c>
      <c r="E23" s="24"/>
    </row>
    <row r="24" spans="1:13" x14ac:dyDescent="0.35">
      <c r="A24" t="str">
        <f>'Component BP'!A134</f>
        <v>Radar Sensor Cluster</v>
      </c>
      <c r="D24">
        <f t="shared" si="0"/>
        <v>1708</v>
      </c>
      <c r="E24" s="24"/>
      <c r="H24" s="30"/>
      <c r="I24" s="30"/>
      <c r="J24" s="30"/>
      <c r="K24" s="30"/>
      <c r="L24" s="30"/>
      <c r="M24" s="30"/>
    </row>
    <row r="25" spans="1:13" x14ac:dyDescent="0.35">
      <c r="A25" t="str">
        <f>'Component BP'!A139</f>
        <v>Tesseract Capacitor Unit</v>
      </c>
      <c r="D25">
        <f t="shared" si="0"/>
        <v>1616</v>
      </c>
      <c r="E25" s="24"/>
    </row>
    <row r="26" spans="1:13" x14ac:dyDescent="0.35">
      <c r="A26" t="str">
        <f>'Component BP'!A145</f>
        <v>Tungsten Carbide Armor Plate</v>
      </c>
      <c r="D26">
        <f t="shared" si="0"/>
        <v>8072</v>
      </c>
      <c r="E26" s="24"/>
      <c r="I26" s="9"/>
      <c r="J26" s="9"/>
      <c r="K26" s="9"/>
      <c r="L26" s="9"/>
      <c r="M26" s="9"/>
    </row>
    <row r="27" spans="1:13" s="18" customFormat="1" x14ac:dyDescent="0.35"/>
    <row r="28" spans="1:13" x14ac:dyDescent="0.35">
      <c r="A28" t="s">
        <v>28</v>
      </c>
      <c r="B28" t="s">
        <v>42</v>
      </c>
      <c r="E28">
        <f>'Ship Component Reqs'!D61*'Ship Component Reqs'!D63</f>
        <v>3</v>
      </c>
    </row>
    <row r="29" spans="1:13" x14ac:dyDescent="0.35">
      <c r="A29" t="str">
        <f>'Ship Component Reqs'!A62</f>
        <v>Graviton Reactor Unit</v>
      </c>
      <c r="D29">
        <f>'Ship Component Reqs'!F62</f>
        <v>52</v>
      </c>
      <c r="E29" s="24"/>
      <c r="F29" t="s">
        <v>168</v>
      </c>
    </row>
    <row r="30" spans="1:13" x14ac:dyDescent="0.35">
      <c r="A30" t="str">
        <f>'Ship Component Reqs'!A63</f>
        <v>Sustained Shield Emitter</v>
      </c>
      <c r="D30">
        <f>'Ship Component Reqs'!F63</f>
        <v>110</v>
      </c>
      <c r="E30" s="24"/>
      <c r="F30" t="s">
        <v>168</v>
      </c>
    </row>
    <row r="31" spans="1:13" x14ac:dyDescent="0.35">
      <c r="A31" t="str">
        <f>'Ship Component Reqs'!A64</f>
        <v>Magpulse Thruster</v>
      </c>
      <c r="D31">
        <f>'Ship Component Reqs'!F64</f>
        <v>173</v>
      </c>
      <c r="E31" s="24"/>
      <c r="F31" t="s">
        <v>168</v>
      </c>
    </row>
    <row r="32" spans="1:13" x14ac:dyDescent="0.35">
      <c r="A32" t="str">
        <f>'Ship Component Reqs'!A65</f>
        <v>Gravimetric Sensor Cluster</v>
      </c>
      <c r="D32">
        <f>'Ship Component Reqs'!F65</f>
        <v>228</v>
      </c>
      <c r="E32" s="24"/>
      <c r="F32" t="s">
        <v>168</v>
      </c>
    </row>
    <row r="33" spans="1:6" x14ac:dyDescent="0.35">
      <c r="A33" t="str">
        <f>'Ship Component Reqs'!A66</f>
        <v>Scalar Capacitor Unit</v>
      </c>
      <c r="D33">
        <f>'Ship Component Reqs'!F66</f>
        <v>433</v>
      </c>
      <c r="E33" s="24"/>
      <c r="F33" t="s">
        <v>168</v>
      </c>
    </row>
    <row r="34" spans="1:6" x14ac:dyDescent="0.35">
      <c r="A34" t="str">
        <f>'Ship Component Reqs'!A67</f>
        <v>Quantum Microprocessor</v>
      </c>
      <c r="D34">
        <f>'Ship Component Reqs'!F67</f>
        <v>1066</v>
      </c>
      <c r="E34" s="24"/>
      <c r="F34" t="s">
        <v>168</v>
      </c>
    </row>
    <row r="35" spans="1:6" x14ac:dyDescent="0.35">
      <c r="A35" t="str">
        <f>'Ship Component Reqs'!A68</f>
        <v>Titanium Diborite Armor Plate</v>
      </c>
      <c r="D35">
        <f>'Ship Component Reqs'!F68</f>
        <v>4696</v>
      </c>
      <c r="E35" s="24"/>
    </row>
    <row r="36" spans="1:6" s="18" customFormat="1" x14ac:dyDescent="0.35"/>
    <row r="37" spans="1:6" x14ac:dyDescent="0.35">
      <c r="A37" t="s">
        <v>28</v>
      </c>
      <c r="B37" t="s">
        <v>254</v>
      </c>
    </row>
    <row r="38" spans="1:6" x14ac:dyDescent="0.35">
      <c r="A38" t="s">
        <v>247</v>
      </c>
      <c r="D38">
        <f>'Component BP'!E476</f>
        <v>3076</v>
      </c>
      <c r="E38" s="24" t="s">
        <v>333</v>
      </c>
    </row>
    <row r="39" spans="1:6" x14ac:dyDescent="0.35">
      <c r="A39" t="s">
        <v>242</v>
      </c>
      <c r="D39">
        <f>'Component BP'!E480</f>
        <v>48</v>
      </c>
      <c r="E39" s="24"/>
    </row>
    <row r="40" spans="1:6" x14ac:dyDescent="0.35">
      <c r="A40" t="s">
        <v>240</v>
      </c>
      <c r="D40">
        <f>'Component BP'!E484</f>
        <v>280</v>
      </c>
      <c r="E40" s="24" t="s">
        <v>333</v>
      </c>
    </row>
    <row r="41" spans="1:6" x14ac:dyDescent="0.35">
      <c r="A41" t="s">
        <v>246</v>
      </c>
      <c r="D41">
        <f>'Component BP'!E489</f>
        <v>232</v>
      </c>
      <c r="E41" s="24" t="s">
        <v>333</v>
      </c>
    </row>
    <row r="42" spans="1:6" x14ac:dyDescent="0.35">
      <c r="A42" t="s">
        <v>243</v>
      </c>
      <c r="D42">
        <f>'Component BP'!E494</f>
        <v>648</v>
      </c>
      <c r="E42" s="24" t="s">
        <v>333</v>
      </c>
    </row>
    <row r="43" spans="1:6" x14ac:dyDescent="0.35">
      <c r="A43" t="s">
        <v>244</v>
      </c>
      <c r="D43">
        <f>'Component BP'!E500</f>
        <v>2616</v>
      </c>
      <c r="E43" s="24" t="s">
        <v>333</v>
      </c>
    </row>
    <row r="44" spans="1:6" x14ac:dyDescent="0.35">
      <c r="A44" t="s">
        <v>245</v>
      </c>
      <c r="D44">
        <f>'Component BP'!E506</f>
        <v>340</v>
      </c>
      <c r="E44" s="24" t="s">
        <v>333</v>
      </c>
    </row>
    <row r="45" spans="1:6" s="18" customFormat="1" x14ac:dyDescent="0.35"/>
    <row r="46" spans="1:6" x14ac:dyDescent="0.35">
      <c r="A46" t="s">
        <v>28</v>
      </c>
      <c r="B46" t="s">
        <v>293</v>
      </c>
    </row>
    <row r="47" spans="1:6" x14ac:dyDescent="0.35">
      <c r="A47" t="s">
        <v>153</v>
      </c>
      <c r="D47">
        <f>'Component BP'!E264</f>
        <v>44</v>
      </c>
      <c r="E47" s="24"/>
    </row>
    <row r="48" spans="1:6" x14ac:dyDescent="0.35">
      <c r="A48" t="s">
        <v>154</v>
      </c>
      <c r="D48">
        <f>'Component BP'!E268</f>
        <v>110</v>
      </c>
      <c r="E48" s="24"/>
    </row>
    <row r="49" spans="1:5" x14ac:dyDescent="0.35">
      <c r="A49" t="s">
        <v>155</v>
      </c>
      <c r="D49">
        <f>'Component BP'!E273</f>
        <v>173</v>
      </c>
      <c r="E49" s="24"/>
    </row>
    <row r="50" spans="1:5" x14ac:dyDescent="0.35">
      <c r="A50" t="s">
        <v>156</v>
      </c>
      <c r="D50">
        <f>'Component BP'!E278</f>
        <v>217</v>
      </c>
      <c r="E50" s="24"/>
    </row>
    <row r="51" spans="1:5" x14ac:dyDescent="0.35">
      <c r="A51" t="s">
        <v>157</v>
      </c>
      <c r="D51">
        <f>'Component BP'!E283</f>
        <v>433</v>
      </c>
      <c r="E51" s="24"/>
    </row>
    <row r="52" spans="1:5" x14ac:dyDescent="0.35">
      <c r="A52" t="s">
        <v>158</v>
      </c>
      <c r="D52">
        <f>'Component BP'!E289</f>
        <v>1038</v>
      </c>
      <c r="E52" s="24"/>
    </row>
    <row r="53" spans="1:5" x14ac:dyDescent="0.35">
      <c r="A53" t="s">
        <v>159</v>
      </c>
      <c r="D53">
        <f>'Component BP'!E295</f>
        <v>4322</v>
      </c>
      <c r="E53" s="24"/>
    </row>
    <row r="54" spans="1:5" s="18" customFormat="1" x14ac:dyDescent="0.35"/>
    <row r="55" spans="1:5" x14ac:dyDescent="0.35">
      <c r="A55" t="s">
        <v>28</v>
      </c>
      <c r="B55" t="s">
        <v>294</v>
      </c>
    </row>
    <row r="56" spans="1:5" x14ac:dyDescent="0.35">
      <c r="A56" t="s">
        <v>153</v>
      </c>
      <c r="D56">
        <f>'Component BP'!E301</f>
        <v>5</v>
      </c>
      <c r="E56" s="24"/>
    </row>
    <row r="57" spans="1:5" x14ac:dyDescent="0.35">
      <c r="A57" t="s">
        <v>154</v>
      </c>
      <c r="D57">
        <f>'Component BP'!E305</f>
        <v>23</v>
      </c>
      <c r="E57" s="24"/>
    </row>
    <row r="58" spans="1:5" x14ac:dyDescent="0.35">
      <c r="A58" t="s">
        <v>155</v>
      </c>
      <c r="D58">
        <f>'Component BP'!E310</f>
        <v>45</v>
      </c>
      <c r="E58" s="24"/>
    </row>
    <row r="59" spans="1:5" x14ac:dyDescent="0.35">
      <c r="A59" t="s">
        <v>156</v>
      </c>
      <c r="D59">
        <f>'Component BP'!E315</f>
        <v>30</v>
      </c>
      <c r="E59" s="24"/>
    </row>
    <row r="60" spans="1:5" x14ac:dyDescent="0.35">
      <c r="A60" t="s">
        <v>157</v>
      </c>
      <c r="D60">
        <f>'Component BP'!E320</f>
        <v>75</v>
      </c>
      <c r="E60" s="24"/>
    </row>
    <row r="61" spans="1:5" x14ac:dyDescent="0.35">
      <c r="A61" t="s">
        <v>158</v>
      </c>
      <c r="D61">
        <f>'Component BP'!E326</f>
        <v>120</v>
      </c>
      <c r="E61" s="24"/>
    </row>
    <row r="62" spans="1:5" x14ac:dyDescent="0.35">
      <c r="A62" t="s">
        <v>159</v>
      </c>
      <c r="D62">
        <f>'Component BP'!E332</f>
        <v>450</v>
      </c>
      <c r="E62" s="24"/>
    </row>
    <row r="63" spans="1:5" s="18" customFormat="1" x14ac:dyDescent="0.35"/>
    <row r="64" spans="1:5" x14ac:dyDescent="0.35">
      <c r="A64" t="s">
        <v>28</v>
      </c>
      <c r="B64" t="s">
        <v>295</v>
      </c>
    </row>
    <row r="65" spans="1:5" x14ac:dyDescent="0.35">
      <c r="A65" t="s">
        <v>153</v>
      </c>
      <c r="D65">
        <f>D47+D56</f>
        <v>49</v>
      </c>
      <c r="E65" s="24"/>
    </row>
    <row r="66" spans="1:5" x14ac:dyDescent="0.35">
      <c r="A66" t="s">
        <v>154</v>
      </c>
      <c r="D66">
        <f t="shared" ref="D66:D71" si="1">D48+D57</f>
        <v>133</v>
      </c>
      <c r="E66" s="24"/>
    </row>
    <row r="67" spans="1:5" x14ac:dyDescent="0.35">
      <c r="A67" t="s">
        <v>155</v>
      </c>
      <c r="D67">
        <f t="shared" si="1"/>
        <v>218</v>
      </c>
      <c r="E67" s="24"/>
    </row>
    <row r="68" spans="1:5" x14ac:dyDescent="0.35">
      <c r="A68" t="s">
        <v>156</v>
      </c>
      <c r="D68">
        <f t="shared" si="1"/>
        <v>247</v>
      </c>
      <c r="E68" s="24"/>
    </row>
    <row r="69" spans="1:5" x14ac:dyDescent="0.35">
      <c r="A69" t="s">
        <v>157</v>
      </c>
      <c r="D69">
        <f>D51+D60</f>
        <v>508</v>
      </c>
      <c r="E69" s="24"/>
    </row>
    <row r="70" spans="1:5" x14ac:dyDescent="0.35">
      <c r="A70" t="s">
        <v>158</v>
      </c>
      <c r="D70">
        <f t="shared" si="1"/>
        <v>1158</v>
      </c>
      <c r="E70" s="24"/>
    </row>
    <row r="71" spans="1:5" x14ac:dyDescent="0.35">
      <c r="A71" t="s">
        <v>159</v>
      </c>
      <c r="D71">
        <f t="shared" si="1"/>
        <v>4772</v>
      </c>
      <c r="E71" s="2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065F-D993-4858-A62E-8E321013D079}">
  <sheetPr>
    <tabColor rgb="FFFF0000"/>
  </sheetPr>
  <dimension ref="A1:V74"/>
  <sheetViews>
    <sheetView zoomScale="90" zoomScaleNormal="90" workbookViewId="0">
      <selection activeCell="K64" sqref="K64"/>
    </sheetView>
  </sheetViews>
  <sheetFormatPr defaultRowHeight="14.5" x14ac:dyDescent="0.35"/>
  <cols>
    <col min="1" max="1" width="28.453125" bestFit="1" customWidth="1"/>
    <col min="11" max="11" width="11.1796875" bestFit="1" customWidth="1"/>
    <col min="13" max="13" width="16.1796875" bestFit="1" customWidth="1"/>
    <col min="14" max="14" width="19.26953125" bestFit="1" customWidth="1"/>
    <col min="21" max="21" width="11.1796875" bestFit="1" customWidth="1"/>
    <col min="22" max="22" width="20.453125" bestFit="1" customWidth="1"/>
  </cols>
  <sheetData>
    <row r="1" spans="1:22" x14ac:dyDescent="0.35">
      <c r="A1" t="str">
        <f>'Ship Component Reqs'!A2</f>
        <v>Anathema Requirements</v>
      </c>
      <c r="B1" t="str">
        <f>'Ship Component Reqs'!B2</f>
        <v>Base</v>
      </c>
      <c r="C1" s="33" t="str">
        <f>'Ship Component Reqs'!C2</f>
        <v>Runs</v>
      </c>
      <c r="D1" s="36">
        <f>'Ship Component Reqs'!D2</f>
        <v>3</v>
      </c>
      <c r="E1" t="str">
        <f>'Ship Component Reqs'!E2</f>
        <v>Have</v>
      </c>
      <c r="F1" t="str">
        <f>'Ship Component Reqs'!F2</f>
        <v>Need</v>
      </c>
      <c r="H1" t="s">
        <v>236</v>
      </c>
      <c r="K1" s="2"/>
      <c r="L1" s="1"/>
      <c r="M1" s="4"/>
      <c r="Q1" t="s">
        <v>25</v>
      </c>
      <c r="R1" s="3" t="s">
        <v>30</v>
      </c>
      <c r="S1" s="3" t="s">
        <v>27</v>
      </c>
      <c r="T1" s="3" t="s">
        <v>35</v>
      </c>
      <c r="U1" t="s">
        <v>26</v>
      </c>
      <c r="V1" s="3" t="s">
        <v>34</v>
      </c>
    </row>
    <row r="2" spans="1:22" x14ac:dyDescent="0.35">
      <c r="A2" t="str">
        <f>'Ship Component Reqs'!A3</f>
        <v>Antimatter Reactor Unit</v>
      </c>
      <c r="B2">
        <f>'Ship Component Reqs'!B3</f>
        <v>3</v>
      </c>
      <c r="C2">
        <f>'Ship Component Reqs'!C3</f>
        <v>9</v>
      </c>
      <c r="D2" s="34" t="str">
        <f>'Ship Component Reqs'!D3</f>
        <v>Copies</v>
      </c>
      <c r="E2" s="5">
        <f>'Ship Component Reqs'!E3</f>
        <v>0</v>
      </c>
      <c r="F2">
        <f>'Ship Component Reqs'!F3</f>
        <v>36</v>
      </c>
      <c r="H2" t="s">
        <v>6</v>
      </c>
      <c r="K2" s="2" t="s">
        <v>21</v>
      </c>
      <c r="L2" t="s">
        <v>19</v>
      </c>
      <c r="N2" t="s">
        <v>24</v>
      </c>
      <c r="Q2" t="s">
        <v>8</v>
      </c>
      <c r="R2">
        <f ca="1">SUMIF($H$3:$N$35,Q2,$N$3:$N$35)</f>
        <v>468482</v>
      </c>
      <c r="S2" s="21"/>
      <c r="T2" s="7">
        <f t="shared" ref="T2:T7" ca="1" si="0">((R2)-S2)</f>
        <v>468482</v>
      </c>
      <c r="U2" s="4">
        <f>K3</f>
        <v>130</v>
      </c>
      <c r="V2" s="14">
        <f t="shared" ref="V2:V10" ca="1" si="1">IF(T2&lt;0,0,T2*U2)</f>
        <v>60902660</v>
      </c>
    </row>
    <row r="3" spans="1:22" x14ac:dyDescent="0.35">
      <c r="A3" t="str">
        <f>'Ship Component Reqs'!A4</f>
        <v>Fusion Thruster</v>
      </c>
      <c r="B3">
        <f>'Ship Component Reqs'!B4</f>
        <v>30</v>
      </c>
      <c r="C3">
        <f>'Ship Component Reqs'!C4</f>
        <v>87</v>
      </c>
      <c r="D3" s="35">
        <f>'Ship Component Reqs'!D4</f>
        <v>4</v>
      </c>
      <c r="E3" s="5">
        <f>'Ship Component Reqs'!E4</f>
        <v>0</v>
      </c>
      <c r="F3">
        <f>'Ship Component Reqs'!F4</f>
        <v>348</v>
      </c>
      <c r="H3" t="s">
        <v>8</v>
      </c>
      <c r="I3">
        <v>9</v>
      </c>
      <c r="J3">
        <v>9</v>
      </c>
      <c r="K3" s="23">
        <f>Pricing!F3</f>
        <v>130</v>
      </c>
      <c r="L3">
        <f>F24</f>
        <v>132</v>
      </c>
      <c r="M3" s="13">
        <f>MAX(L3,_xlfn.CEILING.MATH(ROUNDUP(L3*J3*((1-10%)*(1-2%)*(1-1%)),20)))*K3</f>
        <v>134940</v>
      </c>
      <c r="N3" s="16">
        <f>MAX(L3,_xlfn.CEILING.MATH(ROUNDUP(L3*J3*((1-10%)*(1-2%)*(1-1%)),20)))</f>
        <v>1038</v>
      </c>
      <c r="Q3" t="s">
        <v>9</v>
      </c>
      <c r="R3">
        <f t="shared" ref="R3:R10" ca="1" si="2">SUMIF($H$3:$N$35,Q3,$N$3:$N$35)</f>
        <v>231</v>
      </c>
      <c r="S3" s="21">
        <v>0</v>
      </c>
      <c r="T3" s="7">
        <f t="shared" ca="1" si="0"/>
        <v>231</v>
      </c>
      <c r="U3" s="2">
        <f>K4</f>
        <v>36700</v>
      </c>
      <c r="V3" s="14">
        <f t="shared" ca="1" si="1"/>
        <v>8477700</v>
      </c>
    </row>
    <row r="4" spans="1:22" ht="16" x14ac:dyDescent="0.5">
      <c r="A4" t="str">
        <f>'Ship Component Reqs'!A5</f>
        <v>Linear Shield Emitter</v>
      </c>
      <c r="B4">
        <f>'Ship Component Reqs'!B5</f>
        <v>15</v>
      </c>
      <c r="C4">
        <f>'Ship Component Reqs'!C5</f>
        <v>44</v>
      </c>
      <c r="D4">
        <f>'Ship Component Reqs'!D5</f>
        <v>0</v>
      </c>
      <c r="E4" s="5">
        <f>'Ship Component Reqs'!E5</f>
        <v>0</v>
      </c>
      <c r="F4">
        <f>'Ship Component Reqs'!F5</f>
        <v>176</v>
      </c>
      <c r="H4" t="s">
        <v>9</v>
      </c>
      <c r="I4">
        <v>2</v>
      </c>
      <c r="J4">
        <v>2</v>
      </c>
      <c r="K4" s="23">
        <f>Pricing!F26</f>
        <v>36700</v>
      </c>
      <c r="L4">
        <f>L3</f>
        <v>132</v>
      </c>
      <c r="M4" s="39">
        <f>MAX(L4,_xlfn.CEILING.MATH(ROUNDUP(L4*J4*((1-10%)*(1-2%)*(1-1%)),20)))*K4</f>
        <v>8477700</v>
      </c>
      <c r="N4" s="16">
        <f>MAX(L4,_xlfn.CEILING.MATH(ROUNDUP(L4*J4*((1-10%)*(1-2%)*(1-1%)),20)))</f>
        <v>231</v>
      </c>
      <c r="Q4" t="s">
        <v>10</v>
      </c>
      <c r="R4">
        <f t="shared" ca="1" si="2"/>
        <v>26605</v>
      </c>
      <c r="S4" s="21">
        <v>0</v>
      </c>
      <c r="T4" s="7">
        <f t="shared" ca="1" si="0"/>
        <v>26605</v>
      </c>
      <c r="U4" s="4">
        <f>K8</f>
        <v>950</v>
      </c>
      <c r="V4" s="14">
        <f t="shared" ca="1" si="1"/>
        <v>25274750</v>
      </c>
    </row>
    <row r="5" spans="1:22" x14ac:dyDescent="0.35">
      <c r="A5" t="str">
        <f>'Ship Component Reqs'!A6</f>
        <v>Nanoelectrical Microprocessor</v>
      </c>
      <c r="B5">
        <f>'Ship Component Reqs'!B6</f>
        <v>165</v>
      </c>
      <c r="C5">
        <f>'Ship Component Reqs'!C6</f>
        <v>476</v>
      </c>
      <c r="D5">
        <f>'Ship Component Reqs'!D6</f>
        <v>12</v>
      </c>
      <c r="E5" s="5">
        <f>'Ship Component Reqs'!E6</f>
        <v>0</v>
      </c>
      <c r="F5">
        <f>'Ship Component Reqs'!F6</f>
        <v>1904</v>
      </c>
      <c r="K5" s="2"/>
      <c r="L5" s="1" t="str">
        <f>H2</f>
        <v>Antimatter Reactor Unit</v>
      </c>
      <c r="M5" s="4">
        <f>SUM(M3:M4)</f>
        <v>8612640</v>
      </c>
      <c r="N5" s="6"/>
      <c r="Q5" t="s">
        <v>11</v>
      </c>
      <c r="R5">
        <f t="shared" ca="1" si="2"/>
        <v>1220</v>
      </c>
      <c r="S5" s="21">
        <v>0</v>
      </c>
      <c r="T5" s="7">
        <f t="shared" ca="1" si="0"/>
        <v>1220</v>
      </c>
      <c r="U5" s="4">
        <f>K9</f>
        <v>19380</v>
      </c>
      <c r="V5" s="14">
        <f t="shared" ca="1" si="1"/>
        <v>23643600</v>
      </c>
    </row>
    <row r="6" spans="1:22" x14ac:dyDescent="0.35">
      <c r="A6" t="str">
        <f>'Ship Component Reqs'!A7</f>
        <v>Radar Sensor Cluster</v>
      </c>
      <c r="B6">
        <f>'Ship Component Reqs'!B7</f>
        <v>68</v>
      </c>
      <c r="C6">
        <f>'Ship Component Reqs'!C7</f>
        <v>196</v>
      </c>
      <c r="D6">
        <f>'Ship Component Reqs'!D7</f>
        <v>0</v>
      </c>
      <c r="E6" s="5">
        <f>'Ship Component Reqs'!E7</f>
        <v>0</v>
      </c>
      <c r="F6">
        <f>'Ship Component Reqs'!F7</f>
        <v>784</v>
      </c>
      <c r="H6" t="s">
        <v>1</v>
      </c>
      <c r="K6" s="2"/>
      <c r="M6" s="4"/>
      <c r="N6" s="6"/>
      <c r="Q6" t="s">
        <v>12</v>
      </c>
      <c r="R6">
        <f t="shared" ca="1" si="2"/>
        <v>80739</v>
      </c>
      <c r="S6" s="21"/>
      <c r="T6" s="7">
        <f t="shared" ca="1" si="0"/>
        <v>80739</v>
      </c>
      <c r="U6" s="4">
        <f>K14</f>
        <v>208.9</v>
      </c>
      <c r="V6" s="14">
        <f t="shared" ca="1" si="1"/>
        <v>16866377.100000001</v>
      </c>
    </row>
    <row r="7" spans="1:22" x14ac:dyDescent="0.35">
      <c r="A7" t="str">
        <f>'Ship Component Reqs'!A8</f>
        <v>Tesseract Capacitor Unit</v>
      </c>
      <c r="B7">
        <f>'Ship Component Reqs'!B8</f>
        <v>60</v>
      </c>
      <c r="C7">
        <f>'Ship Component Reqs'!C8</f>
        <v>173</v>
      </c>
      <c r="D7">
        <f>'Ship Component Reqs'!D8</f>
        <v>0</v>
      </c>
      <c r="E7" s="5">
        <f>'Ship Component Reqs'!E8</f>
        <v>0</v>
      </c>
      <c r="F7">
        <f>'Ship Component Reqs'!F8</f>
        <v>692</v>
      </c>
      <c r="H7" t="str">
        <f>H3</f>
        <v>Tungsten Carbide</v>
      </c>
      <c r="I7">
        <v>12</v>
      </c>
      <c r="J7">
        <v>13</v>
      </c>
      <c r="K7" s="38">
        <f>K3</f>
        <v>130</v>
      </c>
      <c r="L7">
        <f>F25</f>
        <v>812</v>
      </c>
      <c r="M7" s="13">
        <f t="shared" ref="M7:M8" si="3">MAX(L7,_xlfn.CEILING.MATH(ROUNDUP(L7*J7*((1-10%)*(1-2%)*(1-1%)),20)))*K7</f>
        <v>1198340</v>
      </c>
      <c r="N7" s="16">
        <f t="shared" ref="N7:N8" si="4">MAX(L7,_xlfn.CEILING.MATH(ROUNDUP(L7*J7*((1-10%)*(1-2%)*(1-1%)),20)))</f>
        <v>9218</v>
      </c>
      <c r="Q7" t="s">
        <v>13</v>
      </c>
      <c r="R7">
        <f t="shared" ca="1" si="2"/>
        <v>10982</v>
      </c>
      <c r="S7" s="21"/>
      <c r="T7" s="7">
        <f t="shared" ca="1" si="0"/>
        <v>10982</v>
      </c>
      <c r="U7" s="4">
        <f>K19</f>
        <v>9951</v>
      </c>
      <c r="V7" s="14">
        <f t="shared" ca="1" si="1"/>
        <v>109281882</v>
      </c>
    </row>
    <row r="8" spans="1:22" x14ac:dyDescent="0.35">
      <c r="A8" t="str">
        <f>'Ship Component Reqs'!A9</f>
        <v>Tungsten Carbide Armor Plate</v>
      </c>
      <c r="B8">
        <f>'Ship Component Reqs'!B9</f>
        <v>300</v>
      </c>
      <c r="C8">
        <f>'Ship Component Reqs'!C9</f>
        <v>865</v>
      </c>
      <c r="D8">
        <f>'Ship Component Reqs'!D9</f>
        <v>0</v>
      </c>
      <c r="E8" s="5">
        <f>'Ship Component Reqs'!E9</f>
        <v>0</v>
      </c>
      <c r="F8">
        <f>'Ship Component Reqs'!F9</f>
        <v>3460</v>
      </c>
      <c r="H8" t="s">
        <v>10</v>
      </c>
      <c r="I8">
        <v>3</v>
      </c>
      <c r="J8">
        <v>3</v>
      </c>
      <c r="K8" s="23">
        <f>Pricing!F27</f>
        <v>950</v>
      </c>
      <c r="L8">
        <f>L7</f>
        <v>812</v>
      </c>
      <c r="M8" s="13">
        <f t="shared" si="3"/>
        <v>2021600</v>
      </c>
      <c r="N8" s="16">
        <f t="shared" si="4"/>
        <v>2128</v>
      </c>
      <c r="Q8" t="s">
        <v>14</v>
      </c>
      <c r="R8">
        <f t="shared" ca="1" si="2"/>
        <v>11483</v>
      </c>
      <c r="S8" s="21">
        <v>29939</v>
      </c>
      <c r="T8" s="7">
        <f ca="1">((R8)-S8)</f>
        <v>-18456</v>
      </c>
      <c r="U8" s="4">
        <f>K20</f>
        <v>2760</v>
      </c>
      <c r="V8" s="14">
        <f t="shared" ca="1" si="1"/>
        <v>0</v>
      </c>
    </row>
    <row r="9" spans="1:22" ht="16" x14ac:dyDescent="0.5">
      <c r="A9">
        <f>'Ship Component Reqs'!A10</f>
        <v>0</v>
      </c>
      <c r="B9">
        <f>'Ship Component Reqs'!B10</f>
        <v>0</v>
      </c>
      <c r="C9">
        <f>'Ship Component Reqs'!C10</f>
        <v>0</v>
      </c>
      <c r="D9">
        <f>'Ship Component Reqs'!D10</f>
        <v>0</v>
      </c>
      <c r="E9">
        <f>'Ship Component Reqs'!E10</f>
        <v>0</v>
      </c>
      <c r="F9">
        <f>'Ship Component Reqs'!F10</f>
        <v>0</v>
      </c>
      <c r="H9" t="s">
        <v>11</v>
      </c>
      <c r="I9">
        <v>1</v>
      </c>
      <c r="J9">
        <v>1</v>
      </c>
      <c r="K9" s="23">
        <f>Pricing!F28</f>
        <v>19380</v>
      </c>
      <c r="L9">
        <f>L7</f>
        <v>812</v>
      </c>
      <c r="M9" s="39">
        <f>MAX(L9,_xlfn.CEILING.MATH(ROUNDUP(L9*J9*((1-10%)*(1-2%)*(1-1%)),20)))*K9</f>
        <v>15736560</v>
      </c>
      <c r="N9" s="16">
        <f>MAX(L9,_xlfn.CEILING.MATH(ROUNDUP(L9*J9*((1-10%)*(1-2%)*(1-1%)),20)))</f>
        <v>812</v>
      </c>
      <c r="Q9" t="s">
        <v>15</v>
      </c>
      <c r="R9">
        <f t="shared" ca="1" si="2"/>
        <v>2983</v>
      </c>
      <c r="S9" s="21"/>
      <c r="T9" s="7">
        <f ca="1">((R9)-S9)</f>
        <v>2983</v>
      </c>
      <c r="U9" s="4">
        <f>K25</f>
        <v>5067</v>
      </c>
      <c r="V9" s="14">
        <f t="shared" ca="1" si="1"/>
        <v>15114861</v>
      </c>
    </row>
    <row r="10" spans="1:22" ht="16" x14ac:dyDescent="0.5">
      <c r="A10" t="str">
        <f>'Ship Component Reqs'!A11</f>
        <v>Morphite</v>
      </c>
      <c r="B10">
        <f>'Ship Component Reqs'!B11</f>
        <v>15</v>
      </c>
      <c r="C10">
        <f>'Ship Component Reqs'!C11</f>
        <v>44</v>
      </c>
      <c r="D10">
        <f>'Ship Component Reqs'!D11</f>
        <v>0</v>
      </c>
      <c r="E10" s="5">
        <f>'Ship Component Reqs'!E11</f>
        <v>0</v>
      </c>
      <c r="F10">
        <f>'Ship Component Reqs'!F11</f>
        <v>176</v>
      </c>
      <c r="K10" s="2"/>
      <c r="L10" s="1" t="str">
        <f>H6</f>
        <v>Fusion Thruster</v>
      </c>
      <c r="M10" s="4">
        <f>SUM(M7:M9)*1.03</f>
        <v>19525195</v>
      </c>
      <c r="N10" s="6"/>
      <c r="Q10" t="s">
        <v>16</v>
      </c>
      <c r="R10">
        <f t="shared" ca="1" si="2"/>
        <v>15522</v>
      </c>
      <c r="S10" s="21">
        <v>0</v>
      </c>
      <c r="T10" s="7">
        <f ca="1">((R10)-S10)</f>
        <v>15522</v>
      </c>
      <c r="U10" s="4">
        <f>K31</f>
        <v>502</v>
      </c>
      <c r="V10" s="12">
        <f t="shared" ca="1" si="1"/>
        <v>7792044</v>
      </c>
    </row>
    <row r="11" spans="1:22" x14ac:dyDescent="0.35">
      <c r="A11" t="str">
        <f>'Ship Component Reqs'!A12</f>
        <v>Construction Blocks</v>
      </c>
      <c r="B11">
        <f>'Ship Component Reqs'!B12</f>
        <v>23</v>
      </c>
      <c r="C11">
        <f>'Ship Component Reqs'!C12</f>
        <v>67</v>
      </c>
      <c r="D11">
        <f>'Ship Component Reqs'!D12</f>
        <v>0</v>
      </c>
      <c r="E11" s="5">
        <f>'Ship Component Reqs'!E12</f>
        <v>0</v>
      </c>
      <c r="F11">
        <f>'Ship Component Reqs'!F12</f>
        <v>67</v>
      </c>
      <c r="H11" t="s">
        <v>7</v>
      </c>
      <c r="K11" s="2"/>
      <c r="M11" s="4"/>
      <c r="N11" s="6"/>
      <c r="P11">
        <f>4*4</f>
        <v>16</v>
      </c>
      <c r="R11" s="11"/>
      <c r="S11" s="3"/>
      <c r="T11" s="3"/>
      <c r="V11" s="4">
        <f ca="1">SUM(V2:V10)</f>
        <v>267353874.09999999</v>
      </c>
    </row>
    <row r="12" spans="1:22" x14ac:dyDescent="0.35">
      <c r="A12" t="str">
        <f>'Ship Component Reqs'!A13</f>
        <v>BP ME</v>
      </c>
      <c r="B12" s="32">
        <f>'Ship Component Reqs'!B13</f>
        <v>0.03</v>
      </c>
      <c r="C12" s="30">
        <f>'Ship Component Reqs'!C13</f>
        <v>0</v>
      </c>
      <c r="D12">
        <f>'Ship Component Reqs'!D13</f>
        <v>0</v>
      </c>
      <c r="E12">
        <f>'Ship Component Reqs'!E13</f>
        <v>0</v>
      </c>
      <c r="F12">
        <f>'Ship Component Reqs'!F13</f>
        <v>0</v>
      </c>
      <c r="H12" t="str">
        <f>H7</f>
        <v>Tungsten Carbide</v>
      </c>
      <c r="I12">
        <v>20</v>
      </c>
      <c r="J12">
        <v>22</v>
      </c>
      <c r="K12" s="38">
        <f>K7</f>
        <v>130</v>
      </c>
      <c r="L12">
        <f>F26</f>
        <v>408</v>
      </c>
      <c r="M12" s="13">
        <f t="shared" ref="M12:M13" si="5">MAX(L12,_xlfn.CEILING.MATH(ROUNDUP(L12*J12*((1-10%)*(1-2%)*(1-1%)),20)))*K12</f>
        <v>1018940</v>
      </c>
      <c r="N12" s="16">
        <f t="shared" ref="N12:N13" si="6">MAX(L12,_xlfn.CEILING.MATH(ROUNDUP(L12*J12*((1-10%)*(1-2%)*(1-1%)),20)))</f>
        <v>7838</v>
      </c>
      <c r="P12">
        <v>-4</v>
      </c>
    </row>
    <row r="13" spans="1:22" x14ac:dyDescent="0.35">
      <c r="H13" t="str">
        <f>H9</f>
        <v>Ferrogel</v>
      </c>
      <c r="I13">
        <v>1</v>
      </c>
      <c r="J13">
        <v>1</v>
      </c>
      <c r="K13" s="38">
        <f>K9</f>
        <v>19380</v>
      </c>
      <c r="L13">
        <f>L12</f>
        <v>408</v>
      </c>
      <c r="M13" s="13">
        <f t="shared" si="5"/>
        <v>7907040</v>
      </c>
      <c r="N13" s="16">
        <f t="shared" si="6"/>
        <v>408</v>
      </c>
      <c r="P13">
        <f>P11+P12</f>
        <v>12</v>
      </c>
    </row>
    <row r="14" spans="1:22" ht="16" x14ac:dyDescent="0.5">
      <c r="A14" t="s">
        <v>193</v>
      </c>
      <c r="B14" t="str">
        <f>'Ship Component Reqs'!B46</f>
        <v>Base</v>
      </c>
      <c r="C14" s="33" t="str">
        <f>'Ship Component Reqs'!C46</f>
        <v>Runs</v>
      </c>
      <c r="D14" s="36">
        <f>'Ship Component Reqs'!D46</f>
        <v>4</v>
      </c>
      <c r="E14" t="str">
        <f>'Ship Component Reqs'!E46</f>
        <v>Have</v>
      </c>
      <c r="F14" t="str">
        <f>'Ship Component Reqs'!F46</f>
        <v>Need</v>
      </c>
      <c r="H14" t="s">
        <v>12</v>
      </c>
      <c r="I14">
        <v>9</v>
      </c>
      <c r="J14">
        <v>9</v>
      </c>
      <c r="K14" s="23">
        <f>Pricing!F29</f>
        <v>208.9</v>
      </c>
      <c r="L14">
        <f>L12</f>
        <v>408</v>
      </c>
      <c r="M14" s="39">
        <f>MAX(L14,_xlfn.CEILING.MATH(ROUNDUP(L14*J14*((1-10%)*(1-2%)*(1-1%)),20)))*K14</f>
        <v>669942.30000000005</v>
      </c>
      <c r="N14" s="16">
        <f>MAX(L14,_xlfn.CEILING.MATH(ROUNDUP(L14*J14*((1-10%)*(1-2%)*(1-1%)),20)))</f>
        <v>3207</v>
      </c>
    </row>
    <row r="15" spans="1:22" x14ac:dyDescent="0.35">
      <c r="A15" t="s">
        <v>6</v>
      </c>
      <c r="B15">
        <v>6</v>
      </c>
      <c r="C15">
        <v>24</v>
      </c>
      <c r="D15" s="34" t="s">
        <v>97</v>
      </c>
      <c r="E15" s="5">
        <v>0</v>
      </c>
      <c r="F15">
        <v>96</v>
      </c>
      <c r="K15" s="2"/>
      <c r="L15" s="1" t="str">
        <f>H11</f>
        <v>Linear Shield Emitter</v>
      </c>
      <c r="M15" s="4">
        <f>SUM(M12:M14)*1.03</f>
        <v>9883799.9690000005</v>
      </c>
      <c r="N15" s="6"/>
    </row>
    <row r="16" spans="1:22" x14ac:dyDescent="0.35">
      <c r="A16" t="s">
        <v>1</v>
      </c>
      <c r="B16">
        <v>30</v>
      </c>
      <c r="C16">
        <v>116</v>
      </c>
      <c r="D16" s="35">
        <v>4</v>
      </c>
      <c r="E16" s="5">
        <v>0</v>
      </c>
      <c r="F16">
        <v>464</v>
      </c>
      <c r="H16" t="s">
        <v>4</v>
      </c>
      <c r="K16" s="2"/>
      <c r="M16" s="4"/>
      <c r="N16" s="6"/>
    </row>
    <row r="17" spans="1:14" x14ac:dyDescent="0.35">
      <c r="A17" t="s">
        <v>7</v>
      </c>
      <c r="B17">
        <v>15</v>
      </c>
      <c r="C17">
        <v>58</v>
      </c>
      <c r="E17" s="5">
        <v>0</v>
      </c>
      <c r="F17">
        <v>232</v>
      </c>
      <c r="H17" t="str">
        <f>H12</f>
        <v>Tungsten Carbide</v>
      </c>
      <c r="I17">
        <v>16</v>
      </c>
      <c r="J17">
        <v>17</v>
      </c>
      <c r="K17" s="2">
        <f>K12</f>
        <v>130</v>
      </c>
      <c r="L17">
        <f>F27</f>
        <v>4672</v>
      </c>
      <c r="M17" s="13">
        <f t="shared" ref="M17:M19" si="7">MAX(L17,_xlfn.CEILING.MATH(ROUNDUP(L17*J17*((1-10%)*(1-2%)*(1-1%)),20)))*K17</f>
        <v>9015760</v>
      </c>
      <c r="N17" s="16">
        <f t="shared" ref="N17:N19" si="8">MAX(L17,_xlfn.CEILING.MATH(ROUNDUP(L17*J17*((1-10%)*(1-2%)*(1-1%)),20)))</f>
        <v>69352</v>
      </c>
    </row>
    <row r="18" spans="1:14" x14ac:dyDescent="0.35">
      <c r="A18" t="s">
        <v>4</v>
      </c>
      <c r="B18">
        <v>180</v>
      </c>
      <c r="C18">
        <v>692</v>
      </c>
      <c r="E18" s="5">
        <v>0</v>
      </c>
      <c r="F18">
        <v>2768</v>
      </c>
      <c r="H18" t="str">
        <f>H8</f>
        <v>Phenolic Composites</v>
      </c>
      <c r="I18">
        <v>6</v>
      </c>
      <c r="J18">
        <v>6</v>
      </c>
      <c r="K18" s="2">
        <f>K8</f>
        <v>950</v>
      </c>
      <c r="L18">
        <f>L17</f>
        <v>4672</v>
      </c>
      <c r="M18" s="13">
        <f t="shared" si="7"/>
        <v>23253150</v>
      </c>
      <c r="N18" s="16">
        <f t="shared" si="8"/>
        <v>24477</v>
      </c>
    </row>
    <row r="19" spans="1:14" x14ac:dyDescent="0.35">
      <c r="A19" t="s">
        <v>3</v>
      </c>
      <c r="B19">
        <v>60</v>
      </c>
      <c r="C19">
        <v>231</v>
      </c>
      <c r="E19" s="5">
        <v>0</v>
      </c>
      <c r="F19">
        <v>924</v>
      </c>
      <c r="H19" t="s">
        <v>13</v>
      </c>
      <c r="I19">
        <v>2</v>
      </c>
      <c r="J19">
        <v>2</v>
      </c>
      <c r="K19" s="23">
        <f>Pricing!F5</f>
        <v>9951</v>
      </c>
      <c r="L19">
        <f>L17</f>
        <v>4672</v>
      </c>
      <c r="M19" s="13">
        <f t="shared" si="7"/>
        <v>81190209</v>
      </c>
      <c r="N19" s="16">
        <f t="shared" si="8"/>
        <v>8159</v>
      </c>
    </row>
    <row r="20" spans="1:14" ht="16" x14ac:dyDescent="0.5">
      <c r="A20" t="s">
        <v>2</v>
      </c>
      <c r="B20">
        <v>60</v>
      </c>
      <c r="C20">
        <v>231</v>
      </c>
      <c r="E20" s="5">
        <v>0</v>
      </c>
      <c r="F20">
        <v>924</v>
      </c>
      <c r="H20" t="s">
        <v>14</v>
      </c>
      <c r="I20">
        <v>2</v>
      </c>
      <c r="J20">
        <v>2</v>
      </c>
      <c r="K20" s="23">
        <f>Pricing!F30</f>
        <v>2760</v>
      </c>
      <c r="L20">
        <f>L18</f>
        <v>4672</v>
      </c>
      <c r="M20" s="39">
        <f>MAX(L20,_xlfn.CEILING.MATH(ROUNDUP(L20*J20*((1-10%)*(1-2%)*(1-1%)),20)))*K20</f>
        <v>22518840</v>
      </c>
      <c r="N20" s="16">
        <f>MAX(L20,_xlfn.CEILING.MATH(ROUNDUP(L20*J20*((1-10%)*(1-2%)*(1-1%)),20)))</f>
        <v>8159</v>
      </c>
    </row>
    <row r="21" spans="1:14" x14ac:dyDescent="0.35">
      <c r="A21" t="s">
        <v>5</v>
      </c>
      <c r="B21">
        <v>300</v>
      </c>
      <c r="C21">
        <v>1153</v>
      </c>
      <c r="E21" s="5">
        <v>0</v>
      </c>
      <c r="F21">
        <v>4612</v>
      </c>
      <c r="K21" s="2"/>
      <c r="L21" s="1" t="str">
        <f>H16</f>
        <v>Nanoelectrical Microprocessor</v>
      </c>
      <c r="M21" s="4">
        <f>SUM(M17:M20)*1.03</f>
        <v>140057297.77000001</v>
      </c>
      <c r="N21" s="6"/>
    </row>
    <row r="22" spans="1:14" x14ac:dyDescent="0.35">
      <c r="H22" t="s">
        <v>3</v>
      </c>
      <c r="K22" s="2"/>
      <c r="M22" s="4"/>
      <c r="N22" s="6"/>
    </row>
    <row r="23" spans="1:14" x14ac:dyDescent="0.35">
      <c r="A23" t="s">
        <v>353</v>
      </c>
      <c r="H23" t="str">
        <f>H17</f>
        <v>Tungsten Carbide</v>
      </c>
      <c r="I23">
        <v>20</v>
      </c>
      <c r="J23">
        <v>22</v>
      </c>
      <c r="K23" s="2">
        <f>K17</f>
        <v>130</v>
      </c>
      <c r="L23">
        <f>F28</f>
        <v>1708</v>
      </c>
      <c r="M23" s="13">
        <f t="shared" ref="M23:M24" si="9">MAX(L23,_xlfn.CEILING.MATH(ROUNDUP(L23*J23*((1-10%)*(1-2%)*(1-1%)),20)))*K23</f>
        <v>4265430</v>
      </c>
      <c r="N23" s="16">
        <f t="shared" ref="N23:N24" si="10">MAX(L23,_xlfn.CEILING.MATH(ROUNDUP(L23*J23*((1-10%)*(1-2%)*(1-1%)),20)))</f>
        <v>32811</v>
      </c>
    </row>
    <row r="24" spans="1:14" x14ac:dyDescent="0.35">
      <c r="A24" t="s">
        <v>6</v>
      </c>
      <c r="F24">
        <f>F2+F15</f>
        <v>132</v>
      </c>
      <c r="H24" t="s">
        <v>14</v>
      </c>
      <c r="I24">
        <v>1</v>
      </c>
      <c r="J24">
        <v>1</v>
      </c>
      <c r="K24" s="2">
        <f>K20</f>
        <v>2760</v>
      </c>
      <c r="L24">
        <f>L23</f>
        <v>1708</v>
      </c>
      <c r="M24" s="13">
        <f t="shared" si="9"/>
        <v>4714080</v>
      </c>
      <c r="N24" s="16">
        <f t="shared" si="10"/>
        <v>1708</v>
      </c>
    </row>
    <row r="25" spans="1:14" ht="16" x14ac:dyDescent="0.5">
      <c r="A25" t="s">
        <v>1</v>
      </c>
      <c r="F25">
        <f t="shared" ref="F25:F30" si="11">F3+F16</f>
        <v>812</v>
      </c>
      <c r="H25" t="s">
        <v>15</v>
      </c>
      <c r="I25">
        <v>2</v>
      </c>
      <c r="J25">
        <v>2</v>
      </c>
      <c r="K25" s="23">
        <f>Pricing!F31</f>
        <v>5067</v>
      </c>
      <c r="L25">
        <f>L24</f>
        <v>1708</v>
      </c>
      <c r="M25" s="39">
        <f>MAX(L25,_xlfn.CEILING.MATH(ROUNDUP(L25*J25*((1-10%)*(1-2%)*(1-1%)),20)))*K25</f>
        <v>15114861</v>
      </c>
      <c r="N25" s="16">
        <f>MAX(L25,_xlfn.CEILING.MATH(ROUNDUP(L25*J25*((1-10%)*(1-2%)*(1-1%)),20)))</f>
        <v>2983</v>
      </c>
    </row>
    <row r="26" spans="1:14" x14ac:dyDescent="0.35">
      <c r="A26" t="s">
        <v>7</v>
      </c>
      <c r="F26">
        <f t="shared" si="11"/>
        <v>408</v>
      </c>
      <c r="K26" s="2"/>
      <c r="L26" s="1" t="str">
        <f>H22</f>
        <v>Radar Sensor Cluster</v>
      </c>
      <c r="M26" s="4">
        <f>SUM(M23:M25)*1.03</f>
        <v>24817202.129999999</v>
      </c>
      <c r="N26" s="6"/>
    </row>
    <row r="27" spans="1:14" x14ac:dyDescent="0.35">
      <c r="A27" t="s">
        <v>4</v>
      </c>
      <c r="F27">
        <f t="shared" si="11"/>
        <v>4672</v>
      </c>
      <c r="H27" t="s">
        <v>2</v>
      </c>
      <c r="K27" s="2"/>
      <c r="M27" s="4"/>
      <c r="N27" s="6"/>
    </row>
    <row r="28" spans="1:14" x14ac:dyDescent="0.35">
      <c r="A28" t="s">
        <v>3</v>
      </c>
      <c r="F28">
        <f t="shared" si="11"/>
        <v>1708</v>
      </c>
      <c r="H28" t="str">
        <f>H23</f>
        <v>Tungsten Carbide</v>
      </c>
      <c r="I28">
        <v>25</v>
      </c>
      <c r="J28">
        <v>27</v>
      </c>
      <c r="K28" s="2">
        <f>K17</f>
        <v>130</v>
      </c>
      <c r="L28">
        <f>F29</f>
        <v>1616</v>
      </c>
      <c r="M28" s="13">
        <f t="shared" ref="M28:M30" si="12">MAX(L28,_xlfn.CEILING.MATH(ROUNDUP(L28*J28*((1-10%)*(1-2%)*(1-1%)),20)))*K28</f>
        <v>4952870</v>
      </c>
      <c r="N28" s="16">
        <f t="shared" ref="N28:N30" si="13">MAX(L28,_xlfn.CEILING.MATH(ROUNDUP(L28*J28*((1-10%)*(1-2%)*(1-1%)),20)))</f>
        <v>38099</v>
      </c>
    </row>
    <row r="29" spans="1:14" x14ac:dyDescent="0.35">
      <c r="A29" t="s">
        <v>2</v>
      </c>
      <c r="F29" s="93">
        <f t="shared" si="11"/>
        <v>1616</v>
      </c>
      <c r="H29" t="str">
        <f>H24</f>
        <v>Nano Transistors</v>
      </c>
      <c r="I29">
        <v>1</v>
      </c>
      <c r="J29">
        <v>1</v>
      </c>
      <c r="K29" s="2">
        <f>K20</f>
        <v>2760</v>
      </c>
      <c r="L29">
        <f>L28</f>
        <v>1616</v>
      </c>
      <c r="M29" s="13">
        <f t="shared" si="12"/>
        <v>4460160</v>
      </c>
      <c r="N29" s="16">
        <f t="shared" si="13"/>
        <v>1616</v>
      </c>
    </row>
    <row r="30" spans="1:14" x14ac:dyDescent="0.35">
      <c r="A30" t="s">
        <v>5</v>
      </c>
      <c r="F30" s="93">
        <f t="shared" si="11"/>
        <v>8072</v>
      </c>
      <c r="H30" t="str">
        <f>H19</f>
        <v>Terahertz Meta Materials</v>
      </c>
      <c r="I30">
        <v>2</v>
      </c>
      <c r="J30">
        <v>2</v>
      </c>
      <c r="K30" s="2">
        <f>K19</f>
        <v>9951</v>
      </c>
      <c r="L30">
        <f>L28</f>
        <v>1616</v>
      </c>
      <c r="M30" s="13">
        <f t="shared" si="12"/>
        <v>28091673</v>
      </c>
      <c r="N30" s="16">
        <f t="shared" si="13"/>
        <v>2823</v>
      </c>
    </row>
    <row r="31" spans="1:14" ht="16" x14ac:dyDescent="0.5">
      <c r="H31" t="s">
        <v>16</v>
      </c>
      <c r="I31">
        <v>10</v>
      </c>
      <c r="J31">
        <v>11</v>
      </c>
      <c r="K31" s="23">
        <f>Pricing!F32</f>
        <v>502</v>
      </c>
      <c r="L31">
        <f>L29</f>
        <v>1616</v>
      </c>
      <c r="M31" s="39">
        <f>MAX(L31,_xlfn.CEILING.MATH(ROUNDUP(L31*J31*((1-10%)*(1-2%)*(1-1%)),20)))*K31</f>
        <v>7792044</v>
      </c>
      <c r="N31" s="16">
        <f>MAX(L31,_xlfn.CEILING.MATH(ROUNDUP(L31*J31*((1-10%)*(1-2%)*(1-1%)),20)))</f>
        <v>15522</v>
      </c>
    </row>
    <row r="32" spans="1:14" x14ac:dyDescent="0.35">
      <c r="K32" s="2"/>
      <c r="L32" s="1" t="str">
        <f>H27</f>
        <v>Tesseract Capacitor Unit</v>
      </c>
      <c r="M32" s="4">
        <f>SUM(M28:M31)*1.03</f>
        <v>46655649.410000004</v>
      </c>
      <c r="N32" s="6"/>
    </row>
    <row r="33" spans="1:22" x14ac:dyDescent="0.35">
      <c r="H33" t="s">
        <v>5</v>
      </c>
      <c r="K33" s="2"/>
      <c r="M33" s="4"/>
      <c r="N33" s="6"/>
    </row>
    <row r="34" spans="1:22" x14ac:dyDescent="0.35">
      <c r="H34" t="str">
        <f>H28</f>
        <v>Tungsten Carbide</v>
      </c>
      <c r="I34">
        <v>40</v>
      </c>
      <c r="J34">
        <v>44</v>
      </c>
      <c r="K34" s="2">
        <f>K28</f>
        <v>130</v>
      </c>
      <c r="L34">
        <f>F30</f>
        <v>8072</v>
      </c>
      <c r="M34" s="13">
        <f>MAX(L34,_xlfn.CEILING.MATH(ROUNDUP(L34*J34*((1-10%)*(1-2%)*(1-1%)),20)))*K34</f>
        <v>40316380</v>
      </c>
      <c r="N34" s="16">
        <f>MAX(L34,_xlfn.CEILING.MATH(ROUNDUP(L34*J34*((1-10%)*(1-2%)*(1-1%)),20)))</f>
        <v>310126</v>
      </c>
    </row>
    <row r="35" spans="1:22" ht="16" x14ac:dyDescent="0.5">
      <c r="H35" t="str">
        <f>H14</f>
        <v>Sylramic Fibers</v>
      </c>
      <c r="I35">
        <v>10</v>
      </c>
      <c r="J35">
        <v>11</v>
      </c>
      <c r="K35" s="2">
        <f>Pricing!F29</f>
        <v>208.9</v>
      </c>
      <c r="L35">
        <f>L34</f>
        <v>8072</v>
      </c>
      <c r="M35" s="39">
        <f>MAX(L35,_xlfn.CEILING.MATH(ROUNDUP(L35*J35*((1-10%)*(1-2%)*(1-1%)),20)))*K35</f>
        <v>16196434.800000001</v>
      </c>
      <c r="N35" s="16">
        <f>MAX(L35,_xlfn.CEILING.MATH(ROUNDUP(L35*J35*((1-10%)*(1-2%)*(1-1%)),20)))</f>
        <v>77532</v>
      </c>
    </row>
    <row r="36" spans="1:22" x14ac:dyDescent="0.35">
      <c r="K36" s="2"/>
      <c r="L36" s="1" t="str">
        <f>H33</f>
        <v>Tungsten Carbide Armor Plate</v>
      </c>
      <c r="M36" s="4">
        <f>SUM(M34:M35)*1.03</f>
        <v>58208199.243999995</v>
      </c>
    </row>
    <row r="37" spans="1:22" x14ac:dyDescent="0.35">
      <c r="A37" t="s">
        <v>354</v>
      </c>
    </row>
    <row r="38" spans="1:22" s="18" customFormat="1" x14ac:dyDescent="0.35">
      <c r="A38" s="58" t="s">
        <v>355</v>
      </c>
    </row>
    <row r="39" spans="1:22" x14ac:dyDescent="0.35">
      <c r="A39" t="s">
        <v>239</v>
      </c>
      <c r="C39" s="33" t="s">
        <v>19</v>
      </c>
      <c r="D39" s="36">
        <v>4</v>
      </c>
      <c r="E39" t="s">
        <v>17</v>
      </c>
      <c r="F39" t="s">
        <v>18</v>
      </c>
      <c r="H39" t="s">
        <v>299</v>
      </c>
      <c r="K39" s="2"/>
      <c r="R39" s="3"/>
      <c r="S39" s="3"/>
      <c r="T39" s="3"/>
    </row>
    <row r="40" spans="1:22" x14ac:dyDescent="0.35">
      <c r="A40" t="s">
        <v>247</v>
      </c>
      <c r="B40">
        <v>200</v>
      </c>
      <c r="C40">
        <v>769</v>
      </c>
      <c r="D40" s="34" t="s">
        <v>97</v>
      </c>
      <c r="E40" s="5"/>
      <c r="F40">
        <v>3076</v>
      </c>
      <c r="H40" t="s">
        <v>247</v>
      </c>
      <c r="K40" s="2" t="s">
        <v>21</v>
      </c>
      <c r="L40" t="s">
        <v>19</v>
      </c>
      <c r="Q40" t="s">
        <v>25</v>
      </c>
      <c r="R40" s="3" t="s">
        <v>30</v>
      </c>
      <c r="S40" s="3" t="s">
        <v>27</v>
      </c>
      <c r="T40" s="3" t="s">
        <v>35</v>
      </c>
      <c r="U40" t="s">
        <v>26</v>
      </c>
      <c r="V40" s="3" t="s">
        <v>34</v>
      </c>
    </row>
    <row r="41" spans="1:22" x14ac:dyDescent="0.35">
      <c r="A41" t="s">
        <v>242</v>
      </c>
      <c r="B41">
        <v>3</v>
      </c>
      <c r="C41">
        <v>12</v>
      </c>
      <c r="D41" s="35">
        <v>4</v>
      </c>
      <c r="E41" s="5"/>
      <c r="F41">
        <v>48</v>
      </c>
      <c r="H41" t="s">
        <v>241</v>
      </c>
      <c r="J41">
        <v>44</v>
      </c>
      <c r="K41" s="23">
        <f>'Component BP'!D513</f>
        <v>104</v>
      </c>
      <c r="L41">
        <f>F40+F55</f>
        <v>7688</v>
      </c>
      <c r="M41" s="13">
        <f>MAX(L41,_xlfn.CEILING.MATH(ROUNDUP(L41*J41*((1-10%)*(1-2%)*(1-1%)),20)))*K41</f>
        <v>30718792</v>
      </c>
      <c r="N41" s="16">
        <f>MAX(L41,_xlfn.CEILING.MATH(ROUNDUP(L41*J41*((1-10%)*(1-2%)*(1-1%)),20)))</f>
        <v>295373</v>
      </c>
      <c r="O41" s="4"/>
      <c r="P41" s="84"/>
      <c r="Q41" t="str">
        <f>H41</f>
        <v>Crystalline Carbonide</v>
      </c>
      <c r="R41" s="3">
        <f>N41+N45+N49+N54+N59+N65+N71</f>
        <v>452249</v>
      </c>
      <c r="S41" s="3">
        <v>0</v>
      </c>
      <c r="T41" s="7">
        <f>((R41*'Ship Component Reqs'!$D$32)-S41)</f>
        <v>452249</v>
      </c>
      <c r="U41" s="4">
        <f>K41</f>
        <v>104</v>
      </c>
      <c r="V41" s="14">
        <f t="shared" ref="V41:V49" si="14">IF(T41&lt;0,0,T41*U41)</f>
        <v>47033896</v>
      </c>
    </row>
    <row r="42" spans="1:22" ht="16" x14ac:dyDescent="0.5">
      <c r="A42" t="s">
        <v>240</v>
      </c>
      <c r="B42">
        <v>18</v>
      </c>
      <c r="C42">
        <v>70</v>
      </c>
      <c r="E42" s="5"/>
      <c r="F42">
        <v>280</v>
      </c>
      <c r="H42" t="s">
        <v>12</v>
      </c>
      <c r="J42">
        <v>11</v>
      </c>
      <c r="K42" s="23">
        <f>'Component BP'!D514</f>
        <v>208.9</v>
      </c>
      <c r="L42">
        <f>L41</f>
        <v>7688</v>
      </c>
      <c r="M42" s="39">
        <f>MAX(L42,_xlfn.CEILING.MATH(ROUNDUP(L42*J42*((1-10%)*(1-2%)*(1-1%)),20)))*K42</f>
        <v>15426011.6</v>
      </c>
      <c r="N42" s="16">
        <f>MAX(L42,_xlfn.CEILING.MATH(ROUNDUP(L42*J42*((1-10%)*(1-2%)*(1-1%)),20)))</f>
        <v>73844</v>
      </c>
      <c r="O42" s="4"/>
      <c r="P42" s="84"/>
      <c r="Q42" t="str">
        <f>H42</f>
        <v>Sylramic Fibers</v>
      </c>
      <c r="R42" s="3">
        <f>N42+N72</f>
        <v>78340</v>
      </c>
      <c r="S42" s="3">
        <v>2785</v>
      </c>
      <c r="T42" s="7">
        <f>((R42*'Ship Component Reqs'!$D$32)-S42)</f>
        <v>75555</v>
      </c>
      <c r="U42" s="4">
        <f>K42</f>
        <v>208.9</v>
      </c>
      <c r="V42" s="14">
        <f t="shared" si="14"/>
        <v>15783439.5</v>
      </c>
    </row>
    <row r="43" spans="1:22" x14ac:dyDescent="0.35">
      <c r="A43" t="s">
        <v>246</v>
      </c>
      <c r="B43">
        <v>15</v>
      </c>
      <c r="C43">
        <v>58</v>
      </c>
      <c r="E43" s="5"/>
      <c r="F43">
        <v>232</v>
      </c>
      <c r="K43" s="38"/>
      <c r="L43" s="1" t="str">
        <f>H40</f>
        <v>Crystalline Carbonide Armor Plate</v>
      </c>
      <c r="M43" s="4">
        <f>SUM(M41:M42)*1.03</f>
        <v>47529147.708000004</v>
      </c>
      <c r="N43" s="16"/>
      <c r="O43" s="4"/>
      <c r="P43" s="84"/>
      <c r="Q43" t="str">
        <f>H46</f>
        <v>Fermionic Condensates</v>
      </c>
      <c r="R43" s="3">
        <f>N46</f>
        <v>168</v>
      </c>
      <c r="S43" s="3">
        <v>0</v>
      </c>
      <c r="T43" s="7">
        <f>((R43*'Ship Component Reqs'!$D$32)-S43)</f>
        <v>168</v>
      </c>
      <c r="U43" s="4">
        <f>K46</f>
        <v>36700</v>
      </c>
      <c r="V43" s="14">
        <f t="shared" si="14"/>
        <v>6165600</v>
      </c>
    </row>
    <row r="44" spans="1:22" x14ac:dyDescent="0.35">
      <c r="A44" t="s">
        <v>243</v>
      </c>
      <c r="B44">
        <v>42</v>
      </c>
      <c r="C44">
        <v>162</v>
      </c>
      <c r="E44" s="5"/>
      <c r="F44">
        <v>648</v>
      </c>
      <c r="H44" t="s">
        <v>242</v>
      </c>
      <c r="K44" s="2"/>
      <c r="N44" s="6"/>
      <c r="P44" s="84"/>
      <c r="Q44" t="str">
        <f>H50</f>
        <v>Phenolic Composites</v>
      </c>
      <c r="R44" s="3">
        <f>N50+N66</f>
        <v>28609</v>
      </c>
      <c r="S44" s="3">
        <v>0</v>
      </c>
      <c r="T44" s="7">
        <f>((R44*'Ship Component Reqs'!$D$32)-S44)</f>
        <v>28609</v>
      </c>
      <c r="U44" s="4">
        <f>K50</f>
        <v>950</v>
      </c>
      <c r="V44" s="14">
        <f t="shared" si="14"/>
        <v>27178550</v>
      </c>
    </row>
    <row r="45" spans="1:22" x14ac:dyDescent="0.35">
      <c r="A45" t="s">
        <v>244</v>
      </c>
      <c r="B45">
        <v>170</v>
      </c>
      <c r="C45">
        <v>654</v>
      </c>
      <c r="E45" s="5"/>
      <c r="F45">
        <v>2616</v>
      </c>
      <c r="H45" t="s">
        <v>241</v>
      </c>
      <c r="J45">
        <v>9</v>
      </c>
      <c r="K45" s="23">
        <f>K41</f>
        <v>104</v>
      </c>
      <c r="L45">
        <f>F41+F56</f>
        <v>96</v>
      </c>
      <c r="M45" s="13">
        <f>MAX(L45,_xlfn.CEILING.MATH(ROUNDUP(L45*J45*((1-10%)*(1-2%)*(1-1%)),20)))*K45</f>
        <v>78520</v>
      </c>
      <c r="N45" s="16">
        <f>MAX(L45,_xlfn.CEILING.MATH(ROUNDUP(L45*J45*((1-10%)*(1-2%)*(1-1%)),20)))</f>
        <v>755</v>
      </c>
      <c r="O45" s="4"/>
      <c r="P45" s="84"/>
      <c r="Q45" t="str">
        <f>H51</f>
        <v>Ferrogel</v>
      </c>
      <c r="R45" s="3">
        <f>N51+N73</f>
        <v>1189</v>
      </c>
      <c r="S45" s="3">
        <v>0</v>
      </c>
      <c r="T45" s="7">
        <f>((R45*'Ship Component Reqs'!$D$32)-S45)</f>
        <v>1189</v>
      </c>
      <c r="U45" s="4">
        <f>K51</f>
        <v>19380</v>
      </c>
      <c r="V45" s="14">
        <f t="shared" si="14"/>
        <v>23042820</v>
      </c>
    </row>
    <row r="46" spans="1:22" ht="16" x14ac:dyDescent="0.5">
      <c r="A46" t="s">
        <v>245</v>
      </c>
      <c r="B46">
        <v>22</v>
      </c>
      <c r="C46">
        <v>85</v>
      </c>
      <c r="E46" s="5"/>
      <c r="F46">
        <v>340</v>
      </c>
      <c r="H46" t="s">
        <v>9</v>
      </c>
      <c r="J46">
        <v>2</v>
      </c>
      <c r="K46" s="23">
        <f>'Component BP'!D518</f>
        <v>36700</v>
      </c>
      <c r="L46">
        <f>L45</f>
        <v>96</v>
      </c>
      <c r="M46" s="39">
        <f>MAX(L46,_xlfn.CEILING.MATH(ROUNDUP(L46*J46*((1-10%)*(1-2%)*(1-1%)),20)))*K46</f>
        <v>6165600</v>
      </c>
      <c r="N46" s="16">
        <f>MAX(L46,_xlfn.CEILING.MATH(ROUNDUP(L46*J46*((1-10%)*(1-2%)*(1-1%)),20)))</f>
        <v>168</v>
      </c>
      <c r="O46" s="4"/>
      <c r="P46" s="84"/>
      <c r="Q46" t="str">
        <f>H55</f>
        <v>Nanotransistors</v>
      </c>
      <c r="R46" s="3">
        <f>N55+N61+N67</f>
        <v>11850</v>
      </c>
      <c r="S46" s="3">
        <v>74</v>
      </c>
      <c r="T46" s="7">
        <f>((R46*'Ship Component Reqs'!$D$32)-S46)</f>
        <v>11776</v>
      </c>
      <c r="U46" s="4">
        <f>K55</f>
        <v>2760</v>
      </c>
      <c r="V46" s="14">
        <f t="shared" si="14"/>
        <v>32501760</v>
      </c>
    </row>
    <row r="47" spans="1:22" x14ac:dyDescent="0.35">
      <c r="K47" s="38"/>
      <c r="L47" s="1" t="str">
        <f>H44</f>
        <v>Fusion Reactor Unit</v>
      </c>
      <c r="M47" s="4">
        <f>SUM(M45:M46)*1.03</f>
        <v>6431443.6000000006</v>
      </c>
      <c r="N47" s="16"/>
      <c r="O47" s="4"/>
      <c r="Q47" t="str">
        <f>H56</f>
        <v>Hypersynaptic Fibers</v>
      </c>
      <c r="R47" s="3">
        <f>N56</f>
        <v>2236</v>
      </c>
      <c r="S47" s="3">
        <v>16</v>
      </c>
      <c r="T47" s="7">
        <f>((R47*'Ship Component Reqs'!$D$32)-S47)</f>
        <v>2220</v>
      </c>
      <c r="U47" s="4">
        <f>K56</f>
        <v>5067</v>
      </c>
      <c r="V47" s="14">
        <f t="shared" si="14"/>
        <v>11248740</v>
      </c>
    </row>
    <row r="48" spans="1:22" x14ac:dyDescent="0.35">
      <c r="A48" t="s">
        <v>43</v>
      </c>
      <c r="B48">
        <v>35</v>
      </c>
      <c r="C48">
        <v>135</v>
      </c>
      <c r="E48" s="5">
        <v>0</v>
      </c>
      <c r="F48">
        <v>540</v>
      </c>
      <c r="H48" t="s">
        <v>240</v>
      </c>
      <c r="K48" s="2"/>
      <c r="N48" s="6"/>
      <c r="P48" s="84"/>
      <c r="Q48" t="str">
        <f>H60</f>
        <v>Fullerides</v>
      </c>
      <c r="R48" s="3">
        <f>N60</f>
        <v>15100</v>
      </c>
      <c r="S48" s="3">
        <v>271</v>
      </c>
      <c r="T48" s="7">
        <f>((R48*'Ship Component Reqs'!$D$32)-S48)</f>
        <v>14829</v>
      </c>
      <c r="U48" s="4">
        <f>K60</f>
        <v>502</v>
      </c>
      <c r="V48" s="14">
        <f t="shared" si="14"/>
        <v>7444158</v>
      </c>
    </row>
    <row r="49" spans="1:22" ht="16" x14ac:dyDescent="0.5">
      <c r="A49" t="s">
        <v>44</v>
      </c>
      <c r="B49" s="85"/>
      <c r="C49" s="85"/>
      <c r="E49" s="5">
        <v>0</v>
      </c>
      <c r="F49">
        <v>0</v>
      </c>
      <c r="H49" t="s">
        <v>241</v>
      </c>
      <c r="J49">
        <v>13</v>
      </c>
      <c r="K49" s="23">
        <f>K41</f>
        <v>104</v>
      </c>
      <c r="L49">
        <f>F42+F57</f>
        <v>617</v>
      </c>
      <c r="M49" s="13">
        <f>MAX(L49,_xlfn.CEILING.MATH(ROUNDUP(L49*J49*((1-10%)*(1-2%)*(1-1%)),20)))*K49</f>
        <v>728416</v>
      </c>
      <c r="N49" s="16">
        <f>MAX(L49,_xlfn.CEILING.MATH(ROUNDUP(L49*J49*((1-10%)*(1-2%)*(1-1%)),20)))</f>
        <v>7004</v>
      </c>
      <c r="O49" s="4"/>
      <c r="P49" s="84"/>
      <c r="Q49" t="str">
        <f>H62</f>
        <v>Photonic Metamaterials</v>
      </c>
      <c r="R49" s="3">
        <f>N62+N68</f>
        <v>11744</v>
      </c>
      <c r="S49" s="3"/>
      <c r="T49" s="7">
        <f>((R49*'Ship Component Reqs'!$D$32)-S49)</f>
        <v>11744</v>
      </c>
      <c r="U49" s="4">
        <f>K62</f>
        <v>7145</v>
      </c>
      <c r="V49" s="12">
        <f t="shared" si="14"/>
        <v>83910880</v>
      </c>
    </row>
    <row r="50" spans="1:22" x14ac:dyDescent="0.35">
      <c r="A50" t="s">
        <v>104</v>
      </c>
      <c r="B50" s="32">
        <v>0.03</v>
      </c>
      <c r="C50" s="11" t="s">
        <v>199</v>
      </c>
      <c r="H50" t="s">
        <v>10</v>
      </c>
      <c r="J50">
        <v>3</v>
      </c>
      <c r="K50" s="23">
        <f>'Component BP'!D522</f>
        <v>950</v>
      </c>
      <c r="L50">
        <f>L49</f>
        <v>617</v>
      </c>
      <c r="M50" s="13">
        <f>MAX(L50,_xlfn.CEILING.MATH(ROUNDUP(L50*J50*((1-10%)*(1-2%)*(1-1%)),20)))*K50</f>
        <v>1536150</v>
      </c>
      <c r="N50" s="16">
        <f>MAX(L50,_xlfn.CEILING.MATH(ROUNDUP(L50*J50*((1-10%)*(1-2%)*(1-1%)),20)))</f>
        <v>1617</v>
      </c>
      <c r="O50" s="4"/>
      <c r="R50" s="11"/>
      <c r="S50" s="3"/>
      <c r="T50" s="3"/>
      <c r="V50" s="4">
        <f>SUM(V41:V49)</f>
        <v>254309843.5</v>
      </c>
    </row>
    <row r="51" spans="1:22" ht="16" x14ac:dyDescent="0.5">
      <c r="H51" t="s">
        <v>11</v>
      </c>
      <c r="J51">
        <v>1</v>
      </c>
      <c r="K51" s="23">
        <f>'Component BP'!D523</f>
        <v>19380</v>
      </c>
      <c r="L51">
        <f>L50</f>
        <v>617</v>
      </c>
      <c r="M51" s="39">
        <f>MAX(L51,_xlfn.CEILING.MATH(ROUNDUP(L51*J51*((1-10%)*(1-2%)*(1-1%)),20)))*K51</f>
        <v>11957460</v>
      </c>
      <c r="N51" s="16">
        <f>MAX(L51,_xlfn.CEILING.MATH(ROUNDUP(L51*J51*((1-10%)*(1-2%)*(1-1%)),20)))</f>
        <v>617</v>
      </c>
      <c r="O51" s="4"/>
      <c r="R51" s="3"/>
      <c r="S51" s="3"/>
      <c r="T51" s="7"/>
      <c r="V51" s="12"/>
    </row>
    <row r="52" spans="1:22" x14ac:dyDescent="0.35">
      <c r="K52" s="38"/>
      <c r="L52" s="1" t="str">
        <f>H48</f>
        <v>Ion Thruster</v>
      </c>
      <c r="M52" s="4">
        <f>SUM(M49:M51)*1.03</f>
        <v>14648686.780000001</v>
      </c>
      <c r="N52" s="6"/>
      <c r="O52" s="4"/>
      <c r="Q52" s="6"/>
      <c r="R52" s="11"/>
      <c r="S52" s="3"/>
      <c r="T52" s="3"/>
      <c r="V52" s="4"/>
    </row>
    <row r="53" spans="1:22" x14ac:dyDescent="0.35">
      <c r="C53" s="33"/>
      <c r="H53" t="s">
        <v>246</v>
      </c>
      <c r="K53" s="59"/>
      <c r="N53" s="6"/>
      <c r="Q53" s="6"/>
      <c r="R53" s="3"/>
      <c r="S53" s="3"/>
      <c r="T53" s="3"/>
    </row>
    <row r="54" spans="1:22" x14ac:dyDescent="0.35">
      <c r="A54" t="s">
        <v>298</v>
      </c>
      <c r="C54" t="s">
        <v>19</v>
      </c>
      <c r="D54" s="36">
        <v>4</v>
      </c>
      <c r="E54" s="5" t="s">
        <v>17</v>
      </c>
      <c r="F54" t="s">
        <v>18</v>
      </c>
      <c r="H54" t="s">
        <v>241</v>
      </c>
      <c r="J54">
        <v>22</v>
      </c>
      <c r="K54" s="23">
        <f>K49</f>
        <v>104</v>
      </c>
      <c r="L54">
        <f>F43+F58</f>
        <v>1280</v>
      </c>
      <c r="M54" s="13">
        <f>MAX(L54,_xlfn.CEILING.MATH(ROUNDUP(L54*J54*((1-10%)*(1-2%)*(1-1%)),20)))*K54</f>
        <v>2557256</v>
      </c>
      <c r="N54" s="16">
        <f>MAX(L54,_xlfn.CEILING.MATH(ROUNDUP(L54*J54*((1-10%)*(1-2%)*(1-1%)),20)))</f>
        <v>24589</v>
      </c>
      <c r="O54" s="4"/>
      <c r="R54" s="3"/>
      <c r="S54" s="3"/>
      <c r="T54" s="3"/>
    </row>
    <row r="55" spans="1:22" x14ac:dyDescent="0.35">
      <c r="A55" t="s">
        <v>247</v>
      </c>
      <c r="B55">
        <v>300</v>
      </c>
      <c r="C55">
        <v>1153</v>
      </c>
      <c r="D55" s="34" t="s">
        <v>97</v>
      </c>
      <c r="E55" s="5"/>
      <c r="F55">
        <v>4612</v>
      </c>
      <c r="G55">
        <f>F55+F40</f>
        <v>7688</v>
      </c>
      <c r="H55" t="s">
        <v>164</v>
      </c>
      <c r="J55">
        <v>1</v>
      </c>
      <c r="K55" s="23">
        <f>'Component BP'!D527</f>
        <v>2760</v>
      </c>
      <c r="L55">
        <f>L54</f>
        <v>1280</v>
      </c>
      <c r="M55" s="13">
        <f>MAX(L55,_xlfn.CEILING.MATH(ROUNDUP(L55*J55*((1-10%)*(1-2%)*(1-1%)),20)))*K55</f>
        <v>3532800</v>
      </c>
      <c r="N55" s="16">
        <f>MAX(L55,_xlfn.CEILING.MATH(ROUNDUP(L55*J55*((1-10%)*(1-2%)*(1-1%)),20)))</f>
        <v>1280</v>
      </c>
      <c r="O55" s="4"/>
      <c r="R55" s="3"/>
      <c r="S55" s="3"/>
      <c r="T55" s="3"/>
    </row>
    <row r="56" spans="1:22" ht="16" x14ac:dyDescent="0.5">
      <c r="A56" t="s">
        <v>242</v>
      </c>
      <c r="B56">
        <v>3</v>
      </c>
      <c r="C56">
        <v>12</v>
      </c>
      <c r="D56" s="35">
        <v>4</v>
      </c>
      <c r="E56" s="5"/>
      <c r="F56">
        <v>48</v>
      </c>
      <c r="G56">
        <f t="shared" ref="G56:G61" si="15">F56+F41</f>
        <v>96</v>
      </c>
      <c r="H56" t="s">
        <v>15</v>
      </c>
      <c r="J56">
        <v>2</v>
      </c>
      <c r="K56" s="23">
        <f>'Component BP'!D528</f>
        <v>5067</v>
      </c>
      <c r="L56">
        <f>L54</f>
        <v>1280</v>
      </c>
      <c r="M56" s="39">
        <f>MAX(L56,_xlfn.CEILING.MATH(ROUNDUP(L56*J56*((1-10%)*(1-2%)*(1-1%)),20)))*K56</f>
        <v>11329812</v>
      </c>
      <c r="N56" s="16">
        <f>MAX(L56,_xlfn.CEILING.MATH(ROUNDUP(L56*J56*((1-10%)*(1-2%)*(1-1%)),20)))</f>
        <v>2236</v>
      </c>
      <c r="O56" s="4"/>
      <c r="R56" s="3"/>
      <c r="S56" s="3"/>
      <c r="T56" s="3"/>
    </row>
    <row r="57" spans="1:22" x14ac:dyDescent="0.35">
      <c r="A57" t="s">
        <v>240</v>
      </c>
      <c r="B57">
        <v>30</v>
      </c>
      <c r="C57">
        <v>116</v>
      </c>
      <c r="E57" s="5">
        <v>127</v>
      </c>
      <c r="F57">
        <f>(C57*D56)-E57</f>
        <v>337</v>
      </c>
      <c r="G57">
        <f t="shared" si="15"/>
        <v>617</v>
      </c>
      <c r="K57" s="2"/>
      <c r="L57" s="1" t="str">
        <f>H53</f>
        <v>Magnetometric Sensor Cluster</v>
      </c>
      <c r="M57" s="4">
        <f>SUM(M54:M56)*1.03</f>
        <v>17942464.039999999</v>
      </c>
      <c r="N57" s="6"/>
      <c r="O57" s="4"/>
      <c r="R57" s="3"/>
      <c r="S57" s="3"/>
      <c r="T57" s="3"/>
    </row>
    <row r="58" spans="1:22" ht="16" x14ac:dyDescent="0.5">
      <c r="A58" t="s">
        <v>246</v>
      </c>
      <c r="B58">
        <v>68</v>
      </c>
      <c r="C58">
        <v>262</v>
      </c>
      <c r="E58" s="5"/>
      <c r="F58">
        <v>1048</v>
      </c>
      <c r="G58">
        <f t="shared" si="15"/>
        <v>1280</v>
      </c>
      <c r="H58" t="s">
        <v>243</v>
      </c>
      <c r="K58" s="38"/>
      <c r="M58" s="39"/>
      <c r="N58" s="16"/>
      <c r="R58" s="3"/>
      <c r="S58" s="3"/>
      <c r="T58" s="3"/>
    </row>
    <row r="59" spans="1:22" x14ac:dyDescent="0.35">
      <c r="A59" t="s">
        <v>243</v>
      </c>
      <c r="B59">
        <v>60</v>
      </c>
      <c r="C59">
        <v>231</v>
      </c>
      <c r="E59" s="5"/>
      <c r="F59">
        <v>924</v>
      </c>
      <c r="G59">
        <f t="shared" si="15"/>
        <v>1572</v>
      </c>
      <c r="H59" t="s">
        <v>241</v>
      </c>
      <c r="J59">
        <v>27</v>
      </c>
      <c r="K59" s="23">
        <f>K49</f>
        <v>104</v>
      </c>
      <c r="L59">
        <f>F44+F59</f>
        <v>1572</v>
      </c>
      <c r="M59" s="13">
        <f t="shared" ref="M59:M61" si="16">MAX(L59,_xlfn.CEILING.MATH(ROUNDUP(L59*J59*((1-10%)*(1-2%)*(1-1%)),20)))*K59</f>
        <v>3854448</v>
      </c>
      <c r="N59" s="16">
        <f t="shared" ref="N59:N61" si="17">MAX(L59,_xlfn.CEILING.MATH(ROUNDUP(L59*J59*((1-10%)*(1-2%)*(1-1%)),20)))</f>
        <v>37062</v>
      </c>
      <c r="R59" s="3"/>
      <c r="S59" s="3"/>
      <c r="T59" s="3"/>
    </row>
    <row r="60" spans="1:22" x14ac:dyDescent="0.35">
      <c r="A60" t="s">
        <v>244</v>
      </c>
      <c r="B60">
        <v>165</v>
      </c>
      <c r="C60">
        <v>634</v>
      </c>
      <c r="E60" s="5"/>
      <c r="F60">
        <v>2536</v>
      </c>
      <c r="G60">
        <f t="shared" si="15"/>
        <v>5152</v>
      </c>
      <c r="H60" t="s">
        <v>16</v>
      </c>
      <c r="J60">
        <v>11</v>
      </c>
      <c r="K60" s="23">
        <f>'Component BP'!D532</f>
        <v>502</v>
      </c>
      <c r="L60">
        <f>L59</f>
        <v>1572</v>
      </c>
      <c r="M60" s="13">
        <f t="shared" si="16"/>
        <v>7580200</v>
      </c>
      <c r="N60" s="16">
        <f t="shared" si="17"/>
        <v>15100</v>
      </c>
      <c r="R60" s="3"/>
      <c r="S60" s="3"/>
      <c r="T60" s="3"/>
    </row>
    <row r="61" spans="1:22" x14ac:dyDescent="0.35">
      <c r="A61" t="s">
        <v>245</v>
      </c>
      <c r="B61">
        <v>15</v>
      </c>
      <c r="C61">
        <v>58</v>
      </c>
      <c r="F61">
        <v>232</v>
      </c>
      <c r="G61">
        <f t="shared" si="15"/>
        <v>572</v>
      </c>
      <c r="H61" t="s">
        <v>164</v>
      </c>
      <c r="J61">
        <v>1</v>
      </c>
      <c r="K61" s="23">
        <f>'Component BP'!D533</f>
        <v>2760</v>
      </c>
      <c r="L61">
        <f>L60</f>
        <v>1572</v>
      </c>
      <c r="M61" s="13">
        <f t="shared" si="16"/>
        <v>4338720</v>
      </c>
      <c r="N61" s="16">
        <f t="shared" si="17"/>
        <v>1572</v>
      </c>
      <c r="R61" s="3"/>
      <c r="S61" s="3"/>
      <c r="T61" s="3"/>
    </row>
    <row r="62" spans="1:22" ht="16" x14ac:dyDescent="0.5">
      <c r="E62" s="5"/>
      <c r="H62" t="s">
        <v>251</v>
      </c>
      <c r="J62">
        <v>2</v>
      </c>
      <c r="K62" s="23">
        <f>'Component BP'!D534</f>
        <v>7145</v>
      </c>
      <c r="L62">
        <f>L61</f>
        <v>1572</v>
      </c>
      <c r="M62" s="39">
        <f>MAX(L62,_xlfn.CEILING.MATH(ROUNDUP(L62*J62*((1-10%)*(1-2%)*(1-1%)),20)))*K62</f>
        <v>19620170</v>
      </c>
      <c r="N62" s="16">
        <f>MAX(L62,_xlfn.CEILING.MATH(ROUNDUP(L62*J62*((1-10%)*(1-2%)*(1-1%)),20)))</f>
        <v>2746</v>
      </c>
      <c r="R62" s="3"/>
      <c r="S62" s="3"/>
      <c r="T62" s="3"/>
    </row>
    <row r="63" spans="1:22" x14ac:dyDescent="0.35">
      <c r="A63" t="s">
        <v>43</v>
      </c>
      <c r="B63">
        <v>15</v>
      </c>
      <c r="C63">
        <v>58</v>
      </c>
      <c r="E63" s="5">
        <v>0</v>
      </c>
      <c r="F63">
        <v>232</v>
      </c>
      <c r="G63">
        <f>F63+F48</f>
        <v>772</v>
      </c>
      <c r="K63" s="2"/>
      <c r="L63" s="1" t="str">
        <f>H58</f>
        <v>Oscillator Capacitor</v>
      </c>
      <c r="M63" s="4">
        <f>SUM(M59:M62)*1.03</f>
        <v>36455344.140000001</v>
      </c>
      <c r="N63" s="16"/>
      <c r="R63" s="3"/>
      <c r="S63" s="3"/>
      <c r="T63" s="3"/>
    </row>
    <row r="64" spans="1:22" x14ac:dyDescent="0.35">
      <c r="A64" t="s">
        <v>44</v>
      </c>
      <c r="B64" s="32"/>
      <c r="C64" s="11"/>
      <c r="E64">
        <v>0</v>
      </c>
      <c r="F64">
        <v>0</v>
      </c>
      <c r="H64" t="s">
        <v>244</v>
      </c>
      <c r="K64" s="2"/>
      <c r="L64" s="1"/>
      <c r="M64" s="4"/>
      <c r="N64" s="6"/>
      <c r="R64" s="3"/>
      <c r="S64" s="3"/>
      <c r="T64" s="3"/>
    </row>
    <row r="65" spans="1:20" x14ac:dyDescent="0.35">
      <c r="A65" t="s">
        <v>104</v>
      </c>
      <c r="B65">
        <v>0.03</v>
      </c>
      <c r="C65" t="s">
        <v>199</v>
      </c>
      <c r="H65" t="s">
        <v>241</v>
      </c>
      <c r="J65">
        <v>17</v>
      </c>
      <c r="K65" s="23">
        <f>K59</f>
        <v>104</v>
      </c>
      <c r="L65">
        <f>F45+F60</f>
        <v>5152</v>
      </c>
      <c r="M65" s="13">
        <f t="shared" ref="M65:M67" si="18">MAX(L65,_xlfn.CEILING.MATH(ROUNDUP(L65*J65*((1-10%)*(1-2%)*(1-1%)),20)))*K65</f>
        <v>7953608</v>
      </c>
      <c r="N65" s="16">
        <f t="shared" ref="N65:N67" si="19">MAX(L65,_xlfn.CEILING.MATH(ROUNDUP(L65*J65*((1-10%)*(1-2%)*(1-1%)),20)))</f>
        <v>76477</v>
      </c>
      <c r="R65" s="3"/>
      <c r="S65" s="3"/>
      <c r="T65" s="3"/>
    </row>
    <row r="66" spans="1:20" x14ac:dyDescent="0.35">
      <c r="H66" t="s">
        <v>10</v>
      </c>
      <c r="J66">
        <v>6</v>
      </c>
      <c r="K66" s="23">
        <f>K50</f>
        <v>950</v>
      </c>
      <c r="L66">
        <f>L65</f>
        <v>5152</v>
      </c>
      <c r="M66" s="13">
        <f t="shared" si="18"/>
        <v>25642400</v>
      </c>
      <c r="N66" s="16">
        <f t="shared" si="19"/>
        <v>26992</v>
      </c>
      <c r="R66" s="3"/>
      <c r="S66" s="3"/>
      <c r="T66" s="3"/>
    </row>
    <row r="67" spans="1:20" x14ac:dyDescent="0.35">
      <c r="F67" s="85"/>
      <c r="H67" t="s">
        <v>164</v>
      </c>
      <c r="J67">
        <v>2</v>
      </c>
      <c r="K67" s="23">
        <f>K61</f>
        <v>2760</v>
      </c>
      <c r="L67">
        <f>L66</f>
        <v>5152</v>
      </c>
      <c r="M67" s="13">
        <f t="shared" si="18"/>
        <v>24834480</v>
      </c>
      <c r="N67" s="16">
        <f t="shared" si="19"/>
        <v>8998</v>
      </c>
      <c r="R67" s="3"/>
      <c r="S67" s="3"/>
      <c r="T67" s="3"/>
    </row>
    <row r="68" spans="1:20" ht="16" x14ac:dyDescent="0.5">
      <c r="F68" s="85"/>
      <c r="H68" t="s">
        <v>251</v>
      </c>
      <c r="J68">
        <v>2</v>
      </c>
      <c r="K68" s="23">
        <f>K62</f>
        <v>7145</v>
      </c>
      <c r="L68">
        <f>L67</f>
        <v>5152</v>
      </c>
      <c r="M68" s="39">
        <f>MAX(L68,_xlfn.CEILING.MATH(ROUNDUP(L68*J68*((1-10%)*(1-2%)*(1-1%)),20)))*K68</f>
        <v>64290710</v>
      </c>
      <c r="N68" s="16">
        <f>MAX(L68,_xlfn.CEILING.MATH(ROUNDUP(L68*J68*((1-10%)*(1-2%)*(1-1%)),20)))</f>
        <v>8998</v>
      </c>
      <c r="R68" s="3"/>
      <c r="S68" s="3"/>
      <c r="T68" s="3"/>
    </row>
    <row r="69" spans="1:20" x14ac:dyDescent="0.35">
      <c r="K69" s="2"/>
      <c r="L69" s="1" t="str">
        <f>H64</f>
        <v>Photon Microprocessor</v>
      </c>
      <c r="M69" s="4">
        <f>SUM(M65:M68)*1.03</f>
        <v>126402833.94</v>
      </c>
      <c r="N69" s="6"/>
      <c r="R69" s="3"/>
      <c r="S69" s="3"/>
      <c r="T69" s="3"/>
    </row>
    <row r="70" spans="1:20" x14ac:dyDescent="0.35">
      <c r="H70" t="s">
        <v>245</v>
      </c>
      <c r="K70" s="2"/>
      <c r="N70" s="6"/>
      <c r="R70" s="3"/>
      <c r="S70" s="3"/>
      <c r="T70" s="3"/>
    </row>
    <row r="71" spans="1:20" x14ac:dyDescent="0.35">
      <c r="H71" t="s">
        <v>241</v>
      </c>
      <c r="J71">
        <v>22</v>
      </c>
      <c r="K71" s="23">
        <f>K65</f>
        <v>104</v>
      </c>
      <c r="L71">
        <f>F46+F61</f>
        <v>572</v>
      </c>
      <c r="M71" s="13">
        <f t="shared" ref="M71:M72" si="20">MAX(L71,_xlfn.CEILING.MATH(ROUNDUP(L71*J71*((1-10%)*(1-2%)*(1-1%)),20)))*K71</f>
        <v>1142856</v>
      </c>
      <c r="N71" s="16">
        <f t="shared" ref="N71:N72" si="21">MAX(L71,_xlfn.CEILING.MATH(ROUNDUP(L71*J71*((1-10%)*(1-2%)*(1-1%)),20)))</f>
        <v>10989</v>
      </c>
      <c r="R71" s="3"/>
      <c r="S71" s="3"/>
      <c r="T71" s="3"/>
    </row>
    <row r="72" spans="1:20" x14ac:dyDescent="0.35">
      <c r="H72" t="s">
        <v>12</v>
      </c>
      <c r="J72">
        <v>9</v>
      </c>
      <c r="K72" s="23">
        <f>K42</f>
        <v>208.9</v>
      </c>
      <c r="L72">
        <f>L71</f>
        <v>572</v>
      </c>
      <c r="M72" s="13">
        <f t="shared" si="20"/>
        <v>939214.4</v>
      </c>
      <c r="N72" s="16">
        <f t="shared" si="21"/>
        <v>4496</v>
      </c>
      <c r="R72" s="3"/>
      <c r="S72" s="3"/>
      <c r="T72" s="3"/>
    </row>
    <row r="73" spans="1:20" ht="16" x14ac:dyDescent="0.5">
      <c r="H73" t="s">
        <v>11</v>
      </c>
      <c r="J73">
        <v>1</v>
      </c>
      <c r="K73" s="23">
        <f>K51</f>
        <v>19380</v>
      </c>
      <c r="L73">
        <f>L72</f>
        <v>572</v>
      </c>
      <c r="M73" s="39">
        <f>MAX(L73,_xlfn.CEILING.MATH(ROUNDUP(L73*J73*((1-10%)*(1-2%)*(1-1%)),20)))*K73</f>
        <v>11085360</v>
      </c>
      <c r="N73" s="16">
        <f>MAX(L73,_xlfn.CEILING.MATH(ROUNDUP(L73*J73*((1-10%)*(1-2%)*(1-1%)),20)))</f>
        <v>572</v>
      </c>
      <c r="R73" s="3"/>
      <c r="S73" s="3"/>
      <c r="T73" s="3"/>
    </row>
    <row r="74" spans="1:20" x14ac:dyDescent="0.35">
      <c r="K74" s="2"/>
      <c r="L74" s="1" t="str">
        <f>H70</f>
        <v>Pulse Shield Emitter</v>
      </c>
      <c r="M74" s="4">
        <f>SUM(M71:M73)*1.03</f>
        <v>13562453.312000001</v>
      </c>
      <c r="N74" s="16"/>
      <c r="R74" s="3"/>
      <c r="S74" s="3"/>
      <c r="T74" s="3"/>
    </row>
  </sheetData>
  <conditionalFormatting sqref="T2:T10">
    <cfRule type="cellIs" dxfId="2" priority="4" operator="lessThan">
      <formula>0</formula>
    </cfRule>
  </conditionalFormatting>
  <conditionalFormatting sqref="T51">
    <cfRule type="cellIs" dxfId="1" priority="2" operator="lessThan">
      <formula>0</formula>
    </cfRule>
  </conditionalFormatting>
  <conditionalFormatting sqref="T41:T49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C7-3EB5-4486-9272-3A61867AEB4D}">
  <dimension ref="A1:AF108"/>
  <sheetViews>
    <sheetView zoomScale="80" zoomScaleNormal="80" workbookViewId="0">
      <selection activeCell="K16" sqref="K16"/>
    </sheetView>
  </sheetViews>
  <sheetFormatPr defaultRowHeight="14.5" x14ac:dyDescent="0.35"/>
  <cols>
    <col min="1" max="1" width="23.81640625" bestFit="1" customWidth="1"/>
    <col min="2" max="2" width="13.54296875" bestFit="1" customWidth="1"/>
    <col min="3" max="3" width="19.81640625" bestFit="1" customWidth="1"/>
    <col min="4" max="4" width="8.1796875" bestFit="1" customWidth="1"/>
    <col min="5" max="5" width="17.453125" bestFit="1" customWidth="1"/>
    <col min="6" max="6" width="23.81640625" bestFit="1" customWidth="1"/>
    <col min="7" max="7" width="15.1796875" bestFit="1" customWidth="1"/>
    <col min="8" max="8" width="17" bestFit="1" customWidth="1"/>
    <col min="9" max="10" width="20.7265625" bestFit="1" customWidth="1"/>
    <col min="11" max="11" width="20.7265625" customWidth="1"/>
    <col min="12" max="12" width="23.81640625" bestFit="1" customWidth="1"/>
    <col min="13" max="23" width="16.26953125" customWidth="1"/>
    <col min="25" max="25" width="21.7265625" bestFit="1" customWidth="1"/>
    <col min="26" max="32" width="15.7265625" customWidth="1"/>
  </cols>
  <sheetData>
    <row r="1" spans="1:32" x14ac:dyDescent="0.35">
      <c r="A1" t="s">
        <v>118</v>
      </c>
      <c r="B1" t="s">
        <v>21</v>
      </c>
      <c r="C1" t="s">
        <v>137</v>
      </c>
      <c r="D1" s="22" t="s">
        <v>138</v>
      </c>
      <c r="E1" t="s">
        <v>144</v>
      </c>
      <c r="G1" t="s">
        <v>140</v>
      </c>
      <c r="H1" t="s">
        <v>139</v>
      </c>
      <c r="I1" t="s">
        <v>145</v>
      </c>
      <c r="L1" t="s">
        <v>142</v>
      </c>
      <c r="M1" t="s">
        <v>143</v>
      </c>
      <c r="N1" s="26">
        <v>0.752</v>
      </c>
      <c r="O1" t="s">
        <v>146</v>
      </c>
      <c r="P1" s="30">
        <v>0.02</v>
      </c>
    </row>
    <row r="2" spans="1:32" x14ac:dyDescent="0.35">
      <c r="A2" t="s">
        <v>119</v>
      </c>
      <c r="B2" s="2">
        <f>Pricing!M2</f>
        <v>8.68</v>
      </c>
      <c r="C2" s="2">
        <f>Pricing!N2</f>
        <v>1063</v>
      </c>
      <c r="D2" s="40">
        <v>642039</v>
      </c>
      <c r="E2" s="25">
        <f>ROUNDDOWN(D2/100,0)</f>
        <v>6420</v>
      </c>
      <c r="F2" t="s">
        <v>119</v>
      </c>
      <c r="G2" s="2">
        <f t="shared" ref="G2:H4" si="0">D2*B2</f>
        <v>5572898.5199999996</v>
      </c>
      <c r="H2" s="2">
        <f t="shared" si="0"/>
        <v>6824460</v>
      </c>
      <c r="I2" s="2">
        <f>($B$29*(ROUNDDOWN(E2*M3*$N$1,0)))*(1-$P$1)</f>
        <v>8973112.4658000004</v>
      </c>
      <c r="J2" t="str">
        <f>IF(SUM(G2:I2)=0,"",IF(MAX(G2:I2)=G2,$G$1,IF(MAX(G2:I2)=H2,$H$1,IF(MAX(G2:I2)=I2,$I$1,"Check Data"))))</f>
        <v>Reprocess to Minerals</v>
      </c>
      <c r="L2" t="s">
        <v>147</v>
      </c>
      <c r="M2" t="s">
        <v>107</v>
      </c>
      <c r="N2" t="s">
        <v>109</v>
      </c>
      <c r="O2" t="s">
        <v>110</v>
      </c>
      <c r="P2" t="s">
        <v>111</v>
      </c>
      <c r="Q2" t="s">
        <v>112</v>
      </c>
      <c r="R2" t="s">
        <v>114</v>
      </c>
      <c r="S2" t="s">
        <v>113</v>
      </c>
      <c r="T2" t="s">
        <v>55</v>
      </c>
      <c r="U2" t="s">
        <v>59</v>
      </c>
      <c r="V2" t="s">
        <v>60</v>
      </c>
      <c r="W2" t="s">
        <v>151</v>
      </c>
      <c r="Y2" t="s">
        <v>147</v>
      </c>
      <c r="Z2" t="s">
        <v>107</v>
      </c>
      <c r="AA2" t="s">
        <v>109</v>
      </c>
      <c r="AB2" t="s">
        <v>110</v>
      </c>
      <c r="AC2" t="s">
        <v>111</v>
      </c>
      <c r="AD2" t="s">
        <v>112</v>
      </c>
      <c r="AE2" t="s">
        <v>114</v>
      </c>
      <c r="AF2" t="s">
        <v>113</v>
      </c>
    </row>
    <row r="3" spans="1:32" x14ac:dyDescent="0.35">
      <c r="A3" t="s">
        <v>120</v>
      </c>
      <c r="B3" s="2">
        <f>Pricing!M3</f>
        <v>9.7100000000000009</v>
      </c>
      <c r="C3" s="2">
        <f>Pricing!N3</f>
        <v>1089</v>
      </c>
      <c r="D3" s="40">
        <v>413865</v>
      </c>
      <c r="E3" s="25">
        <f>ROUNDDOWN(D3/100,0)</f>
        <v>4138</v>
      </c>
      <c r="F3" t="s">
        <v>120</v>
      </c>
      <c r="G3" s="2">
        <f t="shared" si="0"/>
        <v>4018629.1500000004</v>
      </c>
      <c r="H3" s="2">
        <f t="shared" si="0"/>
        <v>4506282</v>
      </c>
      <c r="I3" s="2">
        <f>($B$29*(ROUNDDOWN(E3*M4*$N$1,0)))*(1-$P$1)</f>
        <v>6076268.8924000002</v>
      </c>
      <c r="J3" t="str">
        <f>IF(SUM(G3:I3)=0,"",IF(MAX(G3:I3)=G3,$G$1,IF(MAX(G3:I3)=H3,$H$1,IF(MAX(G3:I3)=I3,$I$1,"Check Data"))))</f>
        <v>Reprocess to Minerals</v>
      </c>
      <c r="L3" t="s">
        <v>119</v>
      </c>
      <c r="M3">
        <v>415</v>
      </c>
      <c r="Y3" t="s">
        <v>119</v>
      </c>
      <c r="Z3" s="15">
        <f>M3/SUM(M3:S3)</f>
        <v>1</v>
      </c>
      <c r="AA3" s="15" t="str">
        <f>IF(SUM(Z3)&lt;&gt;100%,(N3/SUM(M3:S3)),"")</f>
        <v/>
      </c>
      <c r="AB3" s="15"/>
      <c r="AC3" s="15"/>
      <c r="AD3" s="15"/>
      <c r="AE3" s="15"/>
      <c r="AF3" s="15"/>
    </row>
    <row r="4" spans="1:32" x14ac:dyDescent="0.35">
      <c r="A4" t="s">
        <v>121</v>
      </c>
      <c r="B4" s="2">
        <f>Pricing!M4</f>
        <v>11.15</v>
      </c>
      <c r="C4" s="2">
        <f>Pricing!N4</f>
        <v>1205</v>
      </c>
      <c r="D4" s="40">
        <v>0</v>
      </c>
      <c r="E4" s="25">
        <f>ROUNDDOWN(D4/100,0)</f>
        <v>0</v>
      </c>
      <c r="F4" t="s">
        <v>121</v>
      </c>
      <c r="G4" s="2">
        <f t="shared" si="0"/>
        <v>0</v>
      </c>
      <c r="H4" s="2">
        <f t="shared" si="0"/>
        <v>0</v>
      </c>
      <c r="I4" s="2">
        <f>($B$29*(ROUNDDOWN(E4*M5*$N$1,0)))*(1-$P$1)</f>
        <v>0</v>
      </c>
      <c r="J4" t="str">
        <f>IF(SUM(G4:I4)=0,"",IF(MAX(G4:I4)=G4,$G$1,IF(MAX(G4:I4)=H4,$H$1,IF(MAX(G4:I4)=I4,$I$1,"Check Data"))))</f>
        <v/>
      </c>
      <c r="L4" t="s">
        <v>120</v>
      </c>
      <c r="M4">
        <v>436</v>
      </c>
      <c r="Y4" t="s">
        <v>120</v>
      </c>
      <c r="Z4" s="15">
        <f t="shared" ref="Z4:Z20" si="1">M4/SUM(M4:S4)</f>
        <v>1</v>
      </c>
      <c r="AA4" s="15" t="str">
        <f t="shared" ref="AA4:AA17" si="2">IF(SUM(Z4)&lt;&gt;100%,(N4/SUM(M4:S4)),"")</f>
        <v/>
      </c>
      <c r="AB4" s="15"/>
      <c r="AC4" s="15"/>
      <c r="AD4" s="15"/>
      <c r="AE4" s="15"/>
      <c r="AF4" s="15"/>
    </row>
    <row r="5" spans="1:32" x14ac:dyDescent="0.35">
      <c r="B5" s="2"/>
      <c r="C5" s="2"/>
      <c r="G5" s="2"/>
      <c r="H5" s="2"/>
      <c r="I5" s="2"/>
      <c r="L5" t="s">
        <v>121</v>
      </c>
      <c r="M5">
        <v>457</v>
      </c>
      <c r="Y5" t="s">
        <v>121</v>
      </c>
      <c r="Z5" s="15">
        <f t="shared" si="1"/>
        <v>1</v>
      </c>
      <c r="AA5" s="15" t="str">
        <f t="shared" si="2"/>
        <v/>
      </c>
      <c r="AB5" s="15"/>
      <c r="AC5" s="15"/>
      <c r="AD5" s="15"/>
      <c r="AE5" s="15"/>
      <c r="AF5" s="15"/>
    </row>
    <row r="6" spans="1:32" x14ac:dyDescent="0.35">
      <c r="A6" t="s">
        <v>122</v>
      </c>
      <c r="B6" s="2">
        <f>Pricing!M6</f>
        <v>14.19</v>
      </c>
      <c r="C6" s="2">
        <f>Pricing!N6</f>
        <v>1971</v>
      </c>
      <c r="D6" s="40">
        <v>81837</v>
      </c>
      <c r="E6" s="25">
        <f>ROUNDDOWN(D6/100,0)</f>
        <v>818</v>
      </c>
      <c r="F6" t="s">
        <v>122</v>
      </c>
      <c r="G6" s="2">
        <f t="shared" ref="G6:H8" si="3">D6*B6</f>
        <v>1161267.03</v>
      </c>
      <c r="H6" s="2">
        <f t="shared" si="3"/>
        <v>1612278</v>
      </c>
      <c r="I6" s="2">
        <f>(($B$29*ROUNDDOWN(E6*M6*$N$1,0))+($B$30*ROUNDDOWN(E6*N6*$N$1,0)))*(1-$P$1)</f>
        <v>2831468.2046000003</v>
      </c>
      <c r="J6" t="str">
        <f>IF(SUM(G6:I6)=0,"",IF(MAX(G6:I6)=G6,$G$1,IF(MAX(G6:I6)=H6,$H$1,IF(MAX(G6:I6)=I6,$I$1,"Check Data"))))</f>
        <v>Reprocess to Minerals</v>
      </c>
      <c r="L6" t="s">
        <v>122</v>
      </c>
      <c r="M6">
        <v>346</v>
      </c>
      <c r="N6">
        <v>173</v>
      </c>
      <c r="Y6" t="s">
        <v>122</v>
      </c>
      <c r="Z6" s="15">
        <f>M6/SUM(M6:S6)</f>
        <v>0.66666666666666663</v>
      </c>
      <c r="AA6" s="15">
        <f t="shared" si="2"/>
        <v>0.33333333333333331</v>
      </c>
      <c r="AB6" s="15" t="str">
        <f>IF(SUM(Z6:AA6)&lt;&gt;100%,(O6/SUM(M6:S6)),"")</f>
        <v/>
      </c>
      <c r="AC6" s="15"/>
      <c r="AD6" s="15"/>
      <c r="AE6" s="15"/>
      <c r="AF6" s="15"/>
    </row>
    <row r="7" spans="1:32" x14ac:dyDescent="0.35">
      <c r="A7" t="s">
        <v>123</v>
      </c>
      <c r="B7" s="2">
        <f>Pricing!M7</f>
        <v>18.989999999999998</v>
      </c>
      <c r="C7" s="2">
        <f>Pricing!N7</f>
        <v>2091</v>
      </c>
      <c r="D7" s="40">
        <v>94522</v>
      </c>
      <c r="E7" s="25">
        <f>ROUNDDOWN(D7/100,0)</f>
        <v>945</v>
      </c>
      <c r="F7" t="s">
        <v>123</v>
      </c>
      <c r="G7" s="2">
        <f t="shared" si="3"/>
        <v>1794972.7799999998</v>
      </c>
      <c r="H7" s="2">
        <f t="shared" si="3"/>
        <v>1975995</v>
      </c>
      <c r="I7" s="2">
        <f>(($B$29*ROUNDDOWN(E7*M7*$N$1,0))+($B$30*ROUNDDOWN(E7*N7*$N$1,0)))*(1-$P$1)</f>
        <v>3441242.9520000005</v>
      </c>
      <c r="J7" t="str">
        <f>IF(SUM(G7:I7)=0,"",IF(MAX(G7:I7)=G7,$G$1,IF(MAX(G7:I7)=H7,$H$1,IF(MAX(G7:I7)=I7,$I$1,"Check Data"))))</f>
        <v>Reprocess to Minerals</v>
      </c>
      <c r="L7" t="s">
        <v>123</v>
      </c>
      <c r="M7">
        <v>364</v>
      </c>
      <c r="N7">
        <v>182</v>
      </c>
      <c r="Y7" t="s">
        <v>123</v>
      </c>
      <c r="Z7" s="15">
        <f t="shared" si="1"/>
        <v>0.66666666666666663</v>
      </c>
      <c r="AA7" s="15">
        <f t="shared" si="2"/>
        <v>0.33333333333333331</v>
      </c>
      <c r="AB7" s="15" t="str">
        <f t="shared" ref="AB7:AB20" si="4">IF(SUM(Z7:AA7)&lt;&gt;100%,(O7/SUM(M7:S7)),"")</f>
        <v/>
      </c>
      <c r="AC7" s="15"/>
      <c r="AD7" s="15"/>
      <c r="AE7" s="15"/>
      <c r="AF7" s="15"/>
    </row>
    <row r="8" spans="1:32" x14ac:dyDescent="0.35">
      <c r="A8" t="s">
        <v>124</v>
      </c>
      <c r="B8" s="2">
        <f>Pricing!M8</f>
        <v>15.32</v>
      </c>
      <c r="C8" s="2">
        <f>Pricing!N8</f>
        <v>2490</v>
      </c>
      <c r="D8" s="40">
        <v>0</v>
      </c>
      <c r="E8" s="25">
        <f>ROUNDDOWN(D8/100,0)</f>
        <v>0</v>
      </c>
      <c r="F8" t="s">
        <v>124</v>
      </c>
      <c r="G8" s="2">
        <f t="shared" si="3"/>
        <v>0</v>
      </c>
      <c r="H8" s="2">
        <f t="shared" si="3"/>
        <v>0</v>
      </c>
      <c r="I8" s="2">
        <f>(($B$29*ROUNDDOWN(E8*M8*$N$1,0))+($B$30*ROUNDDOWN(E8*N8*$N$1,0)))*(1-$P$1)</f>
        <v>0</v>
      </c>
      <c r="J8" t="str">
        <f>IF(SUM(G8:I8)=0,"",IF(MAX(G8:I8)=G8,$G$1,IF(MAX(G8:I8)=H8,$H$1,IF(MAX(G8:I8)=I8,$I$1,"Check Data"))))</f>
        <v/>
      </c>
      <c r="L8" t="s">
        <v>124</v>
      </c>
      <c r="M8">
        <v>381</v>
      </c>
      <c r="N8">
        <v>190</v>
      </c>
      <c r="Y8" t="s">
        <v>124</v>
      </c>
      <c r="Z8" s="15">
        <f t="shared" si="1"/>
        <v>0.66725043782837123</v>
      </c>
      <c r="AA8" s="15">
        <f t="shared" si="2"/>
        <v>0.33274956217162871</v>
      </c>
      <c r="AB8" s="15" t="str">
        <f t="shared" si="4"/>
        <v/>
      </c>
      <c r="AC8" s="15"/>
      <c r="AD8" s="15"/>
      <c r="AE8" s="15"/>
      <c r="AF8" s="15"/>
    </row>
    <row r="9" spans="1:32" x14ac:dyDescent="0.35">
      <c r="B9" s="2"/>
      <c r="C9" s="2"/>
      <c r="G9" s="2"/>
      <c r="H9" s="2"/>
      <c r="I9" s="2"/>
      <c r="L9" t="s">
        <v>125</v>
      </c>
      <c r="M9">
        <v>351</v>
      </c>
      <c r="N9">
        <v>25</v>
      </c>
      <c r="O9">
        <v>50</v>
      </c>
      <c r="Q9">
        <v>5</v>
      </c>
      <c r="Y9" t="s">
        <v>125</v>
      </c>
      <c r="Z9" s="15">
        <f t="shared" si="1"/>
        <v>0.81438515081206497</v>
      </c>
      <c r="AA9" s="15">
        <f t="shared" si="2"/>
        <v>5.8004640371229696E-2</v>
      </c>
      <c r="AB9" s="15">
        <f t="shared" si="4"/>
        <v>0.11600928074245939</v>
      </c>
      <c r="AC9" s="15"/>
      <c r="AD9" s="15">
        <f>Q9/SUM(M9:Q9)</f>
        <v>1.1600928074245939E-2</v>
      </c>
      <c r="AE9" s="15"/>
      <c r="AF9" s="15"/>
    </row>
    <row r="10" spans="1:32" x14ac:dyDescent="0.35">
      <c r="A10" t="s">
        <v>125</v>
      </c>
      <c r="B10" s="2">
        <f>Pricing!M10</f>
        <v>22.45</v>
      </c>
      <c r="C10" s="2">
        <f>Pricing!N10</f>
        <v>3279</v>
      </c>
      <c r="D10" s="40">
        <v>7328</v>
      </c>
      <c r="E10" s="25">
        <f>ROUNDDOWN(D10/100,0)</f>
        <v>73</v>
      </c>
      <c r="F10" t="s">
        <v>125</v>
      </c>
      <c r="G10" s="2">
        <f t="shared" ref="G10:H12" si="5">D10*B10</f>
        <v>164513.60000000001</v>
      </c>
      <c r="H10" s="2">
        <f t="shared" si="5"/>
        <v>239367</v>
      </c>
      <c r="I10" s="2">
        <f>(($B$29*ROUNDDOWN(E10*M9*$N$1,0))+($B$30*ROUNDDOWN(E10*N9*$N$1,0))+($B$31*ROUNDDOWN(E10*O9*$N$1,0))+($B$33*ROUNDDOWN(E10*Q9*$N$1,0)))*(1-$P$1)</f>
        <v>640977.15360000008</v>
      </c>
      <c r="J10" t="str">
        <f>IF(SUM(G10:I10)=0,"",IF(MAX(G10:I10)=G10,$G$1,IF(MAX(G10:I10)=H10,$H$1,IF(MAX(G10:I10)=I10,$I$1,"Check Data"))))</f>
        <v>Reprocess to Minerals</v>
      </c>
      <c r="L10" t="s">
        <v>126</v>
      </c>
      <c r="M10">
        <v>369</v>
      </c>
      <c r="N10">
        <v>26</v>
      </c>
      <c r="O10">
        <v>53</v>
      </c>
      <c r="Q10">
        <v>5</v>
      </c>
      <c r="Y10" t="s">
        <v>126</v>
      </c>
      <c r="Z10" s="15">
        <f t="shared" si="1"/>
        <v>0.81456953642384111</v>
      </c>
      <c r="AA10" s="15">
        <f t="shared" si="2"/>
        <v>5.7395143487858721E-2</v>
      </c>
      <c r="AB10" s="15">
        <f t="shared" si="4"/>
        <v>0.11699779249448124</v>
      </c>
      <c r="AC10" s="15"/>
      <c r="AD10" s="15">
        <f>Q10/SUM(M10:Q10)</f>
        <v>1.1037527593818985E-2</v>
      </c>
      <c r="AE10" s="15"/>
      <c r="AF10" s="15"/>
    </row>
    <row r="11" spans="1:32" x14ac:dyDescent="0.35">
      <c r="A11" t="s">
        <v>126</v>
      </c>
      <c r="B11" s="2">
        <f>Pricing!M11</f>
        <v>25.48</v>
      </c>
      <c r="C11" s="2">
        <f>Pricing!N11</f>
        <v>3100</v>
      </c>
      <c r="D11" s="40">
        <v>31817</v>
      </c>
      <c r="E11" s="25">
        <f>ROUNDDOWN(D11/100,0)</f>
        <v>318</v>
      </c>
      <c r="F11" t="s">
        <v>126</v>
      </c>
      <c r="G11" s="2">
        <f t="shared" si="5"/>
        <v>810697.16</v>
      </c>
      <c r="H11" s="2">
        <f t="shared" si="5"/>
        <v>985800</v>
      </c>
      <c r="I11" s="2">
        <f>(($B$29*ROUNDDOWN(E11*M10*$N$1,0))+($B$30*ROUNDDOWN(E11*N10*$N$1,0))+($B$31*ROUNDDOWN(E11*O10*$N$1,0))+($B$33*ROUNDDOWN(E11*Q10*$N$1,0)))*(1-$P$1)</f>
        <v>2862334.1964000002</v>
      </c>
      <c r="J11" t="str">
        <f>IF(SUM(G11:I11)=0,"",IF(MAX(G11:I11)=G11,$G$1,IF(MAX(G11:I11)=H11,$H$1,IF(MAX(G11:I11)=I11,$I$1,"Check Data"))))</f>
        <v>Reprocess to Minerals</v>
      </c>
      <c r="L11" t="s">
        <v>127</v>
      </c>
      <c r="M11">
        <v>387</v>
      </c>
      <c r="N11">
        <v>27</v>
      </c>
      <c r="O11">
        <v>55</v>
      </c>
      <c r="Q11">
        <v>5</v>
      </c>
      <c r="Y11" t="s">
        <v>127</v>
      </c>
      <c r="Z11" s="15">
        <f t="shared" si="1"/>
        <v>0.81645569620253167</v>
      </c>
      <c r="AA11" s="15">
        <f t="shared" si="2"/>
        <v>5.6962025316455694E-2</v>
      </c>
      <c r="AB11" s="15">
        <f t="shared" si="4"/>
        <v>0.1160337552742616</v>
      </c>
      <c r="AC11" s="15"/>
      <c r="AD11" s="15">
        <f>Q11/SUM(M11:Q11)</f>
        <v>1.0548523206751054E-2</v>
      </c>
      <c r="AE11" s="15"/>
      <c r="AF11" s="15"/>
    </row>
    <row r="12" spans="1:32" x14ac:dyDescent="0.35">
      <c r="A12" t="s">
        <v>127</v>
      </c>
      <c r="B12" s="2">
        <f>Pricing!M12</f>
        <v>37.28</v>
      </c>
      <c r="C12" s="2">
        <f>Pricing!N12</f>
        <v>3025</v>
      </c>
      <c r="D12" s="40">
        <v>0</v>
      </c>
      <c r="E12" s="25">
        <f>ROUNDDOWN(D12/100,0)</f>
        <v>0</v>
      </c>
      <c r="F12" t="s">
        <v>127</v>
      </c>
      <c r="G12" s="2">
        <f t="shared" si="5"/>
        <v>0</v>
      </c>
      <c r="H12" s="2">
        <f t="shared" si="5"/>
        <v>0</v>
      </c>
      <c r="I12" s="2">
        <f>(($B$29*ROUNDDOWN(E12*M11*$N$1,0))+($B$30*ROUNDDOWN(E12*N11*$N$1,0))+($B$31*ROUNDDOWN(E12*O11*$N$1,0))+($B$33*ROUNDDOWN(E12*Q11*$N$1,0)))*(1-$P$1)</f>
        <v>0</v>
      </c>
      <c r="J12" t="str">
        <f>IF(SUM(G12:I12)=0,"",IF(MAX(G12:I12)=G12,$G$1,IF(MAX(G12:I12)=H12,$H$1,IF(MAX(G12:I12)=I12,$I$1,"Check Data"))))</f>
        <v/>
      </c>
      <c r="L12" t="s">
        <v>128</v>
      </c>
      <c r="M12">
        <v>107</v>
      </c>
      <c r="N12">
        <v>213</v>
      </c>
      <c r="O12">
        <v>107</v>
      </c>
      <c r="Y12" t="s">
        <v>128</v>
      </c>
      <c r="Z12" s="15">
        <f t="shared" si="1"/>
        <v>0.25058548009367682</v>
      </c>
      <c r="AA12" s="15">
        <f t="shared" si="2"/>
        <v>0.49882903981264637</v>
      </c>
      <c r="AB12" s="15">
        <f t="shared" si="4"/>
        <v>0.25058548009367682</v>
      </c>
      <c r="AC12" s="15"/>
      <c r="AD12" s="15"/>
      <c r="AE12" s="15"/>
      <c r="AF12" s="15"/>
    </row>
    <row r="13" spans="1:32" x14ac:dyDescent="0.35">
      <c r="B13" s="2"/>
      <c r="C13" s="2"/>
      <c r="G13" s="2"/>
      <c r="H13" s="2"/>
      <c r="I13" s="2"/>
      <c r="L13" t="s">
        <v>130</v>
      </c>
      <c r="M13">
        <v>113</v>
      </c>
      <c r="N13">
        <v>224</v>
      </c>
      <c r="O13">
        <v>113</v>
      </c>
      <c r="Y13" t="s">
        <v>130</v>
      </c>
      <c r="Z13" s="15">
        <f t="shared" si="1"/>
        <v>0.25111111111111112</v>
      </c>
      <c r="AA13" s="15">
        <f t="shared" si="2"/>
        <v>0.49777777777777776</v>
      </c>
      <c r="AB13" s="15">
        <f t="shared" si="4"/>
        <v>0.25111111111111112</v>
      </c>
      <c r="AC13" s="15"/>
      <c r="AD13" s="15"/>
      <c r="AE13" s="15"/>
      <c r="AF13" s="15"/>
    </row>
    <row r="14" spans="1:32" x14ac:dyDescent="0.35">
      <c r="A14" t="s">
        <v>128</v>
      </c>
      <c r="B14" s="2">
        <f>Pricing!M14</f>
        <v>72.62</v>
      </c>
      <c r="C14" s="2">
        <f>Pricing!N14</f>
        <v>8528</v>
      </c>
      <c r="D14" s="40">
        <v>0</v>
      </c>
      <c r="E14" s="25">
        <f>ROUNDDOWN(D14/100,0)</f>
        <v>0</v>
      </c>
      <c r="F14" t="s">
        <v>128</v>
      </c>
      <c r="G14" s="2">
        <f t="shared" ref="G14:H16" si="6">D14*B14</f>
        <v>0</v>
      </c>
      <c r="H14" s="2">
        <f t="shared" si="6"/>
        <v>0</v>
      </c>
      <c r="I14" s="2">
        <f>(($B$29*ROUNDDOWN(E14*M12*$N$1,0))+($B$30*ROUNDDOWN(E14*N12*$N$1,0))+($B$31*ROUNDDOWN(E14*O12*$N$1,0)))*(1-$P$1)</f>
        <v>0</v>
      </c>
      <c r="J14" t="str">
        <f>IF(SUM(G14:I14)=0,"",IF(MAX(G14:I14)=G14,$G$1,IF(MAX(G14:I14)=H14,$H$1,IF(MAX(G14:I14)=I14,$I$1,"Check Data"))))</f>
        <v/>
      </c>
      <c r="L14" t="s">
        <v>129</v>
      </c>
      <c r="M14">
        <v>118</v>
      </c>
      <c r="N14">
        <v>235</v>
      </c>
      <c r="O14">
        <v>118</v>
      </c>
      <c r="Y14" t="s">
        <v>129</v>
      </c>
      <c r="Z14" s="15">
        <f t="shared" si="1"/>
        <v>0.2505307855626327</v>
      </c>
      <c r="AA14" s="15">
        <f t="shared" si="2"/>
        <v>0.49893842887473461</v>
      </c>
      <c r="AB14" s="15">
        <f t="shared" si="4"/>
        <v>0.2505307855626327</v>
      </c>
      <c r="AC14" s="15"/>
      <c r="AD14" s="15"/>
      <c r="AE14" s="15"/>
      <c r="AF14" s="15"/>
    </row>
    <row r="15" spans="1:32" x14ac:dyDescent="0.35">
      <c r="A15" t="s">
        <v>130</v>
      </c>
      <c r="B15" s="2">
        <f>Pricing!M15</f>
        <v>93</v>
      </c>
      <c r="C15" s="2">
        <f>Pricing!N15</f>
        <v>9600</v>
      </c>
      <c r="D15" s="40">
        <v>0</v>
      </c>
      <c r="E15" s="25">
        <f>ROUNDDOWN(D15/100,0)</f>
        <v>0</v>
      </c>
      <c r="F15" t="s">
        <v>130</v>
      </c>
      <c r="G15" s="2">
        <f t="shared" si="6"/>
        <v>0</v>
      </c>
      <c r="H15" s="2">
        <f t="shared" si="6"/>
        <v>0</v>
      </c>
      <c r="I15" s="2">
        <f>(($B$29*ROUNDDOWN(E15*M13*$N$1,0))+($B$30*ROUNDDOWN(E15*N13*$N$1,0))+($B$31*ROUNDDOWN(E15*O13*$N$1,0)))*(1-$P$1)</f>
        <v>0</v>
      </c>
      <c r="J15" t="str">
        <f>IF(SUM(G15:I15)=0,"",IF(MAX(G15:I15)=G15,$G$1,IF(MAX(G15:I15)=H15,$H$1,IF(MAX(G15:I15)=I15,$I$1,"Check Data"))))</f>
        <v/>
      </c>
      <c r="L15" t="s">
        <v>134</v>
      </c>
      <c r="M15">
        <v>800</v>
      </c>
      <c r="N15">
        <v>100</v>
      </c>
      <c r="P15">
        <v>85</v>
      </c>
      <c r="Y15" t="s">
        <v>134</v>
      </c>
      <c r="Z15" s="15">
        <f t="shared" si="1"/>
        <v>0.81218274111675126</v>
      </c>
      <c r="AA15" s="15">
        <f t="shared" si="2"/>
        <v>0.10152284263959391</v>
      </c>
      <c r="AB15" s="15"/>
      <c r="AC15" s="15">
        <f t="shared" ref="AC15:AC20" si="7">P15/SUM(M15:P15)</f>
        <v>8.6294416243654817E-2</v>
      </c>
      <c r="AD15" s="15"/>
      <c r="AE15" s="15"/>
      <c r="AF15" s="15"/>
    </row>
    <row r="16" spans="1:32" x14ac:dyDescent="0.35">
      <c r="A16" t="s">
        <v>129</v>
      </c>
      <c r="B16" s="2">
        <f>Pricing!M16</f>
        <v>72.62</v>
      </c>
      <c r="C16" s="2">
        <f>Pricing!N16</f>
        <v>9426</v>
      </c>
      <c r="D16" s="40">
        <v>0</v>
      </c>
      <c r="E16" s="25">
        <f>ROUNDDOWN(D16/100,0)</f>
        <v>0</v>
      </c>
      <c r="F16" t="s">
        <v>129</v>
      </c>
      <c r="G16" s="2">
        <f t="shared" si="6"/>
        <v>0</v>
      </c>
      <c r="H16" s="2">
        <f t="shared" si="6"/>
        <v>0</v>
      </c>
      <c r="I16" s="2">
        <f>(($B$29*ROUNDDOWN(E16*M14*$N$1,0))+($B$30*ROUNDDOWN(E16*N14*$N$1,0))+($B$31*ROUNDDOWN(E16*O14*$N$1,0)))*(1-$P$1)</f>
        <v>0</v>
      </c>
      <c r="J16" t="str">
        <f>IF(SUM(G16:I16)=0,"",IF(MAX(G16:I16)=G16,$G$1,IF(MAX(G16:I16)=H16,$H$1,IF(MAX(G16:I16)=I16,$I$1,"Check Data"))))</f>
        <v/>
      </c>
      <c r="L16" t="s">
        <v>135</v>
      </c>
      <c r="M16">
        <v>840</v>
      </c>
      <c r="N16">
        <v>105</v>
      </c>
      <c r="P16">
        <v>90</v>
      </c>
      <c r="Y16" t="s">
        <v>135</v>
      </c>
      <c r="Z16" s="15">
        <f t="shared" si="1"/>
        <v>0.81159420289855078</v>
      </c>
      <c r="AA16" s="15">
        <f t="shared" si="2"/>
        <v>0.10144927536231885</v>
      </c>
      <c r="AB16" s="15"/>
      <c r="AC16" s="15">
        <f t="shared" si="7"/>
        <v>8.6956521739130432E-2</v>
      </c>
      <c r="AD16" s="15"/>
      <c r="AE16" s="15"/>
      <c r="AF16" s="15"/>
    </row>
    <row r="17" spans="1:32" x14ac:dyDescent="0.35">
      <c r="B17" s="2"/>
      <c r="C17" s="2"/>
      <c r="E17" s="25"/>
      <c r="G17" s="2"/>
      <c r="H17" s="2"/>
      <c r="I17" s="2"/>
      <c r="L17" t="s">
        <v>136</v>
      </c>
      <c r="M17">
        <v>880</v>
      </c>
      <c r="N17">
        <v>110</v>
      </c>
      <c r="P17">
        <v>94</v>
      </c>
      <c r="Y17" t="s">
        <v>136</v>
      </c>
      <c r="Z17" s="15">
        <f t="shared" si="1"/>
        <v>0.81180811808118081</v>
      </c>
      <c r="AA17" s="15">
        <f t="shared" si="2"/>
        <v>0.1014760147601476</v>
      </c>
      <c r="AB17" s="15"/>
      <c r="AC17" s="15">
        <f t="shared" si="7"/>
        <v>8.6715867158671592E-2</v>
      </c>
      <c r="AD17" s="15"/>
      <c r="AE17" s="15"/>
      <c r="AF17" s="15"/>
    </row>
    <row r="18" spans="1:32" x14ac:dyDescent="0.35">
      <c r="A18" t="s">
        <v>134</v>
      </c>
      <c r="B18" s="2">
        <f>Pricing!M18</f>
        <v>64.09</v>
      </c>
      <c r="C18" s="2">
        <f>Pricing!N18</f>
        <v>9006</v>
      </c>
      <c r="D18" s="40">
        <v>0</v>
      </c>
      <c r="E18" s="25">
        <f>ROUNDDOWN(D18/100,0)</f>
        <v>0</v>
      </c>
      <c r="F18" t="s">
        <v>134</v>
      </c>
      <c r="G18" s="2">
        <f t="shared" ref="G18:H20" si="8">D18*B18</f>
        <v>0</v>
      </c>
      <c r="H18" s="2">
        <f t="shared" si="8"/>
        <v>0</v>
      </c>
      <c r="I18" s="2">
        <f>(($B$29*ROUNDDOWN(E18*M15*$N$1,0))+($B$30*ROUNDDOWN(E18*N15*$N$1,0))+($B$32*ROUNDDOWN(E18*P15*$N$1,0)))*(1-$P$1)</f>
        <v>0</v>
      </c>
      <c r="J18" t="str">
        <f>IF(SUM(G18:I18)=0,"",IF(MAX(G18:I18)=G18,$G$1,IF(MAX(G18:I18)=H18,$H$1,IF(MAX(G18:I18)=I18,$I$1,"Check Data"))))</f>
        <v/>
      </c>
      <c r="L18" t="s">
        <v>131</v>
      </c>
      <c r="M18">
        <v>134</v>
      </c>
      <c r="O18">
        <v>267</v>
      </c>
      <c r="P18">
        <v>134</v>
      </c>
      <c r="Y18" t="s">
        <v>131</v>
      </c>
      <c r="Z18" s="15">
        <f t="shared" si="1"/>
        <v>0.25046728971962617</v>
      </c>
      <c r="AA18" s="15"/>
      <c r="AB18" s="15">
        <f t="shared" si="4"/>
        <v>0.49906542056074765</v>
      </c>
      <c r="AC18" s="15">
        <f t="shared" si="7"/>
        <v>0.25046728971962617</v>
      </c>
      <c r="AD18" s="15"/>
      <c r="AE18" s="15"/>
      <c r="AF18" s="15"/>
    </row>
    <row r="19" spans="1:32" x14ac:dyDescent="0.35">
      <c r="A19" t="s">
        <v>135</v>
      </c>
      <c r="B19" s="2">
        <f>Pricing!M19</f>
        <v>62.3</v>
      </c>
      <c r="C19" s="2">
        <f>Pricing!N19</f>
        <v>7721</v>
      </c>
      <c r="D19" s="40">
        <v>0</v>
      </c>
      <c r="E19" s="25">
        <f>ROUNDDOWN(D19/100,0)</f>
        <v>0</v>
      </c>
      <c r="F19" t="s">
        <v>135</v>
      </c>
      <c r="G19" s="2">
        <f t="shared" si="8"/>
        <v>0</v>
      </c>
      <c r="H19" s="2">
        <f t="shared" si="8"/>
        <v>0</v>
      </c>
      <c r="I19" s="2">
        <f>(($B$29*ROUNDDOWN(E19*M16*$N$1,0))+($B$30*ROUNDDOWN(E19*N16*$N$1,0))+($B$32*ROUNDDOWN(E19*P16*$N$1,0)))*(1-$P$1)</f>
        <v>0</v>
      </c>
      <c r="J19" t="str">
        <f>IF(SUM(G19:I19)=0,"",IF(MAX(G19:I19)=G19,$G$1,IF(MAX(G19:I19)=H19,$H$1,IF(MAX(G19:I19)=I19,$I$1,"Check Data"))))</f>
        <v/>
      </c>
      <c r="L19" t="s">
        <v>132</v>
      </c>
      <c r="M19">
        <v>141</v>
      </c>
      <c r="O19">
        <v>281</v>
      </c>
      <c r="P19">
        <v>141</v>
      </c>
      <c r="Y19" t="s">
        <v>132</v>
      </c>
      <c r="Z19" s="15">
        <f t="shared" si="1"/>
        <v>0.25044404973357015</v>
      </c>
      <c r="AA19" s="15"/>
      <c r="AB19" s="15">
        <f t="shared" si="4"/>
        <v>0.4991119005328597</v>
      </c>
      <c r="AC19" s="15">
        <f t="shared" si="7"/>
        <v>0.25044404973357015</v>
      </c>
      <c r="AD19" s="15"/>
      <c r="AE19" s="15"/>
      <c r="AF19" s="15"/>
    </row>
    <row r="20" spans="1:32" x14ac:dyDescent="0.35">
      <c r="A20" t="s">
        <v>136</v>
      </c>
      <c r="B20" s="2">
        <f>Pricing!M20</f>
        <v>62.99</v>
      </c>
      <c r="C20" s="2">
        <f>Pricing!N20</f>
        <v>8367</v>
      </c>
      <c r="D20" s="40">
        <v>0</v>
      </c>
      <c r="E20" s="25">
        <f>ROUNDDOWN(D20/100,0)</f>
        <v>0</v>
      </c>
      <c r="F20" t="s">
        <v>136</v>
      </c>
      <c r="G20" s="2">
        <f t="shared" si="8"/>
        <v>0</v>
      </c>
      <c r="H20" s="2">
        <f t="shared" si="8"/>
        <v>0</v>
      </c>
      <c r="I20" s="2">
        <f>(($B$29*ROUNDDOWN(E20*M17*$N$1,0))+($B$30*ROUNDDOWN(E20*N17*$N$1,0))+($B$32*ROUNDDOWN(E20*P17*$N$1,0)))*(1-$P$1)</f>
        <v>0</v>
      </c>
      <c r="J20" t="str">
        <f>IF(SUM(G20:I20)=0,"",IF(MAX(G20:I20)=G20,$G$1,IF(MAX(G20:I20)=H20,$H$1,IF(MAX(G20:I20)=I20,$I$1,"Check Data"))))</f>
        <v/>
      </c>
      <c r="L20" t="s">
        <v>133</v>
      </c>
      <c r="M20">
        <v>148</v>
      </c>
      <c r="O20">
        <v>294</v>
      </c>
      <c r="P20">
        <v>148</v>
      </c>
      <c r="Y20" t="s">
        <v>133</v>
      </c>
      <c r="Z20" s="15">
        <f t="shared" si="1"/>
        <v>0.25084745762711863</v>
      </c>
      <c r="AA20" s="15"/>
      <c r="AB20" s="15">
        <f t="shared" si="4"/>
        <v>0.49830508474576274</v>
      </c>
      <c r="AC20" s="15">
        <f t="shared" si="7"/>
        <v>0.25084745762711863</v>
      </c>
      <c r="AD20" s="15"/>
      <c r="AE20" s="15"/>
      <c r="AF20" s="15"/>
    </row>
    <row r="21" spans="1:32" x14ac:dyDescent="0.35">
      <c r="B21" s="2"/>
      <c r="C21" s="2"/>
      <c r="E21" s="25"/>
      <c r="G21" s="2"/>
      <c r="H21" s="2"/>
      <c r="I21" s="2"/>
      <c r="L21" t="s">
        <v>148</v>
      </c>
      <c r="T21">
        <v>69</v>
      </c>
      <c r="U21">
        <v>35</v>
      </c>
      <c r="V21">
        <v>414</v>
      </c>
      <c r="W21">
        <v>1</v>
      </c>
    </row>
    <row r="22" spans="1:32" x14ac:dyDescent="0.35">
      <c r="A22" t="s">
        <v>131</v>
      </c>
      <c r="B22" s="2">
        <f>Pricing!M22</f>
        <v>409.5</v>
      </c>
      <c r="C22" s="2">
        <f>Pricing!N22</f>
        <v>20000</v>
      </c>
      <c r="D22" s="40">
        <v>0</v>
      </c>
      <c r="E22" s="25">
        <f>ROUNDDOWN(D22/100,0)</f>
        <v>0</v>
      </c>
      <c r="F22" t="s">
        <v>131</v>
      </c>
      <c r="G22" s="2">
        <f t="shared" ref="G22:H24" si="9">D22*B22</f>
        <v>0</v>
      </c>
      <c r="H22" s="2">
        <f t="shared" si="9"/>
        <v>0</v>
      </c>
      <c r="I22" s="2">
        <f>(($B$29*ROUNDDOWN(E22*M18*$N$1,0))+($B$32*ROUNDDOWN(E22*O18*$N$1,0))+($B$31*ROUNDDOWN(E22*P18*$N$1,0)))*(1-$P$1)</f>
        <v>0</v>
      </c>
      <c r="J22" t="str">
        <f>IF(SUM(G22:I22)=0,"",IF(MAX(G22:I22)=G22,$G$1,IF(MAX(G22:I22)=H22,$H$1,IF(MAX(G22:I22)=I22,$I$1,"Check Data"))))</f>
        <v/>
      </c>
    </row>
    <row r="23" spans="1:32" x14ac:dyDescent="0.35">
      <c r="A23" t="s">
        <v>132</v>
      </c>
      <c r="B23" s="2">
        <f>Pricing!M23</f>
        <v>160</v>
      </c>
      <c r="C23" s="2">
        <f>Pricing!N23</f>
        <v>20600</v>
      </c>
      <c r="D23" s="40">
        <v>0</v>
      </c>
      <c r="E23" s="25">
        <f>ROUNDDOWN(D23/100,0)</f>
        <v>0</v>
      </c>
      <c r="F23" t="s">
        <v>132</v>
      </c>
      <c r="G23" s="2">
        <f t="shared" si="9"/>
        <v>0</v>
      </c>
      <c r="H23" s="2">
        <f t="shared" si="9"/>
        <v>0</v>
      </c>
      <c r="I23" s="2">
        <f>(($B$29*ROUNDDOWN(E23*M19*$N$1,0))+($B$32*ROUNDDOWN(E23*O19*$N$1,0))+($B$31*ROUNDDOWN(E23*P19*$N$1,0)))*(1-$P$1)</f>
        <v>0</v>
      </c>
      <c r="J23" t="str">
        <f>IF(SUM(G23:I23)=0,"",IF(MAX(G23:I23)=G23,$G$1,IF(MAX(G23:I23)=H23,$H$1,IF(MAX(G23:I23)=I23,$I$1,"Check Data"))))</f>
        <v/>
      </c>
    </row>
    <row r="24" spans="1:32" x14ac:dyDescent="0.35">
      <c r="A24" t="s">
        <v>133</v>
      </c>
      <c r="B24" s="2">
        <f>Pricing!M24</f>
        <v>178.1</v>
      </c>
      <c r="C24" s="2">
        <f>Pricing!N24</f>
        <v>21290</v>
      </c>
      <c r="D24" s="40">
        <v>0</v>
      </c>
      <c r="E24" s="25">
        <f>ROUNDDOWN(D24/100,0)</f>
        <v>0</v>
      </c>
      <c r="F24" t="s">
        <v>133</v>
      </c>
      <c r="G24" s="2">
        <f t="shared" si="9"/>
        <v>0</v>
      </c>
      <c r="H24" s="2">
        <f t="shared" si="9"/>
        <v>0</v>
      </c>
      <c r="I24" s="2">
        <f>(($B$29*ROUNDDOWN(E24*M20*$N$1,0))+($B$32*ROUNDDOWN(E24*O20*$N$1,0))+($B$31*ROUNDDOWN(E24*P20*$N$1,0)))*(1-$P$1)</f>
        <v>0</v>
      </c>
      <c r="J24" t="str">
        <f>IF(SUM(G24:I24)=0,"",IF(MAX(G24:I24)=G24,$G$1,IF(MAX(G24:I24)=H24,$H$1,IF(MAX(G24:I24)=I24,$I$1,"Check Data"))))</f>
        <v/>
      </c>
    </row>
    <row r="25" spans="1:32" x14ac:dyDescent="0.35">
      <c r="B25" s="2"/>
      <c r="C25" s="2"/>
    </row>
    <row r="26" spans="1:32" x14ac:dyDescent="0.35">
      <c r="A26" t="s">
        <v>148</v>
      </c>
      <c r="B26" s="2">
        <f>Pricing!M26</f>
        <v>152000</v>
      </c>
      <c r="C26" s="2">
        <f>Pricing!N26</f>
        <v>167100</v>
      </c>
      <c r="D26" s="40">
        <v>126</v>
      </c>
      <c r="E26" s="25">
        <f>D26</f>
        <v>126</v>
      </c>
      <c r="F26" t="str">
        <f>A26</f>
        <v>White Glaze</v>
      </c>
      <c r="G26" s="4">
        <f>D26*B26</f>
        <v>19152000</v>
      </c>
      <c r="H26" s="4">
        <f>D26*C26</f>
        <v>21054600</v>
      </c>
      <c r="I26" s="2">
        <f>(($B$37*ROUNDDOWN(E26*T21*$N$1,0))+($B$38*ROUNDDOWN(E26*U21*$N$1,0))+($B$39*ROUNDDOWN(B4*V21*$N$1,0))+($B$40*ROUNDDOWN(W21*E26*$N$1,0)))*(1-$P$1)</f>
        <v>4445688.0720000006</v>
      </c>
      <c r="J26" t="str">
        <f>IF(MAX(G26:I26)=G26,$G$1,IF(MAX(G26:I26)=H26,$H$1,IF(MAX(G26:I26)=I26,$I$1,"Check Data")))</f>
        <v>Price Compressed</v>
      </c>
    </row>
    <row r="27" spans="1:32" x14ac:dyDescent="0.35">
      <c r="C27" s="2"/>
    </row>
    <row r="28" spans="1:32" x14ac:dyDescent="0.35">
      <c r="A28" s="37" t="s">
        <v>141</v>
      </c>
      <c r="B28" s="2"/>
      <c r="C28" s="2"/>
    </row>
    <row r="29" spans="1:32" x14ac:dyDescent="0.35">
      <c r="A29" t="s">
        <v>107</v>
      </c>
      <c r="B29" s="2">
        <f>Pricing!J2</f>
        <v>4.57</v>
      </c>
      <c r="C29" s="2"/>
    </row>
    <row r="30" spans="1:32" x14ac:dyDescent="0.35">
      <c r="A30" t="s">
        <v>109</v>
      </c>
      <c r="B30" s="2">
        <f>Pricing!J3</f>
        <v>18.010000000000002</v>
      </c>
      <c r="C30" s="2"/>
    </row>
    <row r="31" spans="1:32" x14ac:dyDescent="0.35">
      <c r="A31" t="s">
        <v>110</v>
      </c>
      <c r="B31" s="2">
        <f>Pricing!J4</f>
        <v>63.36</v>
      </c>
      <c r="C31" s="2"/>
    </row>
    <row r="32" spans="1:32" x14ac:dyDescent="0.35">
      <c r="A32" t="s">
        <v>111</v>
      </c>
      <c r="B32" s="2">
        <f>Pricing!J5</f>
        <v>55.98</v>
      </c>
      <c r="C32" s="2"/>
    </row>
    <row r="33" spans="1:6" x14ac:dyDescent="0.35">
      <c r="A33" t="s">
        <v>112</v>
      </c>
      <c r="B33" s="2">
        <f>Pricing!J6</f>
        <v>1341</v>
      </c>
      <c r="C33" s="2"/>
    </row>
    <row r="34" spans="1:6" x14ac:dyDescent="0.35">
      <c r="A34" t="s">
        <v>114</v>
      </c>
      <c r="B34" s="2">
        <f>Pricing!J7</f>
        <v>598</v>
      </c>
      <c r="C34" s="2"/>
    </row>
    <row r="35" spans="1:6" x14ac:dyDescent="0.35">
      <c r="A35" t="s">
        <v>113</v>
      </c>
      <c r="B35" s="2">
        <f>Pricing!J8</f>
        <v>868.3</v>
      </c>
      <c r="C35" s="26"/>
    </row>
    <row r="36" spans="1:6" x14ac:dyDescent="0.35">
      <c r="A36" t="s">
        <v>43</v>
      </c>
      <c r="B36" s="2">
        <f>Pricing!J9</f>
        <v>41900</v>
      </c>
      <c r="C36" s="26"/>
    </row>
    <row r="37" spans="1:6" x14ac:dyDescent="0.35">
      <c r="A37" t="s">
        <v>55</v>
      </c>
      <c r="B37" s="2">
        <f>Pricing!J14</f>
        <v>167.4</v>
      </c>
      <c r="C37" s="26"/>
    </row>
    <row r="38" spans="1:6" x14ac:dyDescent="0.35">
      <c r="A38" t="s">
        <v>59</v>
      </c>
      <c r="B38" s="2">
        <f>Pricing!J15</f>
        <v>85</v>
      </c>
      <c r="C38" s="26"/>
    </row>
    <row r="39" spans="1:6" x14ac:dyDescent="0.35">
      <c r="A39" t="s">
        <v>60</v>
      </c>
      <c r="B39" s="2">
        <f>Pricing!J16</f>
        <v>864.6</v>
      </c>
    </row>
    <row r="40" spans="1:6" x14ac:dyDescent="0.35">
      <c r="A40" t="s">
        <v>151</v>
      </c>
      <c r="B40" s="2">
        <f>Pricing!J18</f>
        <v>1694</v>
      </c>
    </row>
    <row r="42" spans="1:6" x14ac:dyDescent="0.35">
      <c r="A42" s="69" t="s">
        <v>369</v>
      </c>
    </row>
    <row r="43" spans="1:6" x14ac:dyDescent="0.35">
      <c r="A43" t="s">
        <v>370</v>
      </c>
      <c r="B43" t="s">
        <v>371</v>
      </c>
      <c r="C43" t="s">
        <v>372</v>
      </c>
      <c r="D43" s="30">
        <v>0.21</v>
      </c>
      <c r="E43" t="s">
        <v>146</v>
      </c>
      <c r="F43" s="30">
        <v>0.09</v>
      </c>
    </row>
    <row r="44" spans="1:6" x14ac:dyDescent="0.35">
      <c r="C44" t="s">
        <v>373</v>
      </c>
      <c r="D44" s="30">
        <v>0.16</v>
      </c>
    </row>
    <row r="45" spans="1:6" x14ac:dyDescent="0.35">
      <c r="D45" s="30"/>
    </row>
    <row r="46" spans="1:6" x14ac:dyDescent="0.35">
      <c r="A46" t="s">
        <v>374</v>
      </c>
      <c r="B46" t="s">
        <v>375</v>
      </c>
      <c r="C46" t="s">
        <v>376</v>
      </c>
      <c r="D46" s="30">
        <v>0.2</v>
      </c>
      <c r="E46" t="s">
        <v>146</v>
      </c>
      <c r="F46" s="30">
        <v>0.1</v>
      </c>
    </row>
    <row r="47" spans="1:6" x14ac:dyDescent="0.35">
      <c r="C47" t="s">
        <v>377</v>
      </c>
      <c r="D47" s="30">
        <v>0.08</v>
      </c>
    </row>
    <row r="49" spans="1:6" x14ac:dyDescent="0.35">
      <c r="A49" t="s">
        <v>374</v>
      </c>
      <c r="B49" t="s">
        <v>378</v>
      </c>
      <c r="C49" t="s">
        <v>379</v>
      </c>
      <c r="D49" s="30">
        <v>0.33</v>
      </c>
      <c r="E49" t="s">
        <v>146</v>
      </c>
      <c r="F49" s="30">
        <v>0.1</v>
      </c>
    </row>
    <row r="50" spans="1:6" x14ac:dyDescent="0.35">
      <c r="B50" s="2"/>
      <c r="C50" t="s">
        <v>373</v>
      </c>
      <c r="D50" s="30">
        <v>0.14000000000000001</v>
      </c>
    </row>
    <row r="52" spans="1:6" x14ac:dyDescent="0.35">
      <c r="A52" t="s">
        <v>380</v>
      </c>
      <c r="B52" t="s">
        <v>375</v>
      </c>
      <c r="C52" t="s">
        <v>372</v>
      </c>
      <c r="D52" s="30">
        <v>0.45</v>
      </c>
      <c r="E52" t="s">
        <v>146</v>
      </c>
      <c r="F52" s="30">
        <v>0.1</v>
      </c>
    </row>
    <row r="53" spans="1:6" x14ac:dyDescent="0.35">
      <c r="C53" t="s">
        <v>376</v>
      </c>
      <c r="D53" s="30">
        <v>0.22</v>
      </c>
    </row>
    <row r="55" spans="1:6" x14ac:dyDescent="0.35">
      <c r="A55" t="s">
        <v>380</v>
      </c>
      <c r="B55" t="s">
        <v>381</v>
      </c>
      <c r="C55" t="s">
        <v>382</v>
      </c>
      <c r="D55" s="30">
        <v>0.33</v>
      </c>
      <c r="E55" t="s">
        <v>146</v>
      </c>
      <c r="F55" s="30">
        <v>0.1</v>
      </c>
    </row>
    <row r="56" spans="1:6" x14ac:dyDescent="0.35">
      <c r="C56" t="s">
        <v>383</v>
      </c>
      <c r="D56" s="30">
        <v>0.16</v>
      </c>
    </row>
    <row r="57" spans="1:6" x14ac:dyDescent="0.35">
      <c r="C57" t="s">
        <v>384</v>
      </c>
      <c r="D57" s="30">
        <v>0.32</v>
      </c>
    </row>
    <row r="59" spans="1:6" x14ac:dyDescent="0.35">
      <c r="A59" t="s">
        <v>380</v>
      </c>
      <c r="B59" t="s">
        <v>375</v>
      </c>
      <c r="C59" t="s">
        <v>372</v>
      </c>
      <c r="D59" s="30">
        <v>0.45</v>
      </c>
      <c r="E59" t="s">
        <v>146</v>
      </c>
      <c r="F59" s="30">
        <v>0.1</v>
      </c>
    </row>
    <row r="60" spans="1:6" x14ac:dyDescent="0.35">
      <c r="C60" t="s">
        <v>379</v>
      </c>
      <c r="D60" s="30">
        <v>0.2</v>
      </c>
    </row>
    <row r="62" spans="1:6" x14ac:dyDescent="0.35">
      <c r="A62" s="69" t="s">
        <v>385</v>
      </c>
    </row>
    <row r="63" spans="1:6" x14ac:dyDescent="0.35">
      <c r="A63" s="28" t="s">
        <v>405</v>
      </c>
      <c r="B63" s="97" t="s">
        <v>375</v>
      </c>
      <c r="C63" s="28" t="s">
        <v>379</v>
      </c>
      <c r="D63" s="98">
        <v>0.31</v>
      </c>
      <c r="E63" t="s">
        <v>146</v>
      </c>
      <c r="F63" s="30">
        <v>0.1</v>
      </c>
    </row>
    <row r="64" spans="1:6" x14ac:dyDescent="0.35">
      <c r="A64" s="28"/>
      <c r="B64" s="28"/>
      <c r="C64" s="28" t="s">
        <v>372</v>
      </c>
      <c r="D64" s="98">
        <v>0.63</v>
      </c>
    </row>
    <row r="65" spans="1:6" x14ac:dyDescent="0.35">
      <c r="A65" s="28"/>
      <c r="B65" s="28"/>
      <c r="C65" s="28" t="s">
        <v>377</v>
      </c>
      <c r="D65" s="98">
        <v>0.28000000000000003</v>
      </c>
    </row>
    <row r="66" spans="1:6" x14ac:dyDescent="0.35">
      <c r="A66" s="28"/>
      <c r="B66" s="28"/>
      <c r="C66" s="28"/>
      <c r="D66" s="28"/>
    </row>
    <row r="67" spans="1:6" x14ac:dyDescent="0.35">
      <c r="A67" s="28" t="s">
        <v>401</v>
      </c>
      <c r="B67" s="97" t="s">
        <v>378</v>
      </c>
      <c r="C67" s="28" t="s">
        <v>390</v>
      </c>
      <c r="D67" s="98">
        <v>0.59</v>
      </c>
      <c r="E67" t="s">
        <v>146</v>
      </c>
      <c r="F67" s="30">
        <v>0.1</v>
      </c>
    </row>
    <row r="68" spans="1:6" x14ac:dyDescent="0.35">
      <c r="A68" s="28"/>
      <c r="B68" s="28"/>
      <c r="C68" s="28" t="s">
        <v>373</v>
      </c>
      <c r="D68" s="98">
        <v>0.34</v>
      </c>
    </row>
    <row r="69" spans="1:6" x14ac:dyDescent="0.35">
      <c r="A69" s="28"/>
      <c r="B69" s="28"/>
      <c r="C69" s="28"/>
      <c r="D69" s="28"/>
    </row>
    <row r="70" spans="1:6" x14ac:dyDescent="0.35">
      <c r="A70" s="28" t="s">
        <v>400</v>
      </c>
      <c r="B70" s="28" t="s">
        <v>381</v>
      </c>
      <c r="C70" s="28" t="s">
        <v>391</v>
      </c>
      <c r="D70" s="98">
        <v>0.32</v>
      </c>
      <c r="E70" t="s">
        <v>146</v>
      </c>
      <c r="F70" s="30">
        <v>0.1</v>
      </c>
    </row>
    <row r="71" spans="1:6" x14ac:dyDescent="0.35">
      <c r="A71" s="28"/>
      <c r="B71" s="28"/>
      <c r="C71" s="28" t="s">
        <v>392</v>
      </c>
      <c r="D71" s="98">
        <v>0.5</v>
      </c>
    </row>
    <row r="72" spans="1:6" x14ac:dyDescent="0.35">
      <c r="A72" s="28"/>
      <c r="B72" s="28"/>
      <c r="C72" s="28"/>
      <c r="D72" s="28"/>
    </row>
    <row r="73" spans="1:6" x14ac:dyDescent="0.35">
      <c r="A73" s="28" t="s">
        <v>403</v>
      </c>
      <c r="B73" s="97" t="s">
        <v>393</v>
      </c>
      <c r="C73" s="28" t="s">
        <v>394</v>
      </c>
      <c r="D73" s="98">
        <v>0.23</v>
      </c>
      <c r="E73" t="s">
        <v>146</v>
      </c>
      <c r="F73" s="30">
        <v>0.1</v>
      </c>
    </row>
    <row r="74" spans="1:6" x14ac:dyDescent="0.35">
      <c r="A74" s="28"/>
      <c r="B74" s="28"/>
      <c r="C74" s="28" t="s">
        <v>382</v>
      </c>
      <c r="D74" s="98">
        <v>0.53</v>
      </c>
    </row>
    <row r="75" spans="1:6" x14ac:dyDescent="0.35">
      <c r="A75" s="28"/>
      <c r="B75" s="28"/>
      <c r="C75" s="28"/>
      <c r="D75" s="28"/>
    </row>
    <row r="76" spans="1:6" x14ac:dyDescent="0.35">
      <c r="A76" s="28" t="s">
        <v>404</v>
      </c>
      <c r="B76" s="97" t="s">
        <v>395</v>
      </c>
      <c r="C76" s="28" t="s">
        <v>396</v>
      </c>
      <c r="D76" s="98">
        <v>0.39</v>
      </c>
      <c r="E76" t="s">
        <v>146</v>
      </c>
      <c r="F76" s="30">
        <v>0.1</v>
      </c>
    </row>
    <row r="77" spans="1:6" x14ac:dyDescent="0.35">
      <c r="A77" s="28"/>
      <c r="B77" s="28"/>
      <c r="C77" s="28" t="s">
        <v>382</v>
      </c>
      <c r="D77" s="98">
        <v>0.33</v>
      </c>
    </row>
    <row r="78" spans="1:6" x14ac:dyDescent="0.35">
      <c r="A78" s="28"/>
      <c r="B78" s="28"/>
      <c r="C78" s="28"/>
      <c r="D78" s="28"/>
    </row>
    <row r="79" spans="1:6" x14ac:dyDescent="0.35">
      <c r="A79" s="28" t="s">
        <v>402</v>
      </c>
      <c r="B79" s="97" t="s">
        <v>397</v>
      </c>
      <c r="C79" s="28" t="s">
        <v>398</v>
      </c>
      <c r="D79" s="98">
        <v>0.46</v>
      </c>
      <c r="E79" t="s">
        <v>146</v>
      </c>
      <c r="F79" s="30">
        <v>0.1</v>
      </c>
    </row>
    <row r="80" spans="1:6" x14ac:dyDescent="0.35">
      <c r="A80" s="28"/>
      <c r="B80" s="28"/>
      <c r="C80" s="28" t="s">
        <v>399</v>
      </c>
      <c r="D80" s="28"/>
    </row>
    <row r="86" spans="1:6" x14ac:dyDescent="0.35">
      <c r="A86" t="s">
        <v>386</v>
      </c>
      <c r="B86" t="s">
        <v>387</v>
      </c>
      <c r="C86" t="s">
        <v>388</v>
      </c>
      <c r="D86" t="s">
        <v>389</v>
      </c>
    </row>
    <row r="87" spans="1:6" x14ac:dyDescent="0.35">
      <c r="F87" s="30"/>
    </row>
    <row r="88" spans="1:6" x14ac:dyDescent="0.35">
      <c r="D88" s="30"/>
    </row>
    <row r="89" spans="1:6" x14ac:dyDescent="0.35">
      <c r="A89" t="s">
        <v>403</v>
      </c>
      <c r="B89" t="s">
        <v>393</v>
      </c>
      <c r="C89" t="s">
        <v>394</v>
      </c>
      <c r="D89">
        <v>23</v>
      </c>
      <c r="E89" t="s">
        <v>146</v>
      </c>
      <c r="F89" s="30">
        <v>0.1</v>
      </c>
    </row>
    <row r="90" spans="1:6" x14ac:dyDescent="0.35">
      <c r="C90" t="s">
        <v>382</v>
      </c>
      <c r="D90">
        <v>53</v>
      </c>
    </row>
    <row r="91" spans="1:6" x14ac:dyDescent="0.35">
      <c r="D91" s="30"/>
    </row>
    <row r="93" spans="1:6" x14ac:dyDescent="0.35">
      <c r="D93" s="30"/>
      <c r="F93" s="30"/>
    </row>
    <row r="94" spans="1:6" x14ac:dyDescent="0.35">
      <c r="D94" s="30"/>
    </row>
    <row r="99" spans="4:6" x14ac:dyDescent="0.35">
      <c r="D99" s="30"/>
      <c r="F99" s="30"/>
    </row>
    <row r="100" spans="4:6" x14ac:dyDescent="0.35">
      <c r="D100" s="30"/>
    </row>
    <row r="102" spans="4:6" x14ac:dyDescent="0.35">
      <c r="F102" s="30"/>
    </row>
    <row r="108" spans="4:6" x14ac:dyDescent="0.35">
      <c r="F108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F8E8-DE3B-4467-9FF4-DE3E629A15AE}">
  <dimension ref="A1:K22"/>
  <sheetViews>
    <sheetView workbookViewId="0">
      <selection activeCell="J8" sqref="J8"/>
    </sheetView>
  </sheetViews>
  <sheetFormatPr defaultRowHeight="14.5" x14ac:dyDescent="0.35"/>
  <cols>
    <col min="1" max="1" width="23.81640625" bestFit="1" customWidth="1"/>
    <col min="2" max="2" width="19.81640625" bestFit="1" customWidth="1"/>
    <col min="3" max="3" width="10.453125" customWidth="1"/>
    <col min="4" max="4" width="17.26953125" customWidth="1"/>
    <col min="5" max="5" width="16.81640625" customWidth="1"/>
    <col min="6" max="6" width="13.26953125" bestFit="1" customWidth="1"/>
    <col min="7" max="7" width="14.26953125" bestFit="1" customWidth="1"/>
    <col min="8" max="8" width="10.1796875" bestFit="1" customWidth="1"/>
    <col min="9" max="11" width="14.26953125" bestFit="1" customWidth="1"/>
  </cols>
  <sheetData>
    <row r="1" spans="1:11" x14ac:dyDescent="0.35">
      <c r="A1" t="s">
        <v>84</v>
      </c>
      <c r="B1" t="s">
        <v>26</v>
      </c>
      <c r="C1" t="s">
        <v>85</v>
      </c>
      <c r="D1" t="s">
        <v>19</v>
      </c>
      <c r="E1" t="s">
        <v>86</v>
      </c>
      <c r="F1" t="s">
        <v>87</v>
      </c>
    </row>
    <row r="2" spans="1:11" x14ac:dyDescent="0.35">
      <c r="A2" t="s">
        <v>91</v>
      </c>
      <c r="B2" s="2">
        <v>4163000</v>
      </c>
      <c r="C2">
        <v>90</v>
      </c>
      <c r="D2">
        <v>2</v>
      </c>
      <c r="E2">
        <v>1</v>
      </c>
      <c r="F2">
        <v>-2</v>
      </c>
    </row>
    <row r="3" spans="1:11" x14ac:dyDescent="0.35">
      <c r="A3" t="s">
        <v>89</v>
      </c>
      <c r="B3" s="2">
        <v>2630000</v>
      </c>
      <c r="C3">
        <v>80</v>
      </c>
      <c r="D3">
        <v>4</v>
      </c>
      <c r="E3">
        <v>-1</v>
      </c>
      <c r="F3">
        <v>4</v>
      </c>
      <c r="J3">
        <v>30</v>
      </c>
    </row>
    <row r="4" spans="1:11" x14ac:dyDescent="0.35">
      <c r="A4" t="s">
        <v>93</v>
      </c>
      <c r="B4" s="2">
        <v>1051000</v>
      </c>
      <c r="C4">
        <v>50</v>
      </c>
      <c r="D4">
        <v>3</v>
      </c>
      <c r="E4">
        <v>1</v>
      </c>
      <c r="F4">
        <v>-2</v>
      </c>
      <c r="I4" s="25"/>
      <c r="J4" s="26">
        <v>0.61499999999999999</v>
      </c>
      <c r="K4" s="26">
        <v>0.49199999999999999</v>
      </c>
    </row>
    <row r="5" spans="1:11" x14ac:dyDescent="0.35">
      <c r="A5" t="s">
        <v>88</v>
      </c>
      <c r="B5" s="2">
        <v>360600</v>
      </c>
      <c r="C5">
        <v>20</v>
      </c>
      <c r="D5">
        <v>1</v>
      </c>
      <c r="E5">
        <v>2</v>
      </c>
      <c r="F5">
        <v>10</v>
      </c>
      <c r="I5" s="25"/>
      <c r="J5">
        <f>ROUNDDOWN(J3*J4,0)*4</f>
        <v>72</v>
      </c>
      <c r="K5">
        <f>ROUNDDOWN(J3*K4,0)*2</f>
        <v>28</v>
      </c>
    </row>
    <row r="6" spans="1:11" x14ac:dyDescent="0.35">
      <c r="A6" t="s">
        <v>94</v>
      </c>
      <c r="B6" s="2">
        <v>450000</v>
      </c>
      <c r="C6">
        <v>10</v>
      </c>
      <c r="D6">
        <v>0</v>
      </c>
      <c r="E6">
        <v>3</v>
      </c>
      <c r="F6">
        <v>6</v>
      </c>
      <c r="G6" t="s">
        <v>96</v>
      </c>
      <c r="I6" s="25"/>
      <c r="J6" s="4">
        <f>G17</f>
        <v>44391600</v>
      </c>
      <c r="K6" s="4">
        <f>G22</f>
        <v>21132600</v>
      </c>
    </row>
    <row r="7" spans="1:11" x14ac:dyDescent="0.35">
      <c r="A7" t="s">
        <v>95</v>
      </c>
      <c r="B7" s="2">
        <v>254500</v>
      </c>
      <c r="C7">
        <v>0</v>
      </c>
      <c r="D7">
        <v>2</v>
      </c>
      <c r="E7">
        <v>-1</v>
      </c>
      <c r="F7">
        <v>8</v>
      </c>
      <c r="J7" s="4">
        <f>J6/J5</f>
        <v>616550</v>
      </c>
      <c r="K7" s="4">
        <f>K6/K5</f>
        <v>754735.71428571432</v>
      </c>
    </row>
    <row r="8" spans="1:11" x14ac:dyDescent="0.35">
      <c r="A8" t="s">
        <v>92</v>
      </c>
      <c r="B8" s="2">
        <v>798000</v>
      </c>
      <c r="C8">
        <v>-10</v>
      </c>
      <c r="D8">
        <v>7</v>
      </c>
      <c r="E8">
        <v>2</v>
      </c>
      <c r="F8">
        <v>0</v>
      </c>
      <c r="J8" s="4">
        <f>ROUNDUP(1.03*J7,0)</f>
        <v>635047</v>
      </c>
      <c r="K8" s="4">
        <f>ROUNDUP(1.03*K7,0)</f>
        <v>777378</v>
      </c>
    </row>
    <row r="9" spans="1:11" x14ac:dyDescent="0.35">
      <c r="A9" t="s">
        <v>90</v>
      </c>
      <c r="B9" s="2">
        <v>3977000</v>
      </c>
      <c r="C9">
        <v>-40</v>
      </c>
      <c r="D9">
        <v>9</v>
      </c>
      <c r="E9">
        <v>-1</v>
      </c>
      <c r="F9">
        <v>-2</v>
      </c>
    </row>
    <row r="12" spans="1:11" x14ac:dyDescent="0.35">
      <c r="A12" t="s">
        <v>97</v>
      </c>
      <c r="B12">
        <v>30</v>
      </c>
    </row>
    <row r="13" spans="1:11" x14ac:dyDescent="0.35">
      <c r="A13" t="s">
        <v>39</v>
      </c>
      <c r="C13" t="s">
        <v>102</v>
      </c>
      <c r="D13" t="s">
        <v>27</v>
      </c>
      <c r="E13" t="s">
        <v>30</v>
      </c>
      <c r="F13" t="s">
        <v>26</v>
      </c>
    </row>
    <row r="14" spans="1:11" x14ac:dyDescent="0.35">
      <c r="A14" t="s">
        <v>98</v>
      </c>
      <c r="B14" t="s">
        <v>188</v>
      </c>
      <c r="C14">
        <v>2</v>
      </c>
      <c r="D14">
        <v>0</v>
      </c>
      <c r="E14">
        <f>($B$12*C14)-D14</f>
        <v>60</v>
      </c>
      <c r="F14" s="2">
        <v>79960</v>
      </c>
      <c r="G14" s="2">
        <f>E14*F14</f>
        <v>4797600</v>
      </c>
    </row>
    <row r="15" spans="1:11" x14ac:dyDescent="0.35">
      <c r="B15" t="s">
        <v>100</v>
      </c>
      <c r="C15">
        <v>2</v>
      </c>
      <c r="D15">
        <v>0</v>
      </c>
      <c r="E15">
        <f>($B$12*C15)-D15</f>
        <v>60</v>
      </c>
      <c r="F15" s="2">
        <v>72400</v>
      </c>
      <c r="G15" s="2">
        <f>E15*F15</f>
        <v>4344000</v>
      </c>
    </row>
    <row r="16" spans="1:11" x14ac:dyDescent="0.35">
      <c r="A16" t="s">
        <v>99</v>
      </c>
      <c r="B16" t="s">
        <v>93</v>
      </c>
      <c r="C16">
        <v>1</v>
      </c>
      <c r="D16">
        <v>0</v>
      </c>
      <c r="E16">
        <f>($B$12*C16)-D16</f>
        <v>30</v>
      </c>
      <c r="F16" s="2">
        <v>1175000</v>
      </c>
      <c r="G16" s="29">
        <f>E16*F16</f>
        <v>35250000</v>
      </c>
    </row>
    <row r="17" spans="1:7" x14ac:dyDescent="0.35">
      <c r="F17" s="2"/>
      <c r="G17" s="2">
        <f>SUM(G14:G16)</f>
        <v>44391600</v>
      </c>
    </row>
    <row r="18" spans="1:7" x14ac:dyDescent="0.35">
      <c r="F18" s="2"/>
    </row>
    <row r="19" spans="1:7" x14ac:dyDescent="0.35">
      <c r="A19" t="s">
        <v>98</v>
      </c>
      <c r="B19" t="s">
        <v>188</v>
      </c>
      <c r="C19">
        <v>2</v>
      </c>
      <c r="D19">
        <v>0</v>
      </c>
      <c r="E19">
        <f>($B$12*C19)-D19</f>
        <v>60</v>
      </c>
      <c r="F19" s="2">
        <f>F14</f>
        <v>79960</v>
      </c>
      <c r="G19" s="2">
        <f>E19*F19</f>
        <v>4797600</v>
      </c>
    </row>
    <row r="20" spans="1:7" x14ac:dyDescent="0.35">
      <c r="B20" t="s">
        <v>100</v>
      </c>
      <c r="C20">
        <v>2</v>
      </c>
      <c r="D20">
        <v>0</v>
      </c>
      <c r="E20">
        <f>($B$12*C20)-D20</f>
        <v>60</v>
      </c>
      <c r="F20" s="2">
        <f>F15</f>
        <v>72400</v>
      </c>
      <c r="G20" s="2">
        <f>E20*F20</f>
        <v>4344000</v>
      </c>
    </row>
    <row r="21" spans="1:7" x14ac:dyDescent="0.35">
      <c r="A21" t="s">
        <v>99</v>
      </c>
      <c r="B21" t="s">
        <v>101</v>
      </c>
      <c r="C21">
        <v>1</v>
      </c>
      <c r="D21">
        <v>0</v>
      </c>
      <c r="E21">
        <f>($B$12*C21)-D21</f>
        <v>30</v>
      </c>
      <c r="F21" s="2">
        <v>399700</v>
      </c>
      <c r="G21" s="29">
        <f>E21*F21</f>
        <v>11991000</v>
      </c>
    </row>
    <row r="22" spans="1:7" x14ac:dyDescent="0.35">
      <c r="F22" s="2"/>
      <c r="G22" s="2">
        <f>SUM(G19:G21)</f>
        <v>21132600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43F8-C11C-4720-9423-DB2B2B609A43}">
  <dimension ref="A1:V38"/>
  <sheetViews>
    <sheetView workbookViewId="0">
      <selection activeCell="U12" sqref="U12"/>
    </sheetView>
  </sheetViews>
  <sheetFormatPr defaultRowHeight="14.5" x14ac:dyDescent="0.35"/>
  <cols>
    <col min="1" max="2" width="2.7265625" customWidth="1"/>
    <col min="6" max="6" width="14.26953125" style="3" bestFit="1" customWidth="1"/>
    <col min="7" max="7" width="12.54296875" bestFit="1" customWidth="1"/>
    <col min="8" max="8" width="16.81640625" bestFit="1" customWidth="1"/>
    <col min="9" max="9" width="14.1796875" customWidth="1"/>
    <col min="11" max="11" width="14.26953125" bestFit="1" customWidth="1"/>
    <col min="13" max="13" width="12.453125" customWidth="1"/>
    <col min="14" max="14" width="12.54296875" bestFit="1" customWidth="1"/>
    <col min="16" max="16" width="14.26953125" bestFit="1" customWidth="1"/>
    <col min="19" max="19" width="17.453125" bestFit="1" customWidth="1"/>
    <col min="20" max="20" width="14.26953125" bestFit="1" customWidth="1"/>
    <col min="21" max="21" width="13.26953125" bestFit="1" customWidth="1"/>
  </cols>
  <sheetData>
    <row r="1" spans="1:22" x14ac:dyDescent="0.35">
      <c r="F1" s="3" t="s">
        <v>30</v>
      </c>
      <c r="G1" t="s">
        <v>26</v>
      </c>
      <c r="H1" t="s">
        <v>268</v>
      </c>
      <c r="I1" t="s">
        <v>269</v>
      </c>
      <c r="S1" t="s">
        <v>367</v>
      </c>
      <c r="T1" s="3">
        <v>19229</v>
      </c>
      <c r="U1" s="3">
        <f>ROUNDUP(T1*0.1,-3)</f>
        <v>2000</v>
      </c>
    </row>
    <row r="2" spans="1:22" x14ac:dyDescent="0.35">
      <c r="A2" t="s">
        <v>258</v>
      </c>
      <c r="F2" s="3">
        <v>101250</v>
      </c>
      <c r="G2">
        <v>12960</v>
      </c>
      <c r="H2" s="3">
        <f>F2*G2</f>
        <v>1312200000</v>
      </c>
      <c r="I2" t="s">
        <v>270</v>
      </c>
      <c r="K2" s="17">
        <f>H2-(I3+I8+I13)</f>
        <v>216733500</v>
      </c>
      <c r="L2" t="s">
        <v>271</v>
      </c>
      <c r="N2" s="17">
        <f>H2-(H7+H12+H17)</f>
        <v>408367800</v>
      </c>
      <c r="S2" t="s">
        <v>368</v>
      </c>
      <c r="T2" s="3">
        <v>7808</v>
      </c>
      <c r="U2" s="3">
        <f>ROUNDUP(T2*0.1,-3)</f>
        <v>1000</v>
      </c>
    </row>
    <row r="3" spans="1:22" x14ac:dyDescent="0.35">
      <c r="B3" t="s">
        <v>259</v>
      </c>
      <c r="E3" s="17">
        <f>F2</f>
        <v>101250</v>
      </c>
      <c r="F3" s="3">
        <f>F2+750</f>
        <v>102000</v>
      </c>
      <c r="G3" s="3">
        <v>4100</v>
      </c>
      <c r="I3" s="3">
        <f>G3*E3</f>
        <v>415125000</v>
      </c>
      <c r="K3" t="s">
        <v>272</v>
      </c>
      <c r="T3" s="3">
        <f>SUM(T1:T2)</f>
        <v>27037</v>
      </c>
      <c r="U3" s="3">
        <f>SUM(U1:U2)</f>
        <v>3000</v>
      </c>
      <c r="V3" s="96">
        <f>U3/T3</f>
        <v>0.11095905610829604</v>
      </c>
    </row>
    <row r="4" spans="1:22" x14ac:dyDescent="0.35">
      <c r="C4" t="s">
        <v>262</v>
      </c>
      <c r="F4" s="3">
        <f>$F$3*(100/200)</f>
        <v>51000</v>
      </c>
      <c r="G4" s="3">
        <v>2433</v>
      </c>
      <c r="H4" s="3">
        <f>G4*F4</f>
        <v>124083000</v>
      </c>
      <c r="I4" s="3"/>
      <c r="K4" s="17">
        <f>H7+H12+H17*1.2</f>
        <v>971812140</v>
      </c>
      <c r="T4" s="3">
        <v>59500000</v>
      </c>
      <c r="U4" s="3">
        <v>6630000</v>
      </c>
      <c r="V4" s="96">
        <f>U4/T4</f>
        <v>0.11142857142857143</v>
      </c>
    </row>
    <row r="5" spans="1:22" x14ac:dyDescent="0.35">
      <c r="C5" t="s">
        <v>263</v>
      </c>
      <c r="F5" s="3">
        <f>$F$3*(100/200)</f>
        <v>51000</v>
      </c>
      <c r="G5" s="3">
        <v>2999</v>
      </c>
      <c r="H5" s="3">
        <f>G5*F5</f>
        <v>152949000</v>
      </c>
      <c r="I5" s="3"/>
    </row>
    <row r="6" spans="1:22" x14ac:dyDescent="0.35">
      <c r="C6" t="s">
        <v>204</v>
      </c>
      <c r="F6" s="3">
        <f>$F$3*(5/200)</f>
        <v>2550</v>
      </c>
      <c r="G6" s="3">
        <v>20000</v>
      </c>
      <c r="H6" s="61">
        <f>G6*F6</f>
        <v>51000000</v>
      </c>
      <c r="I6" s="3"/>
      <c r="K6" s="17"/>
    </row>
    <row r="7" spans="1:22" x14ac:dyDescent="0.35">
      <c r="G7" s="3"/>
      <c r="H7" s="3">
        <f>SUM(H4:H6)</f>
        <v>328032000</v>
      </c>
      <c r="I7" s="3">
        <f>H7-I3</f>
        <v>-87093000</v>
      </c>
      <c r="K7" s="17"/>
      <c r="S7" t="s">
        <v>125</v>
      </c>
      <c r="T7" s="3">
        <v>234331</v>
      </c>
      <c r="U7" s="3">
        <f>ROUNDUP(T7*0.1,-3)</f>
        <v>24000</v>
      </c>
    </row>
    <row r="8" spans="1:22" x14ac:dyDescent="0.35">
      <c r="B8" t="s">
        <v>260</v>
      </c>
      <c r="E8" s="17">
        <f>E3</f>
        <v>101250</v>
      </c>
      <c r="F8" s="3">
        <f>F3</f>
        <v>102000</v>
      </c>
      <c r="G8" s="3">
        <v>3194</v>
      </c>
      <c r="I8" s="3">
        <f>G8*E8</f>
        <v>323392500</v>
      </c>
      <c r="S8" t="s">
        <v>126</v>
      </c>
      <c r="T8" s="3">
        <v>173154</v>
      </c>
      <c r="U8" s="3">
        <f t="shared" ref="U8:U13" si="0">ROUNDUP(T8*0.1,-3)</f>
        <v>18000</v>
      </c>
    </row>
    <row r="9" spans="1:22" x14ac:dyDescent="0.35">
      <c r="C9" t="s">
        <v>264</v>
      </c>
      <c r="F9" s="3">
        <f>$F$8*(100/200)</f>
        <v>51000</v>
      </c>
      <c r="G9" s="3">
        <v>850</v>
      </c>
      <c r="H9" s="3">
        <f>G9*F9</f>
        <v>43350000</v>
      </c>
      <c r="I9" s="3"/>
      <c r="S9" t="s">
        <v>127</v>
      </c>
      <c r="T9" s="3">
        <v>93588</v>
      </c>
      <c r="U9" s="3">
        <f t="shared" si="0"/>
        <v>10000</v>
      </c>
    </row>
    <row r="10" spans="1:22" x14ac:dyDescent="0.35">
      <c r="C10" t="s">
        <v>265</v>
      </c>
      <c r="F10" s="3">
        <f>$F$8*(100/200)</f>
        <v>51000</v>
      </c>
      <c r="G10" s="3">
        <v>2779</v>
      </c>
      <c r="H10" s="3">
        <f>G10*F10</f>
        <v>141729000</v>
      </c>
      <c r="I10" s="3"/>
      <c r="S10" t="s">
        <v>123</v>
      </c>
      <c r="T10" s="3">
        <v>70140</v>
      </c>
      <c r="U10" s="3">
        <f>ROUNDUP(T10*0.1,-3)</f>
        <v>8000</v>
      </c>
    </row>
    <row r="11" spans="1:22" x14ac:dyDescent="0.35">
      <c r="C11" t="s">
        <v>266</v>
      </c>
      <c r="F11" s="3">
        <f>$F$8*(5/200)</f>
        <v>2550</v>
      </c>
      <c r="G11" s="3">
        <v>19930</v>
      </c>
      <c r="H11" s="61">
        <f>G11*F11</f>
        <v>50821500</v>
      </c>
      <c r="I11" s="3"/>
      <c r="S11" t="s">
        <v>124</v>
      </c>
      <c r="T11" s="3">
        <v>34879</v>
      </c>
      <c r="U11" s="3">
        <f>ROUNDUP(T11*0.1,-3)</f>
        <v>4000</v>
      </c>
    </row>
    <row r="12" spans="1:22" x14ac:dyDescent="0.35">
      <c r="G12" s="3"/>
      <c r="H12" s="3">
        <f>SUM(H9:H11)</f>
        <v>235900500</v>
      </c>
      <c r="I12" s="3">
        <f>H12-I8</f>
        <v>-87492000</v>
      </c>
      <c r="S12" t="s">
        <v>122</v>
      </c>
      <c r="T12" s="3">
        <v>262640</v>
      </c>
      <c r="U12" s="3">
        <f>ROUNDUP(T12*0.1,-4)</f>
        <v>30000</v>
      </c>
    </row>
    <row r="13" spans="1:22" x14ac:dyDescent="0.35">
      <c r="B13" t="s">
        <v>261</v>
      </c>
      <c r="E13" s="17">
        <f>F13</f>
        <v>510</v>
      </c>
      <c r="F13" s="3">
        <f>ROUNDUP(F3*M13,-1)</f>
        <v>510</v>
      </c>
      <c r="G13" s="3">
        <v>699900</v>
      </c>
      <c r="I13" s="3">
        <f>G13*E13</f>
        <v>356949000</v>
      </c>
      <c r="K13" s="3">
        <f>60000</f>
        <v>60000</v>
      </c>
      <c r="L13">
        <v>300</v>
      </c>
      <c r="M13" s="60">
        <f>L13/K13</f>
        <v>5.0000000000000001E-3</v>
      </c>
      <c r="S13" t="s">
        <v>119</v>
      </c>
      <c r="T13" s="3">
        <v>93109</v>
      </c>
      <c r="U13" s="3">
        <f t="shared" si="0"/>
        <v>10000</v>
      </c>
    </row>
    <row r="14" spans="1:22" x14ac:dyDescent="0.35">
      <c r="C14" t="s">
        <v>262</v>
      </c>
      <c r="F14" s="3">
        <f>$F$13*(2000/10)</f>
        <v>102000</v>
      </c>
      <c r="G14" s="3">
        <f>G4</f>
        <v>2433</v>
      </c>
      <c r="H14" s="3">
        <f>G14*F14</f>
        <v>248166000</v>
      </c>
      <c r="I14" s="3"/>
      <c r="T14" s="3">
        <f>SUM(T7:T13)</f>
        <v>961841</v>
      </c>
      <c r="U14" s="3">
        <f>SUM(U7:U13)</f>
        <v>104000</v>
      </c>
      <c r="V14" s="96">
        <f>U14/T14</f>
        <v>0.10812597924189134</v>
      </c>
    </row>
    <row r="15" spans="1:22" x14ac:dyDescent="0.35">
      <c r="C15" t="s">
        <v>264</v>
      </c>
      <c r="F15" s="3">
        <f>$F$13*(2000/10)</f>
        <v>102000</v>
      </c>
      <c r="G15" s="3">
        <f>G9</f>
        <v>850</v>
      </c>
      <c r="H15" s="3">
        <f>G15*F15</f>
        <v>86700000</v>
      </c>
      <c r="I15" s="3"/>
      <c r="T15" s="3">
        <v>15100000</v>
      </c>
      <c r="U15" s="3">
        <v>1580000</v>
      </c>
      <c r="V15" s="96">
        <f>U15/T15</f>
        <v>0.10463576158940398</v>
      </c>
    </row>
    <row r="16" spans="1:22" x14ac:dyDescent="0.35">
      <c r="C16" t="s">
        <v>267</v>
      </c>
      <c r="F16" s="3">
        <f>$F$13*(5/10)</f>
        <v>255</v>
      </c>
      <c r="G16" s="3">
        <v>19740</v>
      </c>
      <c r="H16" s="61">
        <f>G16*F16</f>
        <v>5033700</v>
      </c>
      <c r="I16" s="3"/>
    </row>
    <row r="17" spans="1:22" x14ac:dyDescent="0.35">
      <c r="G17" s="3"/>
      <c r="H17" s="3">
        <f>SUM(H14:H16)</f>
        <v>339899700</v>
      </c>
      <c r="I17" s="3">
        <f>H17-I13</f>
        <v>-17049300</v>
      </c>
    </row>
    <row r="18" spans="1:22" x14ac:dyDescent="0.35">
      <c r="A18" t="s">
        <v>273</v>
      </c>
      <c r="F18" s="3">
        <v>101250</v>
      </c>
      <c r="G18" s="3">
        <v>13250</v>
      </c>
      <c r="H18" s="3">
        <f>F18*G18</f>
        <v>1341562500</v>
      </c>
      <c r="I18" t="s">
        <v>270</v>
      </c>
      <c r="K18" s="17">
        <f>H18-(I19+I24+I29)</f>
        <v>250551000</v>
      </c>
      <c r="L18" t="s">
        <v>271</v>
      </c>
      <c r="N18" s="17">
        <f>H18-(H23+H28+H33)</f>
        <v>437577300</v>
      </c>
    </row>
    <row r="19" spans="1:22" x14ac:dyDescent="0.35">
      <c r="B19" t="s">
        <v>274</v>
      </c>
      <c r="E19" s="17">
        <f>F18</f>
        <v>101250</v>
      </c>
      <c r="F19" s="3">
        <f>F18+750</f>
        <v>102000</v>
      </c>
      <c r="G19" s="3">
        <v>3600</v>
      </c>
      <c r="I19" s="3">
        <f>G19*E19</f>
        <v>364500000</v>
      </c>
      <c r="K19" t="s">
        <v>272</v>
      </c>
    </row>
    <row r="20" spans="1:22" x14ac:dyDescent="0.35">
      <c r="C20" t="str">
        <f>C4</f>
        <v>Hydrocarbons</v>
      </c>
      <c r="F20" s="3">
        <f>F19*0.5</f>
        <v>51000</v>
      </c>
      <c r="G20" s="3">
        <f>G4</f>
        <v>2433</v>
      </c>
      <c r="H20" s="3">
        <f>G20*F20</f>
        <v>124083000</v>
      </c>
      <c r="I20" s="3"/>
      <c r="K20" s="17">
        <f>H23+H28+H33*1.2</f>
        <v>953312400</v>
      </c>
    </row>
    <row r="21" spans="1:22" x14ac:dyDescent="0.35">
      <c r="C21" t="str">
        <f>C10</f>
        <v>Evaporite Deposits</v>
      </c>
      <c r="F21" s="3">
        <f>F20</f>
        <v>51000</v>
      </c>
      <c r="G21" s="3">
        <f>G10</f>
        <v>2779</v>
      </c>
      <c r="H21" s="3">
        <f>G21*F21</f>
        <v>141729000</v>
      </c>
      <c r="I21" s="3"/>
    </row>
    <row r="22" spans="1:22" x14ac:dyDescent="0.35">
      <c r="C22" t="s">
        <v>219</v>
      </c>
      <c r="F22" s="3">
        <f>F19*5/200</f>
        <v>2550</v>
      </c>
      <c r="G22" s="3">
        <v>20250</v>
      </c>
      <c r="H22" s="61">
        <f>G22*F22</f>
        <v>51637500</v>
      </c>
      <c r="I22" s="3"/>
      <c r="O22">
        <v>38000</v>
      </c>
      <c r="P22">
        <v>38000</v>
      </c>
    </row>
    <row r="23" spans="1:22" x14ac:dyDescent="0.35">
      <c r="G23" s="3"/>
      <c r="H23" s="3">
        <f>SUM(H20:H22)</f>
        <v>317449500</v>
      </c>
      <c r="I23" s="3">
        <f>H23-I19</f>
        <v>-47050500</v>
      </c>
      <c r="O23">
        <v>190</v>
      </c>
      <c r="P23">
        <v>190</v>
      </c>
    </row>
    <row r="24" spans="1:22" x14ac:dyDescent="0.35">
      <c r="B24" t="s">
        <v>261</v>
      </c>
      <c r="E24" s="17">
        <f>E13</f>
        <v>510</v>
      </c>
      <c r="F24" s="3">
        <f>F13</f>
        <v>510</v>
      </c>
      <c r="G24" s="3">
        <f>G13</f>
        <v>699900</v>
      </c>
      <c r="I24" s="3">
        <f>G24*E24</f>
        <v>356949000</v>
      </c>
      <c r="N24" t="str">
        <f>B24</f>
        <v>Oxy-Organic Solvents</v>
      </c>
      <c r="O24" t="str">
        <f>B19</f>
        <v>Carbon Fiber</v>
      </c>
      <c r="P24" t="str">
        <f>B29</f>
        <v>Thermosetting Polymer</v>
      </c>
      <c r="Q24" t="s">
        <v>22</v>
      </c>
      <c r="R24" t="s">
        <v>17</v>
      </c>
      <c r="S24" t="s">
        <v>18</v>
      </c>
    </row>
    <row r="25" spans="1:22" x14ac:dyDescent="0.35">
      <c r="C25" t="s">
        <v>262</v>
      </c>
      <c r="F25" s="3">
        <f t="shared" ref="F25:G27" si="1">F14</f>
        <v>102000</v>
      </c>
      <c r="G25" s="3">
        <f t="shared" si="1"/>
        <v>2433</v>
      </c>
      <c r="H25" s="3">
        <f>G25*F25</f>
        <v>248166000</v>
      </c>
      <c r="I25" s="3"/>
      <c r="L25" t="str">
        <f>C25</f>
        <v>Hydrocarbons</v>
      </c>
      <c r="N25" s="3">
        <v>74000</v>
      </c>
      <c r="O25" s="3">
        <f>98000</f>
        <v>98000</v>
      </c>
      <c r="P25" s="3"/>
      <c r="Q25" s="17">
        <f t="shared" ref="Q25:Q30" si="2">SUM(N25:P25)</f>
        <v>172000</v>
      </c>
      <c r="R25" s="91">
        <f>SUM(N33:N38)</f>
        <v>172000</v>
      </c>
      <c r="S25" s="17">
        <f>Q25-R25</f>
        <v>0</v>
      </c>
      <c r="T25">
        <v>1700</v>
      </c>
      <c r="U25" s="17">
        <f>S25*T25</f>
        <v>0</v>
      </c>
    </row>
    <row r="26" spans="1:22" x14ac:dyDescent="0.35">
      <c r="C26" t="s">
        <v>264</v>
      </c>
      <c r="F26" s="3">
        <f t="shared" si="1"/>
        <v>102000</v>
      </c>
      <c r="G26" s="3">
        <f t="shared" si="1"/>
        <v>850</v>
      </c>
      <c r="H26" s="3">
        <f>G26*F26</f>
        <v>86700000</v>
      </c>
      <c r="I26" s="3"/>
      <c r="L26" t="str">
        <f>C21</f>
        <v>Evaporite Deposits</v>
      </c>
      <c r="N26" s="3"/>
      <c r="O26" s="3">
        <f>O25</f>
        <v>98000</v>
      </c>
      <c r="P26" s="3"/>
      <c r="Q26" s="17">
        <f t="shared" si="2"/>
        <v>98000</v>
      </c>
      <c r="R26" s="91">
        <f>SUM(O33:O38)</f>
        <v>98000</v>
      </c>
      <c r="S26" s="17">
        <f t="shared" ref="S26:S30" si="3">Q26-R26</f>
        <v>0</v>
      </c>
      <c r="T26">
        <v>1399</v>
      </c>
      <c r="U26" s="17">
        <f t="shared" ref="U26:U30" si="4">S26*T26</f>
        <v>0</v>
      </c>
    </row>
    <row r="27" spans="1:22" x14ac:dyDescent="0.35">
      <c r="C27" t="s">
        <v>267</v>
      </c>
      <c r="F27" s="3">
        <f t="shared" si="1"/>
        <v>255</v>
      </c>
      <c r="G27" s="3">
        <f t="shared" si="1"/>
        <v>19740</v>
      </c>
      <c r="H27" s="61">
        <f>G27*F27</f>
        <v>5033700</v>
      </c>
      <c r="I27" s="3"/>
      <c r="L27" t="str">
        <f>C26</f>
        <v>Atmospheric Gases</v>
      </c>
      <c r="N27" s="3">
        <v>74000</v>
      </c>
      <c r="O27" s="3"/>
      <c r="P27" s="3">
        <v>98000</v>
      </c>
      <c r="Q27" s="17">
        <f t="shared" si="2"/>
        <v>172000</v>
      </c>
      <c r="R27" s="91">
        <f>SUM(L33:L40)</f>
        <v>172000</v>
      </c>
      <c r="S27" s="17">
        <f t="shared" si="3"/>
        <v>0</v>
      </c>
      <c r="T27">
        <v>975</v>
      </c>
      <c r="U27" s="17">
        <f t="shared" si="4"/>
        <v>0</v>
      </c>
    </row>
    <row r="28" spans="1:22" x14ac:dyDescent="0.35">
      <c r="G28" s="3"/>
      <c r="H28" s="3">
        <f>SUM(H25:H27)</f>
        <v>339899700</v>
      </c>
      <c r="I28" s="3">
        <f>H28-I24</f>
        <v>-17049300</v>
      </c>
      <c r="L28" t="str">
        <f>C31</f>
        <v>Silicates</v>
      </c>
      <c r="N28" s="3"/>
      <c r="O28" s="3"/>
      <c r="P28" s="3">
        <v>98000</v>
      </c>
      <c r="Q28" s="17">
        <f t="shared" si="2"/>
        <v>98000</v>
      </c>
      <c r="R28" s="91">
        <f>SUM(M33:M39)</f>
        <v>98000</v>
      </c>
      <c r="S28" s="17">
        <f t="shared" si="3"/>
        <v>0</v>
      </c>
      <c r="T28">
        <v>2240</v>
      </c>
      <c r="U28" s="17">
        <f t="shared" si="4"/>
        <v>0</v>
      </c>
    </row>
    <row r="29" spans="1:22" x14ac:dyDescent="0.35">
      <c r="B29" t="s">
        <v>275</v>
      </c>
      <c r="E29" s="17">
        <f>E19</f>
        <v>101250</v>
      </c>
      <c r="F29" s="3">
        <f>F19</f>
        <v>102000</v>
      </c>
      <c r="G29" s="3">
        <v>3650</v>
      </c>
      <c r="I29" s="3">
        <f>G29*E29</f>
        <v>369562500</v>
      </c>
      <c r="L29" t="str">
        <f>C22</f>
        <v>Hydrogen Fuel Block</v>
      </c>
      <c r="N29" s="3"/>
      <c r="O29" s="3">
        <f>1500+950</f>
        <v>2450</v>
      </c>
      <c r="P29" s="3"/>
      <c r="Q29" s="17">
        <f t="shared" si="2"/>
        <v>2450</v>
      </c>
      <c r="R29" s="91">
        <v>1500</v>
      </c>
      <c r="S29" s="17">
        <f t="shared" si="3"/>
        <v>950</v>
      </c>
      <c r="T29">
        <v>16920</v>
      </c>
      <c r="U29" s="17">
        <f t="shared" si="4"/>
        <v>16074000</v>
      </c>
      <c r="V29" t="s">
        <v>348</v>
      </c>
    </row>
    <row r="30" spans="1:22" x14ac:dyDescent="0.35">
      <c r="C30" t="str">
        <f>C26</f>
        <v>Atmospheric Gases</v>
      </c>
      <c r="F30" s="3">
        <f>F20</f>
        <v>51000</v>
      </c>
      <c r="G30" s="3">
        <f>G9</f>
        <v>850</v>
      </c>
      <c r="H30" s="3">
        <f>G30*F30</f>
        <v>43350000</v>
      </c>
      <c r="I30" s="3"/>
      <c r="L30" t="str">
        <f>C27</f>
        <v>Oxygen Fuel Block</v>
      </c>
      <c r="N30" s="3">
        <v>185</v>
      </c>
      <c r="O30" s="3"/>
      <c r="P30" s="3">
        <v>2450</v>
      </c>
      <c r="Q30" s="17">
        <f t="shared" si="2"/>
        <v>2635</v>
      </c>
      <c r="R30" s="91"/>
      <c r="S30" s="17">
        <f t="shared" si="3"/>
        <v>2635</v>
      </c>
      <c r="T30">
        <v>16670</v>
      </c>
      <c r="U30" s="17">
        <f t="shared" si="4"/>
        <v>43925450</v>
      </c>
    </row>
    <row r="31" spans="1:22" x14ac:dyDescent="0.35">
      <c r="C31" t="str">
        <f>C5</f>
        <v>Silicates</v>
      </c>
      <c r="F31" s="3">
        <f>F21</f>
        <v>51000</v>
      </c>
      <c r="G31" s="3">
        <f>G5</f>
        <v>2999</v>
      </c>
      <c r="H31" s="3">
        <f>G31*F31</f>
        <v>152949000</v>
      </c>
      <c r="I31" s="3"/>
      <c r="N31" s="3"/>
      <c r="O31" s="3"/>
      <c r="P31" s="3"/>
      <c r="Q31" s="3"/>
      <c r="R31" s="3"/>
      <c r="S31" s="3"/>
    </row>
    <row r="32" spans="1:22" x14ac:dyDescent="0.35">
      <c r="C32" t="str">
        <f>C16</f>
        <v>Oxygen Fuel Block</v>
      </c>
      <c r="F32" s="3">
        <f>F22</f>
        <v>2550</v>
      </c>
      <c r="G32" s="3">
        <f>G16</f>
        <v>19740</v>
      </c>
      <c r="H32" s="61">
        <f>G32*F32</f>
        <v>50337000</v>
      </c>
      <c r="I32" s="3"/>
      <c r="L32" t="str">
        <f>L27</f>
        <v>Atmospheric Gases</v>
      </c>
      <c r="M32" t="str">
        <f>L28</f>
        <v>Silicates</v>
      </c>
      <c r="N32" t="str">
        <f>L25</f>
        <v>Hydrocarbons</v>
      </c>
      <c r="O32" t="str">
        <f>L26</f>
        <v>Evaporite Deposits</v>
      </c>
      <c r="P32" s="3"/>
    </row>
    <row r="33" spans="1:16" x14ac:dyDescent="0.35">
      <c r="G33" s="3"/>
      <c r="H33" s="3">
        <f>SUM(H30:H32)</f>
        <v>246636000</v>
      </c>
      <c r="I33" s="3">
        <f>H33-I29</f>
        <v>-122926500</v>
      </c>
      <c r="L33">
        <v>6103</v>
      </c>
      <c r="M33">
        <v>5415</v>
      </c>
      <c r="N33">
        <v>80</v>
      </c>
      <c r="O33">
        <v>12474</v>
      </c>
      <c r="P33" s="3"/>
    </row>
    <row r="34" spans="1:16" x14ac:dyDescent="0.35">
      <c r="G34" s="3"/>
      <c r="H34" s="3"/>
      <c r="I34" s="3"/>
      <c r="L34">
        <v>46416</v>
      </c>
      <c r="M34">
        <v>2132</v>
      </c>
      <c r="N34">
        <v>4761</v>
      </c>
      <c r="O34">
        <v>767</v>
      </c>
    </row>
    <row r="35" spans="1:16" x14ac:dyDescent="0.35">
      <c r="A35" t="s">
        <v>276</v>
      </c>
      <c r="F35" s="3">
        <f>H2+H18</f>
        <v>2653762500</v>
      </c>
      <c r="G35" s="3"/>
      <c r="H35" s="3"/>
      <c r="I35" s="3"/>
      <c r="L35">
        <v>20484</v>
      </c>
      <c r="M35">
        <v>14884</v>
      </c>
      <c r="N35">
        <v>67474</v>
      </c>
      <c r="O35">
        <v>29011</v>
      </c>
    </row>
    <row r="36" spans="1:16" x14ac:dyDescent="0.35">
      <c r="A36" t="s">
        <v>277</v>
      </c>
      <c r="F36" s="3">
        <f>I3+I8+I13+I19+I24+I29</f>
        <v>2186478000</v>
      </c>
      <c r="G36" s="3"/>
      <c r="H36" s="3"/>
      <c r="I36" s="3"/>
      <c r="L36">
        <v>61272</v>
      </c>
      <c r="M36">
        <v>6302</v>
      </c>
      <c r="N36">
        <v>75308</v>
      </c>
      <c r="O36">
        <v>34473</v>
      </c>
    </row>
    <row r="37" spans="1:16" x14ac:dyDescent="0.35">
      <c r="A37" t="s">
        <v>278</v>
      </c>
      <c r="F37" s="3">
        <f>H7+H12+H17+H23+H28+H33</f>
        <v>1807817400</v>
      </c>
      <c r="G37" s="17">
        <f>F35-F37</f>
        <v>845945100</v>
      </c>
      <c r="L37">
        <v>14225</v>
      </c>
      <c r="M37">
        <v>6044</v>
      </c>
      <c r="N37">
        <v>24377</v>
      </c>
      <c r="O37">
        <v>21275</v>
      </c>
    </row>
    <row r="38" spans="1:16" x14ac:dyDescent="0.35">
      <c r="L38">
        <v>23500</v>
      </c>
      <c r="M38">
        <v>63223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Market Orders</vt:lpstr>
      <vt:lpstr>Pricing</vt:lpstr>
      <vt:lpstr>BP Tech 1 Manufacture</vt:lpstr>
      <vt:lpstr>BP Tech 2 Manufacture Nonship</vt:lpstr>
      <vt:lpstr>Ship Component Reqs</vt:lpstr>
      <vt:lpstr>Component BP</vt:lpstr>
      <vt:lpstr>Component BP Run</vt:lpstr>
      <vt:lpstr>Economies of Scale Worksheet</vt:lpstr>
      <vt:lpstr>Sell Ore or Refine</vt:lpstr>
      <vt:lpstr>Datacore</vt:lpstr>
      <vt:lpstr>Providence Industry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Ivan Perrett</cp:lastModifiedBy>
  <dcterms:created xsi:type="dcterms:W3CDTF">2019-05-15T19:48:41Z</dcterms:created>
  <dcterms:modified xsi:type="dcterms:W3CDTF">2022-08-30T23:04:03Z</dcterms:modified>
</cp:coreProperties>
</file>