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.Documents\EVE\industry cal\"/>
    </mc:Choice>
  </mc:AlternateContent>
  <xr:revisionPtr revIDLastSave="0" documentId="13_ncr:1_{589B19DA-0801-4999-9F84-EC76DDEE308E}" xr6:coauthVersionLast="47" xr6:coauthVersionMax="47" xr10:uidLastSave="{00000000-0000-0000-0000-000000000000}"/>
  <bookViews>
    <workbookView xWindow="-120" yWindow="-120" windowWidth="29040" windowHeight="15840" activeTab="1" xr2:uid="{BF44D274-2D4D-43F3-BA6D-5CE71891A828}"/>
  </bookViews>
  <sheets>
    <sheet name="Market Orders" sheetId="8" r:id="rId1"/>
    <sheet name="Pricing" sheetId="6" r:id="rId2"/>
    <sheet name="BP Tech 1 Manufacture" sheetId="4" r:id="rId3"/>
    <sheet name="BP Tech 2 Manufacture Nonship" sheetId="10" r:id="rId4"/>
    <sheet name="Ship Component Reqs" sheetId="1" r:id="rId5"/>
    <sheet name="Component BP" sheetId="2" r:id="rId6"/>
    <sheet name="Component BP Run" sheetId="3" r:id="rId7"/>
    <sheet name="Economies of Scale Worksheet" sheetId="11" r:id="rId8"/>
    <sheet name="Sell Ore or Refine" sheetId="7" r:id="rId9"/>
    <sheet name="Datacore" sheetId="5" r:id="rId10"/>
    <sheet name="Providence Industry Calc" sheetId="9" r:id="rId11"/>
  </sheets>
  <definedNames>
    <definedName name="_xlnm._FilterDatabase" localSheetId="9" hidden="1">Datacore!$A$1:$G$9</definedName>
    <definedName name="_xlnm._FilterDatabase" localSheetId="4" hidden="1">'Ship Component Reqs'!$A$3:$F$9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28" i="8" l="1"/>
  <c r="F328" i="8" s="1"/>
  <c r="G328" i="8" s="1"/>
  <c r="E327" i="8"/>
  <c r="F327" i="8" s="1"/>
  <c r="G327" i="8" s="1"/>
  <c r="D80" i="4"/>
  <c r="B79" i="4"/>
  <c r="A79" i="4"/>
  <c r="S22" i="9"/>
  <c r="G326" i="8"/>
  <c r="G325" i="8"/>
  <c r="G324" i="8"/>
  <c r="G323" i="8"/>
  <c r="E326" i="8"/>
  <c r="F326" i="8" s="1"/>
  <c r="E325" i="8"/>
  <c r="F325" i="8" s="1"/>
  <c r="E324" i="8"/>
  <c r="F324" i="8" s="1"/>
  <c r="E323" i="8"/>
  <c r="F323" i="8" s="1"/>
  <c r="E320" i="8"/>
  <c r="R101" i="1"/>
  <c r="T93" i="1" s="1"/>
  <c r="G295" i="2"/>
  <c r="C93" i="1"/>
  <c r="C94" i="1"/>
  <c r="C95" i="1"/>
  <c r="C96" i="1"/>
  <c r="C97" i="1"/>
  <c r="C98" i="1"/>
  <c r="C92" i="1"/>
  <c r="E322" i="8"/>
  <c r="F322" i="8" s="1"/>
  <c r="G322" i="8" s="1"/>
  <c r="E321" i="8"/>
  <c r="F321" i="8" s="1"/>
  <c r="G321" i="8" s="1"/>
  <c r="F320" i="8"/>
  <c r="G320" i="8" s="1"/>
  <c r="G319" i="8"/>
  <c r="F319" i="8"/>
  <c r="E319" i="8"/>
  <c r="M339" i="8"/>
  <c r="L339" i="8"/>
  <c r="K318" i="8"/>
  <c r="J318" i="8"/>
  <c r="F318" i="8"/>
  <c r="E318" i="8"/>
  <c r="E317" i="8"/>
  <c r="F317" i="8"/>
  <c r="G317" i="8" s="1"/>
  <c r="E316" i="8"/>
  <c r="F316" i="8" s="1"/>
  <c r="G316" i="8" s="1"/>
  <c r="E315" i="8"/>
  <c r="F315" i="8" s="1"/>
  <c r="G315" i="8" s="1"/>
  <c r="E314" i="8"/>
  <c r="F314" i="8" s="1"/>
  <c r="G314" i="8" s="1"/>
  <c r="E313" i="8"/>
  <c r="F313" i="8" s="1"/>
  <c r="G313" i="8" s="1"/>
  <c r="E312" i="8"/>
  <c r="F312" i="8"/>
  <c r="G312" i="8" s="1"/>
  <c r="E311" i="8"/>
  <c r="F311" i="8" s="1"/>
  <c r="G311" i="8" s="1"/>
  <c r="E310" i="8"/>
  <c r="F310" i="8"/>
  <c r="G310" i="8" s="1"/>
  <c r="E308" i="8"/>
  <c r="E306" i="8"/>
  <c r="F306" i="8" s="1"/>
  <c r="G306" i="8" s="1"/>
  <c r="E307" i="8"/>
  <c r="F307" i="8" s="1"/>
  <c r="G307" i="8" s="1"/>
  <c r="F308" i="8"/>
  <c r="G308" i="8"/>
  <c r="E309" i="8"/>
  <c r="F309" i="8"/>
  <c r="G309" i="8" s="1"/>
  <c r="F305" i="8"/>
  <c r="G305" i="8" s="1"/>
  <c r="E305" i="8"/>
  <c r="E304" i="8"/>
  <c r="F304" i="8" s="1"/>
  <c r="G304" i="8" s="1"/>
  <c r="E303" i="8"/>
  <c r="F303" i="8" s="1"/>
  <c r="G303" i="8" s="1"/>
  <c r="K282" i="8"/>
  <c r="J282" i="8"/>
  <c r="K252" i="8"/>
  <c r="J252" i="8"/>
  <c r="E239" i="8"/>
  <c r="E240" i="8"/>
  <c r="E241" i="8"/>
  <c r="E242" i="8"/>
  <c r="E243" i="8"/>
  <c r="E244" i="8"/>
  <c r="E245" i="8"/>
  <c r="E246" i="8"/>
  <c r="E247" i="8"/>
  <c r="E248" i="8"/>
  <c r="E249" i="8"/>
  <c r="E250" i="8"/>
  <c r="E251" i="8"/>
  <c r="E253" i="8"/>
  <c r="E254" i="8"/>
  <c r="E255" i="8"/>
  <c r="E256" i="8"/>
  <c r="E257" i="8"/>
  <c r="E258" i="8"/>
  <c r="E259" i="8"/>
  <c r="E260" i="8"/>
  <c r="E261" i="8"/>
  <c r="E262" i="8"/>
  <c r="E263" i="8"/>
  <c r="E264" i="8"/>
  <c r="E265" i="8"/>
  <c r="E266" i="8"/>
  <c r="E277" i="8"/>
  <c r="E278" i="8"/>
  <c r="E276" i="8"/>
  <c r="E275" i="8"/>
  <c r="E274" i="8"/>
  <c r="E273" i="8"/>
  <c r="E272" i="8"/>
  <c r="E271" i="8"/>
  <c r="E270" i="8"/>
  <c r="E269" i="8"/>
  <c r="E268" i="8"/>
  <c r="E279" i="8"/>
  <c r="E280" i="8"/>
  <c r="E281" i="8"/>
  <c r="E283" i="8"/>
  <c r="E284" i="8"/>
  <c r="E285" i="8"/>
  <c r="E286" i="8"/>
  <c r="E287" i="8"/>
  <c r="E288" i="8"/>
  <c r="E289" i="8"/>
  <c r="E290" i="8"/>
  <c r="E291" i="8"/>
  <c r="E292" i="8"/>
  <c r="E293" i="8"/>
  <c r="E302" i="8"/>
  <c r="E300" i="8"/>
  <c r="E299" i="8"/>
  <c r="E298" i="8"/>
  <c r="E297" i="8"/>
  <c r="E296" i="8"/>
  <c r="E295" i="8"/>
  <c r="E294" i="8"/>
  <c r="F289" i="8"/>
  <c r="G289" i="8" s="1"/>
  <c r="F292" i="8"/>
  <c r="G292" i="8" s="1"/>
  <c r="F293" i="8"/>
  <c r="G293" i="8" s="1"/>
  <c r="F295" i="8"/>
  <c r="G295" i="8" s="1"/>
  <c r="F297" i="8"/>
  <c r="G297" i="8" s="1"/>
  <c r="F298" i="8"/>
  <c r="G298" i="8" s="1"/>
  <c r="F299" i="8"/>
  <c r="G299" i="8" s="1"/>
  <c r="F300" i="8"/>
  <c r="G300" i="8" s="1"/>
  <c r="E301" i="8"/>
  <c r="F301" i="8" s="1"/>
  <c r="G301" i="8" s="1"/>
  <c r="F302" i="8"/>
  <c r="G302" i="8" s="1"/>
  <c r="F296" i="8"/>
  <c r="G296" i="8" s="1"/>
  <c r="F294" i="8"/>
  <c r="G294" i="8" s="1"/>
  <c r="M338" i="8"/>
  <c r="G63" i="11"/>
  <c r="L45" i="11"/>
  <c r="L46" i="11" s="1"/>
  <c r="N46" i="11" s="1"/>
  <c r="R43" i="11" s="1"/>
  <c r="C47" i="1"/>
  <c r="F47" i="1" s="1"/>
  <c r="G459" i="2"/>
  <c r="G454" i="2"/>
  <c r="G417" i="2"/>
  <c r="D49" i="1"/>
  <c r="F291" i="8"/>
  <c r="G291" i="8" s="1"/>
  <c r="F290" i="8"/>
  <c r="G290" i="8" s="1"/>
  <c r="J10" i="5"/>
  <c r="J9" i="5"/>
  <c r="J7" i="5"/>
  <c r="J6" i="5"/>
  <c r="J5" i="5"/>
  <c r="K5" i="5"/>
  <c r="C3" i="1"/>
  <c r="D94" i="1"/>
  <c r="O102" i="1" s="1"/>
  <c r="F100" i="1"/>
  <c r="E297" i="2"/>
  <c r="E293" i="2"/>
  <c r="E287" i="2"/>
  <c r="E281" i="2"/>
  <c r="E276" i="2"/>
  <c r="J272" i="2"/>
  <c r="J271" i="2"/>
  <c r="E271" i="2"/>
  <c r="J270" i="2"/>
  <c r="J269" i="2"/>
  <c r="J268" i="2"/>
  <c r="J267" i="2"/>
  <c r="J266" i="2"/>
  <c r="E266" i="2"/>
  <c r="J265" i="2"/>
  <c r="J264" i="2"/>
  <c r="F93" i="1"/>
  <c r="E268" i="2" s="1"/>
  <c r="G268" i="2" s="1"/>
  <c r="F94" i="1"/>
  <c r="E273" i="2" s="1"/>
  <c r="F95" i="1"/>
  <c r="E278" i="2" s="1"/>
  <c r="G278" i="2" s="1"/>
  <c r="F96" i="1"/>
  <c r="F98" i="1"/>
  <c r="E295" i="2" s="1"/>
  <c r="F92" i="1"/>
  <c r="S101" i="1"/>
  <c r="E101" i="1"/>
  <c r="C101" i="1"/>
  <c r="F101" i="1" s="1"/>
  <c r="E100" i="1"/>
  <c r="C100" i="1"/>
  <c r="L98" i="1"/>
  <c r="L97" i="1"/>
  <c r="L96" i="1"/>
  <c r="L95" i="1"/>
  <c r="L94" i="1"/>
  <c r="L93" i="1"/>
  <c r="L92" i="1"/>
  <c r="F284" i="8"/>
  <c r="G284" i="8" s="1"/>
  <c r="F285" i="8"/>
  <c r="G285" i="8" s="1"/>
  <c r="F286" i="8"/>
  <c r="G286" i="8" s="1"/>
  <c r="F287" i="8"/>
  <c r="G287" i="8" s="1"/>
  <c r="F288" i="8"/>
  <c r="G288" i="8" s="1"/>
  <c r="F283" i="8"/>
  <c r="G283" i="8" s="1"/>
  <c r="E282" i="8"/>
  <c r="F281" i="8"/>
  <c r="G281" i="8" s="1"/>
  <c r="F280" i="8"/>
  <c r="G280" i="8" s="1"/>
  <c r="F279" i="8"/>
  <c r="G279" i="8" s="1"/>
  <c r="F278" i="8"/>
  <c r="G278" i="8" s="1"/>
  <c r="F277" i="8"/>
  <c r="G277" i="8" s="1"/>
  <c r="F276" i="8"/>
  <c r="G276" i="8" s="1"/>
  <c r="F269" i="8"/>
  <c r="G269" i="8" s="1"/>
  <c r="F270" i="8"/>
  <c r="G270" i="8" s="1"/>
  <c r="F271" i="8"/>
  <c r="G271" i="8" s="1"/>
  <c r="F272" i="8"/>
  <c r="G272" i="8" s="1"/>
  <c r="F273" i="8"/>
  <c r="G273" i="8" s="1"/>
  <c r="F274" i="8"/>
  <c r="G274" i="8" s="1"/>
  <c r="F275" i="8"/>
  <c r="G275" i="8" s="1"/>
  <c r="G268" i="8"/>
  <c r="F268" i="8"/>
  <c r="E267" i="8"/>
  <c r="U21" i="9"/>
  <c r="F266" i="8"/>
  <c r="G266" i="8" s="1"/>
  <c r="F265" i="8"/>
  <c r="G265" i="8" s="1"/>
  <c r="F264" i="8"/>
  <c r="G264" i="8" s="1"/>
  <c r="F263" i="8"/>
  <c r="G263" i="8" s="1"/>
  <c r="F261" i="8"/>
  <c r="G261" i="8" s="1"/>
  <c r="F262" i="8"/>
  <c r="G262" i="8" s="1"/>
  <c r="F260" i="8"/>
  <c r="G260" i="8" s="1"/>
  <c r="F259" i="8"/>
  <c r="G259" i="8" s="1"/>
  <c r="F258" i="8"/>
  <c r="G258" i="8" s="1"/>
  <c r="F257" i="8"/>
  <c r="G257" i="8" s="1"/>
  <c r="F256" i="8"/>
  <c r="G256" i="8" s="1"/>
  <c r="F255" i="8"/>
  <c r="G255" i="8" s="1"/>
  <c r="F254" i="8"/>
  <c r="G254" i="8" s="1"/>
  <c r="F253" i="8"/>
  <c r="G253" i="8" s="1"/>
  <c r="E252" i="8"/>
  <c r="AA4" i="9"/>
  <c r="Z1" i="9"/>
  <c r="Z3" i="9" s="1"/>
  <c r="AA3" i="9" s="1"/>
  <c r="Y3" i="9"/>
  <c r="Z2" i="9"/>
  <c r="U9" i="9"/>
  <c r="U10" i="9"/>
  <c r="U11" i="9"/>
  <c r="U12" i="9"/>
  <c r="U13" i="9"/>
  <c r="U7" i="9"/>
  <c r="T14" i="9"/>
  <c r="V15" i="9"/>
  <c r="U8" i="9"/>
  <c r="E203" i="8"/>
  <c r="F214" i="8"/>
  <c r="E214" i="8"/>
  <c r="K203" i="8"/>
  <c r="J203" i="8"/>
  <c r="F251" i="8"/>
  <c r="G251" i="8" s="1"/>
  <c r="F250" i="8"/>
  <c r="G250" i="8" s="1"/>
  <c r="F249" i="8"/>
  <c r="G249" i="8" s="1"/>
  <c r="F248" i="8"/>
  <c r="G248" i="8" s="1"/>
  <c r="F247" i="8"/>
  <c r="G247" i="8" s="1"/>
  <c r="F246" i="8"/>
  <c r="G246" i="8" s="1"/>
  <c r="E13" i="8"/>
  <c r="E12" i="8"/>
  <c r="E11" i="8"/>
  <c r="E9" i="8"/>
  <c r="F215" i="8"/>
  <c r="F245" i="8"/>
  <c r="G245" i="8" s="1"/>
  <c r="F244" i="8"/>
  <c r="G244" i="8" s="1"/>
  <c r="F243" i="8"/>
  <c r="G243" i="8" s="1"/>
  <c r="F242" i="8"/>
  <c r="G242" i="8" s="1"/>
  <c r="F241" i="8"/>
  <c r="G241" i="8" s="1"/>
  <c r="F240" i="8"/>
  <c r="G240" i="8" s="1"/>
  <c r="F239" i="8"/>
  <c r="G239" i="8" s="1"/>
  <c r="E238" i="8"/>
  <c r="F238" i="8" s="1"/>
  <c r="G238" i="8" s="1"/>
  <c r="E237" i="8"/>
  <c r="F237" i="8" s="1"/>
  <c r="G237" i="8" s="1"/>
  <c r="E236" i="8"/>
  <c r="F236" i="8" s="1"/>
  <c r="G236" i="8" s="1"/>
  <c r="E235" i="8"/>
  <c r="F235" i="8" s="1"/>
  <c r="G235" i="8" s="1"/>
  <c r="E234" i="8"/>
  <c r="F234" i="8" s="1"/>
  <c r="G234" i="8" s="1"/>
  <c r="E233" i="8"/>
  <c r="F233" i="8" s="1"/>
  <c r="G233" i="8" s="1"/>
  <c r="E232" i="8"/>
  <c r="F232" i="8" s="1"/>
  <c r="G232" i="8" s="1"/>
  <c r="F231" i="8"/>
  <c r="G231" i="8" s="1"/>
  <c r="E231" i="8"/>
  <c r="E230" i="8"/>
  <c r="F230" i="8" s="1"/>
  <c r="G230" i="8" s="1"/>
  <c r="F229" i="8"/>
  <c r="G229" i="8" s="1"/>
  <c r="E229" i="8"/>
  <c r="E228" i="8"/>
  <c r="F228" i="8" s="1"/>
  <c r="G228" i="8" s="1"/>
  <c r="E227" i="8"/>
  <c r="F227" i="8" s="1"/>
  <c r="G227" i="8" s="1"/>
  <c r="E226" i="8"/>
  <c r="F226" i="8" s="1"/>
  <c r="G226" i="8" s="1"/>
  <c r="E225" i="8"/>
  <c r="F225" i="8" s="1"/>
  <c r="G225" i="8" s="1"/>
  <c r="E224" i="8"/>
  <c r="F224" i="8" s="1"/>
  <c r="G224" i="8" s="1"/>
  <c r="E223" i="8"/>
  <c r="F223" i="8" s="1"/>
  <c r="G223" i="8" s="1"/>
  <c r="E222" i="8"/>
  <c r="F222" i="8" s="1"/>
  <c r="G222" i="8" s="1"/>
  <c r="E221" i="8"/>
  <c r="F221" i="8" s="1"/>
  <c r="G221" i="8" s="1"/>
  <c r="E220" i="8"/>
  <c r="F220" i="8" s="1"/>
  <c r="G220" i="8" s="1"/>
  <c r="E219" i="8"/>
  <c r="F219" i="8" s="1"/>
  <c r="G219" i="8" s="1"/>
  <c r="E215" i="8"/>
  <c r="G215" i="8" s="1"/>
  <c r="E213" i="8"/>
  <c r="E218" i="8"/>
  <c r="F218" i="8" s="1"/>
  <c r="G218" i="8" s="1"/>
  <c r="E217" i="8"/>
  <c r="F217" i="8" s="1"/>
  <c r="G217" i="8" s="1"/>
  <c r="E216" i="8"/>
  <c r="F216" i="8" s="1"/>
  <c r="G216" i="8" s="1"/>
  <c r="F213" i="8"/>
  <c r="G213" i="8" s="1"/>
  <c r="E212" i="8"/>
  <c r="F212" i="8" s="1"/>
  <c r="G212" i="8" s="1"/>
  <c r="E211" i="8"/>
  <c r="F211" i="8" s="1"/>
  <c r="G211" i="8" s="1"/>
  <c r="E210" i="8"/>
  <c r="F210" i="8" s="1"/>
  <c r="G210" i="8" s="1"/>
  <c r="E209" i="8"/>
  <c r="F209" i="8" s="1"/>
  <c r="G209" i="8" s="1"/>
  <c r="E208" i="8"/>
  <c r="F208" i="8" s="1"/>
  <c r="G208" i="8" s="1"/>
  <c r="E207" i="8"/>
  <c r="F207" i="8" s="1"/>
  <c r="G207" i="8" s="1"/>
  <c r="E206" i="8"/>
  <c r="F206" i="8" s="1"/>
  <c r="G206" i="8" s="1"/>
  <c r="V4" i="9"/>
  <c r="U2" i="9"/>
  <c r="U1" i="9"/>
  <c r="T3" i="9"/>
  <c r="B14" i="11"/>
  <c r="C14" i="11"/>
  <c r="D14" i="11"/>
  <c r="E14" i="11"/>
  <c r="F14" i="11"/>
  <c r="R161" i="1"/>
  <c r="R162" i="1" s="1"/>
  <c r="S161" i="1"/>
  <c r="C161" i="1"/>
  <c r="F161" i="1" s="1"/>
  <c r="C160" i="1"/>
  <c r="H160" i="1" s="1"/>
  <c r="T151" i="1" s="1"/>
  <c r="H158" i="1"/>
  <c r="L158" i="1" s="1"/>
  <c r="C158" i="1"/>
  <c r="F158" i="1" s="1"/>
  <c r="H157" i="1"/>
  <c r="L157" i="1" s="1"/>
  <c r="C157" i="1"/>
  <c r="H156" i="1"/>
  <c r="L156" i="1" s="1"/>
  <c r="C156" i="1"/>
  <c r="H155" i="1"/>
  <c r="L155" i="1" s="1"/>
  <c r="D155" i="1"/>
  <c r="C155" i="1"/>
  <c r="H154" i="1"/>
  <c r="L154" i="1" s="1"/>
  <c r="C154" i="1"/>
  <c r="F154" i="1" s="1"/>
  <c r="H153" i="1"/>
  <c r="L153" i="1" s="1"/>
  <c r="C153" i="1"/>
  <c r="H152" i="1"/>
  <c r="L152" i="1" s="1"/>
  <c r="C152" i="1"/>
  <c r="F152" i="1" s="1"/>
  <c r="E205" i="8"/>
  <c r="F205" i="8" s="1"/>
  <c r="G205" i="8" s="1"/>
  <c r="E204" i="8"/>
  <c r="F204" i="8" s="1"/>
  <c r="G204" i="8" s="1"/>
  <c r="F203" i="8"/>
  <c r="E202" i="8"/>
  <c r="F202" i="8" s="1"/>
  <c r="G202" i="8" s="1"/>
  <c r="E201" i="8"/>
  <c r="F201" i="8" s="1"/>
  <c r="G201" i="8" s="1"/>
  <c r="F200" i="8"/>
  <c r="G200" i="8" s="1"/>
  <c r="E200" i="8"/>
  <c r="F72" i="8"/>
  <c r="E2" i="8"/>
  <c r="E199" i="8"/>
  <c r="F199" i="8" s="1"/>
  <c r="G199" i="8" s="1"/>
  <c r="F198" i="8"/>
  <c r="G198" i="8" s="1"/>
  <c r="E198" i="8"/>
  <c r="F197" i="8"/>
  <c r="G197" i="8" s="1"/>
  <c r="F196" i="8"/>
  <c r="G196" i="8" s="1"/>
  <c r="E197" i="8"/>
  <c r="E196" i="8"/>
  <c r="F193" i="8"/>
  <c r="E193" i="8"/>
  <c r="E195" i="8"/>
  <c r="F195" i="8" s="1"/>
  <c r="G195" i="8" s="1"/>
  <c r="E194" i="8"/>
  <c r="F194" i="8" s="1"/>
  <c r="G194" i="8" s="1"/>
  <c r="G193" i="8"/>
  <c r="E192" i="8"/>
  <c r="F192" i="8" s="1"/>
  <c r="G192" i="8" s="1"/>
  <c r="E190" i="8"/>
  <c r="F190" i="8"/>
  <c r="G190" i="8" s="1"/>
  <c r="E191" i="8"/>
  <c r="F191" i="8" s="1"/>
  <c r="G191" i="8" s="1"/>
  <c r="F189" i="8"/>
  <c r="G189" i="8" s="1"/>
  <c r="E189" i="8"/>
  <c r="G188" i="8"/>
  <c r="F188" i="8"/>
  <c r="E188" i="8"/>
  <c r="G187" i="8"/>
  <c r="F187" i="8"/>
  <c r="E187" i="8"/>
  <c r="K186" i="8"/>
  <c r="J186" i="8"/>
  <c r="F186" i="8" a="1"/>
  <c r="F186" i="8" s="1"/>
  <c r="E186" i="8" a="1"/>
  <c r="E186" i="8" s="1"/>
  <c r="M337" i="8"/>
  <c r="E151" i="8" a="1"/>
  <c r="E151" i="8" s="1"/>
  <c r="C78" i="1"/>
  <c r="F78" i="1" s="1"/>
  <c r="E183" i="8"/>
  <c r="F183" i="8" s="1"/>
  <c r="G183" i="8" s="1"/>
  <c r="E185" i="8"/>
  <c r="F185" i="8" s="1"/>
  <c r="G185" i="8" s="1"/>
  <c r="E184" i="8"/>
  <c r="F184" i="8" s="1"/>
  <c r="G184" i="8" s="1"/>
  <c r="E182" i="8"/>
  <c r="F182" i="8" s="1"/>
  <c r="G182" i="8" s="1"/>
  <c r="E181" i="8"/>
  <c r="F181" i="8" s="1"/>
  <c r="G181" i="8" s="1"/>
  <c r="E180" i="8"/>
  <c r="F180" i="8" s="1"/>
  <c r="G180" i="8" s="1"/>
  <c r="E179" i="8"/>
  <c r="F179" i="8" s="1"/>
  <c r="G179" i="8" s="1"/>
  <c r="E178" i="8"/>
  <c r="F178" i="8" s="1"/>
  <c r="G178" i="8" s="1"/>
  <c r="E177" i="8"/>
  <c r="F177" i="8" s="1"/>
  <c r="G177" i="8" s="1"/>
  <c r="E176" i="8"/>
  <c r="F176" i="8" s="1"/>
  <c r="G176" i="8" s="1"/>
  <c r="E175" i="8"/>
  <c r="F175" i="8" s="1"/>
  <c r="G175" i="8" s="1"/>
  <c r="E174" i="8"/>
  <c r="E173" i="8"/>
  <c r="F173" i="8" s="1"/>
  <c r="G173" i="8" s="1"/>
  <c r="E172" i="8"/>
  <c r="F172" i="8" s="1"/>
  <c r="G172" i="8" s="1"/>
  <c r="E171" i="8"/>
  <c r="F174" i="8"/>
  <c r="G174" i="8" s="1"/>
  <c r="F171" i="8"/>
  <c r="G171" i="8" s="1"/>
  <c r="J37" i="4"/>
  <c r="D43" i="4"/>
  <c r="E43" i="4" s="1"/>
  <c r="D37" i="4"/>
  <c r="D36" i="4"/>
  <c r="E170" i="8"/>
  <c r="F170" i="8" s="1"/>
  <c r="G170" i="8" s="1"/>
  <c r="E169" i="8"/>
  <c r="F169" i="8" s="1"/>
  <c r="G169" i="8" s="1"/>
  <c r="E168" i="8"/>
  <c r="F168" i="8" s="1"/>
  <c r="G168" i="8" s="1"/>
  <c r="E167" i="8"/>
  <c r="F167" i="8" s="1"/>
  <c r="G167" i="8" s="1"/>
  <c r="E166" i="8"/>
  <c r="F166" i="8" s="1"/>
  <c r="G166" i="8" s="1"/>
  <c r="E165" i="8"/>
  <c r="F165" i="8" s="1"/>
  <c r="G165" i="8" s="1"/>
  <c r="E152" i="8"/>
  <c r="F152" i="8" s="1"/>
  <c r="G152" i="8" s="1"/>
  <c r="E150" i="8"/>
  <c r="F150" i="8" s="1"/>
  <c r="E164" i="8"/>
  <c r="F164" i="8" s="1"/>
  <c r="G164" i="8" s="1"/>
  <c r="F160" i="8"/>
  <c r="G160" i="8" s="1"/>
  <c r="F161" i="8"/>
  <c r="G161" i="8" s="1"/>
  <c r="E163" i="8"/>
  <c r="F163" i="8" s="1"/>
  <c r="G163" i="8" s="1"/>
  <c r="E159" i="8"/>
  <c r="F159" i="8" s="1"/>
  <c r="G159" i="8" s="1"/>
  <c r="E160" i="8"/>
  <c r="E161" i="8"/>
  <c r="E162" i="8"/>
  <c r="F162" i="8" s="1"/>
  <c r="G162" i="8" s="1"/>
  <c r="E158" i="8"/>
  <c r="F158" i="8" s="1"/>
  <c r="G158" i="8" s="1"/>
  <c r="E157" i="8"/>
  <c r="F157" i="8" s="1"/>
  <c r="G157" i="8" s="1"/>
  <c r="E156" i="8"/>
  <c r="F156" i="8" s="1"/>
  <c r="G156" i="8" s="1"/>
  <c r="E155" i="8"/>
  <c r="E154" i="8"/>
  <c r="F154" i="8" s="1"/>
  <c r="G154" i="8" s="1"/>
  <c r="F155" i="8"/>
  <c r="G155" i="8" s="1"/>
  <c r="E153" i="8"/>
  <c r="F153" i="8" s="1"/>
  <c r="G153" i="8" s="1"/>
  <c r="P13" i="11"/>
  <c r="P11" i="11"/>
  <c r="K35" i="11"/>
  <c r="K31" i="11"/>
  <c r="U10" i="11" s="1"/>
  <c r="K25" i="11"/>
  <c r="U9" i="11" s="1"/>
  <c r="K20" i="11"/>
  <c r="K29" i="11" s="1"/>
  <c r="K19" i="11"/>
  <c r="U7" i="11" s="1"/>
  <c r="K14" i="11"/>
  <c r="U6" i="11" s="1"/>
  <c r="K9" i="11"/>
  <c r="U5" i="11" s="1"/>
  <c r="K8" i="11"/>
  <c r="K18" i="11" s="1"/>
  <c r="K4" i="11"/>
  <c r="U3" i="11" s="1"/>
  <c r="K3" i="11"/>
  <c r="U2" i="11" s="1"/>
  <c r="C77" i="1"/>
  <c r="F77" i="1" s="1"/>
  <c r="E227" i="2" s="1"/>
  <c r="G227" i="2" s="1"/>
  <c r="C197" i="1"/>
  <c r="F197" i="1" s="1"/>
  <c r="E149" i="8"/>
  <c r="F149" i="8" s="1"/>
  <c r="G149" i="8" s="1"/>
  <c r="E148" i="8"/>
  <c r="F148" i="8" s="1"/>
  <c r="G148" i="8" s="1"/>
  <c r="E147" i="8"/>
  <c r="F147" i="8" s="1"/>
  <c r="G147" i="8" s="1"/>
  <c r="E146" i="8"/>
  <c r="F146" i="8" s="1"/>
  <c r="G146" i="8" s="1"/>
  <c r="E145" i="8"/>
  <c r="F145" i="8" s="1"/>
  <c r="G145" i="8" s="1"/>
  <c r="E144" i="8"/>
  <c r="F144" i="8" s="1"/>
  <c r="G144" i="8" s="1"/>
  <c r="E143" i="8"/>
  <c r="F143" i="8" s="1"/>
  <c r="G143" i="8" s="1"/>
  <c r="E142" i="8"/>
  <c r="F142" i="8" s="1"/>
  <c r="G142" i="8" s="1"/>
  <c r="E141" i="8"/>
  <c r="F141" i="8" s="1"/>
  <c r="G141" i="8" s="1"/>
  <c r="C175" i="1"/>
  <c r="L74" i="11"/>
  <c r="L69" i="11"/>
  <c r="L63" i="11"/>
  <c r="L57" i="11"/>
  <c r="L52" i="11"/>
  <c r="Q49" i="11"/>
  <c r="Q48" i="11"/>
  <c r="Q47" i="11"/>
  <c r="L47" i="11"/>
  <c r="Q46" i="11"/>
  <c r="Q45" i="11"/>
  <c r="Q44" i="11"/>
  <c r="Q43" i="11"/>
  <c r="L43" i="11"/>
  <c r="Q42" i="11"/>
  <c r="Q41" i="11"/>
  <c r="C167" i="1"/>
  <c r="F167" i="1" s="1"/>
  <c r="C168" i="1"/>
  <c r="F168" i="1" s="1"/>
  <c r="C169" i="1"/>
  <c r="F169" i="1" s="1"/>
  <c r="C170" i="1"/>
  <c r="F170" i="1" s="1"/>
  <c r="C171" i="1"/>
  <c r="F171" i="1" s="1"/>
  <c r="C172" i="1"/>
  <c r="F172" i="1" s="1"/>
  <c r="C173" i="1"/>
  <c r="E175" i="1"/>
  <c r="E176" i="1"/>
  <c r="F176" i="1" s="1"/>
  <c r="E140" i="8"/>
  <c r="F140" i="8" s="1"/>
  <c r="G140" i="8" s="1"/>
  <c r="E139" i="8"/>
  <c r="F139" i="8" s="1"/>
  <c r="G139" i="8" s="1"/>
  <c r="E138" i="8"/>
  <c r="F138" i="8" s="1"/>
  <c r="G138" i="8" s="1"/>
  <c r="M332" i="8"/>
  <c r="M336" i="8"/>
  <c r="E137" i="8"/>
  <c r="F137" i="8" s="1"/>
  <c r="G137" i="8" s="1"/>
  <c r="L36" i="11"/>
  <c r="H35" i="11"/>
  <c r="L32" i="11"/>
  <c r="H30" i="11"/>
  <c r="H29" i="11"/>
  <c r="L26" i="11"/>
  <c r="L21" i="11"/>
  <c r="H18" i="11"/>
  <c r="L15" i="11"/>
  <c r="H13" i="11"/>
  <c r="L10" i="11"/>
  <c r="H7" i="11"/>
  <c r="H12" i="11" s="1"/>
  <c r="H17" i="11" s="1"/>
  <c r="H23" i="11" s="1"/>
  <c r="H28" i="11" s="1"/>
  <c r="H34" i="11" s="1"/>
  <c r="L5" i="11"/>
  <c r="A1" i="11"/>
  <c r="B1" i="11"/>
  <c r="C1" i="11"/>
  <c r="D1" i="11"/>
  <c r="E1" i="11"/>
  <c r="F1" i="11"/>
  <c r="A2" i="11"/>
  <c r="B2" i="11"/>
  <c r="D2" i="11"/>
  <c r="E2" i="11"/>
  <c r="A3" i="11"/>
  <c r="B3" i="11"/>
  <c r="E3" i="11"/>
  <c r="A4" i="11"/>
  <c r="B4" i="11"/>
  <c r="D4" i="11"/>
  <c r="E4" i="11"/>
  <c r="A5" i="11"/>
  <c r="B5" i="11"/>
  <c r="E5" i="11"/>
  <c r="A6" i="11"/>
  <c r="B6" i="11"/>
  <c r="D6" i="11"/>
  <c r="E6" i="11"/>
  <c r="A7" i="11"/>
  <c r="B7" i="11"/>
  <c r="D7" i="11"/>
  <c r="E7" i="11"/>
  <c r="A8" i="11"/>
  <c r="B8" i="11"/>
  <c r="D8" i="11"/>
  <c r="E8" i="11"/>
  <c r="A9" i="11"/>
  <c r="B9" i="11"/>
  <c r="C9" i="11"/>
  <c r="D9" i="11"/>
  <c r="E9" i="11"/>
  <c r="F9" i="11"/>
  <c r="A10" i="11"/>
  <c r="B10" i="11"/>
  <c r="D10" i="11"/>
  <c r="E10" i="11"/>
  <c r="A11" i="11"/>
  <c r="B11" i="11"/>
  <c r="D11" i="11"/>
  <c r="E11" i="11"/>
  <c r="A12" i="11"/>
  <c r="B12" i="11"/>
  <c r="C12" i="11"/>
  <c r="D12" i="11"/>
  <c r="E12" i="11"/>
  <c r="F12" i="11"/>
  <c r="F136" i="8"/>
  <c r="G136" i="8" s="1"/>
  <c r="E135" i="8"/>
  <c r="E134" i="8"/>
  <c r="E133" i="8"/>
  <c r="E132" i="8"/>
  <c r="F132" i="8" s="1"/>
  <c r="G132" i="8" s="1"/>
  <c r="E131" i="8"/>
  <c r="F131" i="8" s="1"/>
  <c r="G131" i="8" s="1"/>
  <c r="F135" i="8"/>
  <c r="G135" i="8" s="1"/>
  <c r="F134" i="8"/>
  <c r="G134" i="8" s="1"/>
  <c r="F133" i="8"/>
  <c r="G133" i="8" s="1"/>
  <c r="E128" i="8"/>
  <c r="F128" i="8" s="1"/>
  <c r="G128" i="8" s="1"/>
  <c r="D572" i="2"/>
  <c r="D578" i="2" s="1"/>
  <c r="D570" i="2"/>
  <c r="K60" i="11" s="1"/>
  <c r="U48" i="11" s="1"/>
  <c r="D566" i="2"/>
  <c r="K56" i="11" s="1"/>
  <c r="U47" i="11" s="1"/>
  <c r="D565" i="2"/>
  <c r="D571" i="2" s="1"/>
  <c r="D577" i="2" s="1"/>
  <c r="D560" i="2"/>
  <c r="K50" i="11" s="1"/>
  <c r="D556" i="2"/>
  <c r="D552" i="2"/>
  <c r="K42" i="11" s="1"/>
  <c r="D551" i="2"/>
  <c r="K41" i="11" s="1"/>
  <c r="K45" i="11" s="1"/>
  <c r="E130" i="8"/>
  <c r="F130" i="8" s="1"/>
  <c r="G130" i="8" s="1"/>
  <c r="E129" i="8"/>
  <c r="F129" i="8" s="1"/>
  <c r="G129" i="8" s="1"/>
  <c r="E127" i="8"/>
  <c r="F127" i="8" s="1"/>
  <c r="G127" i="8" s="1"/>
  <c r="E126" i="8"/>
  <c r="F126" i="8" s="1"/>
  <c r="G126" i="8" s="1"/>
  <c r="E125" i="8"/>
  <c r="F125" i="8" s="1"/>
  <c r="G125" i="8" s="1"/>
  <c r="M335" i="8"/>
  <c r="M334" i="8"/>
  <c r="M333" i="8"/>
  <c r="O333" i="8" s="1"/>
  <c r="P333" i="8" s="1"/>
  <c r="B76" i="4"/>
  <c r="B75" i="4"/>
  <c r="B74" i="4"/>
  <c r="B73" i="4"/>
  <c r="J47" i="6"/>
  <c r="F123" i="8"/>
  <c r="G123" i="8" s="1"/>
  <c r="F122" i="8"/>
  <c r="G122" i="8" s="1"/>
  <c r="E121" i="8"/>
  <c r="F121" i="8" s="1"/>
  <c r="G121" i="8" s="1"/>
  <c r="E112" i="8"/>
  <c r="F112" i="8" s="1"/>
  <c r="G112" i="8" s="1"/>
  <c r="E120" i="8"/>
  <c r="F120" i="8" s="1"/>
  <c r="G120" i="8" s="1"/>
  <c r="E119" i="8"/>
  <c r="F119" i="8" s="1"/>
  <c r="G119" i="8" s="1"/>
  <c r="E118" i="8"/>
  <c r="F118" i="8" s="1"/>
  <c r="G118" i="8" s="1"/>
  <c r="E117" i="8"/>
  <c r="F117" i="8" s="1"/>
  <c r="G117" i="8" s="1"/>
  <c r="E116" i="8"/>
  <c r="F116" i="8" s="1"/>
  <c r="G116" i="8" s="1"/>
  <c r="E115" i="8"/>
  <c r="F115" i="8" s="1"/>
  <c r="G115" i="8" s="1"/>
  <c r="E114" i="8"/>
  <c r="F114" i="8" s="1"/>
  <c r="G114" i="8" s="1"/>
  <c r="E113" i="8"/>
  <c r="F113" i="8" s="1"/>
  <c r="G113" i="8" s="1"/>
  <c r="E111" i="8"/>
  <c r="F111" i="8" s="1"/>
  <c r="E109" i="8"/>
  <c r="F109" i="8" s="1"/>
  <c r="G109" i="8" s="1"/>
  <c r="E108" i="8"/>
  <c r="F108" i="8" s="1"/>
  <c r="G108" i="8" s="1"/>
  <c r="E107" i="8"/>
  <c r="F107" i="8" s="1"/>
  <c r="G107" i="8" s="1"/>
  <c r="D6" i="1"/>
  <c r="D5" i="11" s="1"/>
  <c r="I39" i="4"/>
  <c r="I38" i="4"/>
  <c r="R26" i="9"/>
  <c r="R25" i="9"/>
  <c r="O32" i="9"/>
  <c r="N32" i="9"/>
  <c r="S30" i="9"/>
  <c r="U30" i="9" s="1"/>
  <c r="R28" i="9"/>
  <c r="R27" i="9"/>
  <c r="M32" i="9"/>
  <c r="L32" i="9"/>
  <c r="S27" i="9"/>
  <c r="U27" i="9" s="1"/>
  <c r="S26" i="9"/>
  <c r="U26" i="9" s="1"/>
  <c r="S28" i="9"/>
  <c r="U28" i="9" s="1"/>
  <c r="S29" i="9"/>
  <c r="U29" i="9" s="1"/>
  <c r="S25" i="9"/>
  <c r="U25" i="9" s="1"/>
  <c r="Q30" i="9"/>
  <c r="Q28" i="9"/>
  <c r="Q27" i="9"/>
  <c r="O29" i="9"/>
  <c r="Q29" i="9" s="1"/>
  <c r="O25" i="9"/>
  <c r="O26" i="9" s="1"/>
  <c r="Q26" i="9" s="1"/>
  <c r="P24" i="9"/>
  <c r="O24" i="9"/>
  <c r="N24" i="9"/>
  <c r="L30" i="9"/>
  <c r="L29" i="9"/>
  <c r="L27" i="9"/>
  <c r="L25" i="9"/>
  <c r="E105" i="8"/>
  <c r="F105" i="8" s="1"/>
  <c r="G105" i="8" s="1"/>
  <c r="E104" i="8"/>
  <c r="F104" i="8" s="1"/>
  <c r="G104" i="8" s="1"/>
  <c r="J38" i="10"/>
  <c r="B36" i="4"/>
  <c r="E103" i="8"/>
  <c r="F103" i="8" s="1"/>
  <c r="G103" i="8" s="1"/>
  <c r="E102" i="8"/>
  <c r="F102" i="8" s="1"/>
  <c r="G102" i="8" s="1"/>
  <c r="E101" i="8"/>
  <c r="F101" i="8" s="1"/>
  <c r="G101" i="8" s="1"/>
  <c r="E100" i="8"/>
  <c r="F100" i="8" s="1"/>
  <c r="G100" i="8" s="1"/>
  <c r="E99" i="8"/>
  <c r="F99" i="8" s="1"/>
  <c r="G99" i="8" s="1"/>
  <c r="E96" i="8"/>
  <c r="F96" i="8" s="1"/>
  <c r="G96" i="8" s="1"/>
  <c r="E97" i="8"/>
  <c r="F97" i="8" s="1"/>
  <c r="G97" i="8" s="1"/>
  <c r="E98" i="8"/>
  <c r="F98" i="8" s="1"/>
  <c r="G98" i="8" s="1"/>
  <c r="E95" i="8"/>
  <c r="F95" i="8" s="1"/>
  <c r="G95" i="8" s="1"/>
  <c r="E94" i="8"/>
  <c r="F94" i="8" s="1"/>
  <c r="G94" i="8" s="1"/>
  <c r="E93" i="8"/>
  <c r="F93" i="8" s="1"/>
  <c r="G93" i="8" s="1"/>
  <c r="J49" i="6"/>
  <c r="H49" i="6"/>
  <c r="D2" i="10"/>
  <c r="B7" i="10"/>
  <c r="H7" i="10" s="1"/>
  <c r="E13" i="10"/>
  <c r="E92" i="8"/>
  <c r="F92" i="8" s="1"/>
  <c r="G92" i="8" s="1"/>
  <c r="C49" i="4"/>
  <c r="G41" i="4"/>
  <c r="G42" i="4"/>
  <c r="D44" i="4"/>
  <c r="E44" i="4" s="1"/>
  <c r="D45" i="4"/>
  <c r="D46" i="4"/>
  <c r="E46" i="4" s="1"/>
  <c r="D38" i="4"/>
  <c r="E38" i="4" s="1"/>
  <c r="D39" i="4"/>
  <c r="D40" i="4"/>
  <c r="E40" i="4" s="1"/>
  <c r="B49" i="4"/>
  <c r="C33" i="10"/>
  <c r="F33" i="10" s="1"/>
  <c r="L37" i="10"/>
  <c r="I35" i="10"/>
  <c r="H35" i="10"/>
  <c r="C35" i="10"/>
  <c r="F35" i="10" s="1"/>
  <c r="I34" i="10"/>
  <c r="H34" i="10"/>
  <c r="C34" i="10"/>
  <c r="F34" i="10" s="1"/>
  <c r="I33" i="10"/>
  <c r="H33" i="10"/>
  <c r="L33" i="10" s="1"/>
  <c r="I32" i="10"/>
  <c r="H32" i="10"/>
  <c r="C32" i="10"/>
  <c r="F32" i="10" s="1"/>
  <c r="I31" i="10"/>
  <c r="H31" i="10"/>
  <c r="C31" i="10"/>
  <c r="F31" i="10" s="1"/>
  <c r="E91" i="8"/>
  <c r="F91" i="8" s="1"/>
  <c r="G91" i="8" s="1"/>
  <c r="E90" i="8"/>
  <c r="F90" i="8" s="1"/>
  <c r="G90" i="8" s="1"/>
  <c r="E89" i="8"/>
  <c r="F89" i="8" s="1"/>
  <c r="G89" i="8" s="1"/>
  <c r="E88" i="8"/>
  <c r="F88" i="8" s="1"/>
  <c r="G88" i="8" s="1"/>
  <c r="E87" i="8"/>
  <c r="F87" i="8" s="1"/>
  <c r="G87" i="8" s="1"/>
  <c r="E86" i="8"/>
  <c r="F86" i="8" s="1"/>
  <c r="G86" i="8" s="1"/>
  <c r="E85" i="8"/>
  <c r="F85" i="8" s="1"/>
  <c r="G85" i="8" s="1"/>
  <c r="E84" i="8"/>
  <c r="F84" i="8" s="1"/>
  <c r="G84" i="8" s="1"/>
  <c r="E83" i="8"/>
  <c r="F83" i="8" s="1"/>
  <c r="G83" i="8" s="1"/>
  <c r="E82" i="8"/>
  <c r="F82" i="8" s="1"/>
  <c r="G82" i="8" s="1"/>
  <c r="E81" i="8"/>
  <c r="F81" i="8" s="1"/>
  <c r="G81" i="8" s="1"/>
  <c r="R102" i="1" l="1"/>
  <c r="F97" i="1"/>
  <c r="E289" i="2" s="1"/>
  <c r="E264" i="2"/>
  <c r="E296" i="2"/>
  <c r="G296" i="2" s="1"/>
  <c r="E275" i="2"/>
  <c r="G275" i="2" s="1"/>
  <c r="G273" i="2"/>
  <c r="H100" i="1"/>
  <c r="T91" i="1" s="1"/>
  <c r="E231" i="2"/>
  <c r="G231" i="2" s="1"/>
  <c r="F153" i="1"/>
  <c r="E482" i="2" s="1"/>
  <c r="G482" i="2" s="1"/>
  <c r="F157" i="1"/>
  <c r="E502" i="2" s="1"/>
  <c r="G502" i="2" s="1"/>
  <c r="F156" i="1"/>
  <c r="E497" i="2" s="1"/>
  <c r="G497" i="2" s="1"/>
  <c r="E506" i="2"/>
  <c r="G506" i="2" s="1"/>
  <c r="F155" i="1"/>
  <c r="E492" i="2" s="1"/>
  <c r="G492" i="2" s="1"/>
  <c r="T95" i="1"/>
  <c r="F252" i="8"/>
  <c r="F267" i="8"/>
  <c r="F282" i="8"/>
  <c r="G55" i="11"/>
  <c r="L41" i="11"/>
  <c r="L49" i="11"/>
  <c r="N49" i="11" s="1"/>
  <c r="G57" i="11"/>
  <c r="G58" i="11"/>
  <c r="L54" i="11"/>
  <c r="N54" i="11" s="1"/>
  <c r="G59" i="11"/>
  <c r="L59" i="11"/>
  <c r="N59" i="11" s="1"/>
  <c r="G60" i="11"/>
  <c r="L65" i="11"/>
  <c r="N65" i="11" s="1"/>
  <c r="G61" i="11"/>
  <c r="L71" i="11"/>
  <c r="N71" i="11" s="1"/>
  <c r="G56" i="11"/>
  <c r="T155" i="1"/>
  <c r="T94" i="1"/>
  <c r="E280" i="2"/>
  <c r="G280" i="2" s="1"/>
  <c r="K270" i="2" s="1"/>
  <c r="E270" i="2"/>
  <c r="G270" i="2" s="1"/>
  <c r="K267" i="2" s="1"/>
  <c r="E269" i="2"/>
  <c r="G269" i="2" s="1"/>
  <c r="K266" i="2" s="1"/>
  <c r="E283" i="2"/>
  <c r="E285" i="2" s="1"/>
  <c r="G285" i="2" s="1"/>
  <c r="E279" i="2"/>
  <c r="G279" i="2" s="1"/>
  <c r="E265" i="2"/>
  <c r="G265" i="2" s="1"/>
  <c r="E274" i="2"/>
  <c r="G274" i="2" s="1"/>
  <c r="J267" i="8"/>
  <c r="K267" i="8"/>
  <c r="U14" i="9"/>
  <c r="V14" i="9" s="1"/>
  <c r="M45" i="11"/>
  <c r="T153" i="1"/>
  <c r="J214" i="8"/>
  <c r="K214" i="8"/>
  <c r="N45" i="11"/>
  <c r="T154" i="1"/>
  <c r="M41" i="11"/>
  <c r="K46" i="11"/>
  <c r="F160" i="1"/>
  <c r="U3" i="9"/>
  <c r="V3" i="9" s="1"/>
  <c r="K151" i="8"/>
  <c r="J151" i="8"/>
  <c r="E106" i="8" a="1"/>
  <c r="E106" i="8" s="1"/>
  <c r="G150" i="8"/>
  <c r="F151" i="8" a="1"/>
  <c r="F151" i="8" s="1"/>
  <c r="E110" i="8" a="1"/>
  <c r="E110" i="8" s="1"/>
  <c r="E124" i="8" a="1"/>
  <c r="E124" i="8" s="1"/>
  <c r="F173" i="1"/>
  <c r="D47" i="4"/>
  <c r="U8" i="11"/>
  <c r="K24" i="11"/>
  <c r="K13" i="11"/>
  <c r="U4" i="11"/>
  <c r="K30" i="11"/>
  <c r="K7" i="11"/>
  <c r="F175" i="1"/>
  <c r="D576" i="2"/>
  <c r="K62" i="11"/>
  <c r="G111" i="8"/>
  <c r="F124" i="8" a="1"/>
  <c r="F124" i="8" s="1"/>
  <c r="F106" i="8"/>
  <c r="K106" i="8" s="1"/>
  <c r="F110" i="8"/>
  <c r="K55" i="11"/>
  <c r="K61" i="11"/>
  <c r="K72" i="11"/>
  <c r="U42" i="11"/>
  <c r="U44" i="11"/>
  <c r="K66" i="11"/>
  <c r="U41" i="11"/>
  <c r="K49" i="11"/>
  <c r="M49" i="11" s="1"/>
  <c r="Q25" i="9"/>
  <c r="J35" i="10"/>
  <c r="J34" i="10"/>
  <c r="J32" i="10"/>
  <c r="J31" i="10"/>
  <c r="G49" i="4"/>
  <c r="E36" i="4"/>
  <c r="E39" i="4"/>
  <c r="E37" i="4"/>
  <c r="E45" i="4"/>
  <c r="M17" i="2"/>
  <c r="O17" i="2" s="1"/>
  <c r="J33" i="10"/>
  <c r="P33" i="10" s="1"/>
  <c r="L38" i="10"/>
  <c r="L39" i="10"/>
  <c r="R56" i="1"/>
  <c r="E185" i="2"/>
  <c r="A184" i="2"/>
  <c r="E181" i="2"/>
  <c r="A179" i="2"/>
  <c r="A178" i="2"/>
  <c r="E175" i="2"/>
  <c r="E170" i="2"/>
  <c r="A167" i="2"/>
  <c r="E164" i="2"/>
  <c r="A162" i="2"/>
  <c r="J160" i="2"/>
  <c r="J159" i="2"/>
  <c r="E159" i="2"/>
  <c r="J158" i="2"/>
  <c r="J157" i="2"/>
  <c r="J156" i="2"/>
  <c r="A156" i="2"/>
  <c r="A161" i="2" s="1"/>
  <c r="A166" i="2" s="1"/>
  <c r="A172" i="2" s="1"/>
  <c r="A177" i="2" s="1"/>
  <c r="A183" i="2" s="1"/>
  <c r="J155" i="2"/>
  <c r="J154" i="2"/>
  <c r="E154" i="2"/>
  <c r="J153" i="2"/>
  <c r="J152" i="2"/>
  <c r="C48" i="1"/>
  <c r="F48" i="1" s="1"/>
  <c r="C49" i="1"/>
  <c r="F49" i="1" s="1"/>
  <c r="C50" i="1"/>
  <c r="F50" i="1" s="1"/>
  <c r="C51" i="1"/>
  <c r="F51" i="1" s="1"/>
  <c r="C52" i="1"/>
  <c r="F52" i="1" s="1"/>
  <c r="C53" i="1"/>
  <c r="F53" i="1" s="1"/>
  <c r="C56" i="1"/>
  <c r="F56" i="1" s="1"/>
  <c r="E55" i="1"/>
  <c r="C55" i="1"/>
  <c r="S56" i="1"/>
  <c r="H53" i="1"/>
  <c r="L53" i="1" s="1"/>
  <c r="H52" i="1"/>
  <c r="L52" i="1" s="1"/>
  <c r="H51" i="1"/>
  <c r="L51" i="1" s="1"/>
  <c r="H50" i="1"/>
  <c r="L50" i="1" s="1"/>
  <c r="H49" i="1"/>
  <c r="L49" i="1" s="1"/>
  <c r="H48" i="1"/>
  <c r="L48" i="1" s="1"/>
  <c r="H47" i="1"/>
  <c r="L47" i="1" s="1"/>
  <c r="N558" i="2"/>
  <c r="N557" i="2"/>
  <c r="N556" i="2"/>
  <c r="D561" i="2"/>
  <c r="N553" i="2"/>
  <c r="D582" i="2"/>
  <c r="D555" i="2"/>
  <c r="C198" i="1"/>
  <c r="F198" i="1" s="1"/>
  <c r="C199" i="1"/>
  <c r="C200" i="1"/>
  <c r="C201" i="1"/>
  <c r="C202" i="1"/>
  <c r="C203" i="1"/>
  <c r="F203" i="1" s="1"/>
  <c r="C205" i="1"/>
  <c r="C183" i="1"/>
  <c r="F183" i="1" s="1"/>
  <c r="C184" i="1"/>
  <c r="F184" i="1" s="1"/>
  <c r="C185" i="1"/>
  <c r="C186" i="1"/>
  <c r="C187" i="1"/>
  <c r="C188" i="1"/>
  <c r="C190" i="1"/>
  <c r="C182" i="1"/>
  <c r="R206" i="1"/>
  <c r="S25" i="10"/>
  <c r="R25" i="10"/>
  <c r="R26" i="10" s="1"/>
  <c r="H23" i="10"/>
  <c r="Q22" i="10"/>
  <c r="L21" i="10"/>
  <c r="I21" i="10"/>
  <c r="C21" i="10"/>
  <c r="F21" i="10" s="1"/>
  <c r="A21" i="10"/>
  <c r="A423" i="2" s="1"/>
  <c r="E436" i="2" s="1"/>
  <c r="L20" i="10"/>
  <c r="I20" i="10"/>
  <c r="C20" i="10"/>
  <c r="F20" i="10" s="1"/>
  <c r="A20" i="10"/>
  <c r="L19" i="10"/>
  <c r="I19" i="10"/>
  <c r="C19" i="10"/>
  <c r="F19" i="10" s="1"/>
  <c r="A19" i="10"/>
  <c r="A412" i="2" s="1"/>
  <c r="E416" i="2" s="1"/>
  <c r="L18" i="10"/>
  <c r="I18" i="10"/>
  <c r="C18" i="10"/>
  <c r="F18" i="10" s="1"/>
  <c r="A18" i="10"/>
  <c r="L17" i="10"/>
  <c r="I17" i="10"/>
  <c r="D425" i="2" s="1"/>
  <c r="C17" i="10"/>
  <c r="F17" i="10" s="1"/>
  <c r="A17" i="10"/>
  <c r="L16" i="10"/>
  <c r="I16" i="10"/>
  <c r="D424" i="2" s="1"/>
  <c r="C16" i="10"/>
  <c r="F16" i="10" s="1"/>
  <c r="A16" i="10"/>
  <c r="E79" i="8"/>
  <c r="F79" i="8" s="1"/>
  <c r="G79" i="8" s="1"/>
  <c r="E78" i="8"/>
  <c r="F78" i="8" s="1"/>
  <c r="G78" i="8" s="1"/>
  <c r="F77" i="8"/>
  <c r="G77" i="8" s="1"/>
  <c r="R176" i="1"/>
  <c r="E12" i="10"/>
  <c r="F9" i="10" s="1"/>
  <c r="E11" i="10"/>
  <c r="E10" i="10"/>
  <c r="E6" i="10"/>
  <c r="E4" i="10"/>
  <c r="C6" i="10"/>
  <c r="C5" i="10"/>
  <c r="H5" i="10" s="1"/>
  <c r="C4" i="10"/>
  <c r="C89" i="4"/>
  <c r="D60" i="4"/>
  <c r="E89" i="4"/>
  <c r="E76" i="8"/>
  <c r="F76" i="8" s="1"/>
  <c r="G76" i="8" s="1"/>
  <c r="E75" i="8"/>
  <c r="F75" i="8" s="1"/>
  <c r="G75" i="8" s="1"/>
  <c r="E74" i="8"/>
  <c r="F74" i="8" s="1"/>
  <c r="G74" i="8" s="1"/>
  <c r="E73" i="8"/>
  <c r="F73" i="8" s="1"/>
  <c r="G73" i="8" s="1"/>
  <c r="E72" i="8"/>
  <c r="G72" i="8" s="1"/>
  <c r="D427" i="2"/>
  <c r="D426" i="2"/>
  <c r="D428" i="2" a="1"/>
  <c r="A428" i="2" a="1"/>
  <c r="A428" i="2" s="1"/>
  <c r="A427" i="2"/>
  <c r="A426" i="2"/>
  <c r="A425" i="2"/>
  <c r="A424" i="2"/>
  <c r="A419" i="2"/>
  <c r="A418" i="2"/>
  <c r="A417" i="2"/>
  <c r="E422" i="2" s="1"/>
  <c r="A415" i="2"/>
  <c r="A420" i="2" s="1"/>
  <c r="A414" i="2"/>
  <c r="A421" i="2" s="1"/>
  <c r="A413" i="2"/>
  <c r="A411" i="2"/>
  <c r="E71" i="8"/>
  <c r="F71" i="8" s="1"/>
  <c r="G71" i="8" s="1"/>
  <c r="E68" i="8"/>
  <c r="F68" i="8" s="1"/>
  <c r="G68" i="8" s="1"/>
  <c r="E70" i="8"/>
  <c r="F70" i="8" s="1"/>
  <c r="G70" i="8" s="1"/>
  <c r="E69" i="8"/>
  <c r="F69" i="8" s="1"/>
  <c r="G69" i="8" s="1"/>
  <c r="E67" i="8"/>
  <c r="F67" i="8" s="1"/>
  <c r="G67" i="8" s="1"/>
  <c r="E66" i="8"/>
  <c r="F66" i="8" s="1"/>
  <c r="G66" i="8" s="1"/>
  <c r="E65" i="8"/>
  <c r="F65" i="8" s="1"/>
  <c r="C123" i="1"/>
  <c r="C124" i="1"/>
  <c r="F124" i="1" s="1"/>
  <c r="E348" i="2" s="1"/>
  <c r="G348" i="2" s="1"/>
  <c r="C125" i="1"/>
  <c r="F125" i="1" s="1"/>
  <c r="C126" i="1"/>
  <c r="F126" i="1" s="1"/>
  <c r="C127" i="1"/>
  <c r="F127" i="1" s="1"/>
  <c r="C128" i="1"/>
  <c r="F128" i="1" s="1"/>
  <c r="E370" i="2" s="1"/>
  <c r="G370" i="2" s="1"/>
  <c r="C122" i="1"/>
  <c r="F122" i="1" s="1"/>
  <c r="E62" i="8"/>
  <c r="F62" i="8" s="1"/>
  <c r="G62" i="8" s="1"/>
  <c r="D63" i="8"/>
  <c r="E63" i="8" s="1"/>
  <c r="E510" i="2"/>
  <c r="E504" i="2"/>
  <c r="E500" i="2"/>
  <c r="E495" i="2"/>
  <c r="E490" i="2"/>
  <c r="E486" i="2"/>
  <c r="J485" i="2"/>
  <c r="J484" i="2"/>
  <c r="J483" i="2"/>
  <c r="J482" i="2"/>
  <c r="N481" i="2"/>
  <c r="J481" i="2"/>
  <c r="J480" i="2"/>
  <c r="E480" i="2"/>
  <c r="J479" i="2"/>
  <c r="J478" i="2"/>
  <c r="J477" i="2"/>
  <c r="I143" i="1"/>
  <c r="I158" i="1" s="1"/>
  <c r="J158" i="1" s="1"/>
  <c r="I142" i="1"/>
  <c r="I157" i="1" s="1"/>
  <c r="J157" i="1" s="1"/>
  <c r="I141" i="1"/>
  <c r="I156" i="1" s="1"/>
  <c r="I140" i="1"/>
  <c r="I155" i="1" s="1"/>
  <c r="I139" i="1"/>
  <c r="I154" i="1" s="1"/>
  <c r="J154" i="1" s="1"/>
  <c r="I138" i="1"/>
  <c r="I153" i="1" s="1"/>
  <c r="J153" i="1" s="1"/>
  <c r="I137" i="1"/>
  <c r="I152" i="1" s="1"/>
  <c r="J152" i="1" s="1"/>
  <c r="E488" i="2"/>
  <c r="G488" i="2" s="1"/>
  <c r="E477" i="2"/>
  <c r="G477" i="2" s="1"/>
  <c r="E621" i="2"/>
  <c r="E616" i="2"/>
  <c r="E610" i="2"/>
  <c r="E604" i="2"/>
  <c r="E599" i="2"/>
  <c r="J596" i="2"/>
  <c r="J595" i="2"/>
  <c r="J594" i="2"/>
  <c r="E594" i="2"/>
  <c r="J593" i="2"/>
  <c r="J592" i="2"/>
  <c r="J591" i="2"/>
  <c r="J590" i="2"/>
  <c r="E590" i="2"/>
  <c r="J589" i="2"/>
  <c r="J588" i="2"/>
  <c r="S206" i="1"/>
  <c r="E206" i="1"/>
  <c r="F206" i="1" s="1"/>
  <c r="E205" i="1"/>
  <c r="L203" i="1"/>
  <c r="I203" i="1"/>
  <c r="L202" i="1"/>
  <c r="I202" i="1"/>
  <c r="L201" i="1"/>
  <c r="I201" i="1"/>
  <c r="L200" i="1"/>
  <c r="I200" i="1"/>
  <c r="F200" i="1"/>
  <c r="L199" i="1"/>
  <c r="I199" i="1"/>
  <c r="L198" i="1"/>
  <c r="I198" i="1"/>
  <c r="I197" i="1"/>
  <c r="E584" i="2"/>
  <c r="E579" i="2"/>
  <c r="E573" i="2"/>
  <c r="E567" i="2"/>
  <c r="E562" i="2"/>
  <c r="J559" i="2"/>
  <c r="J558" i="2"/>
  <c r="J557" i="2"/>
  <c r="E557" i="2"/>
  <c r="J556" i="2"/>
  <c r="J555" i="2"/>
  <c r="J554" i="2"/>
  <c r="J553" i="2"/>
  <c r="E553" i="2"/>
  <c r="J552" i="2"/>
  <c r="J551" i="2"/>
  <c r="R191" i="1"/>
  <c r="T185" i="1" s="1"/>
  <c r="I188" i="1"/>
  <c r="I187" i="1"/>
  <c r="I186" i="1"/>
  <c r="I185" i="1"/>
  <c r="I184" i="1"/>
  <c r="I183" i="1"/>
  <c r="I182" i="1"/>
  <c r="I173" i="1"/>
  <c r="I172" i="1"/>
  <c r="I171" i="1"/>
  <c r="I170" i="1"/>
  <c r="I169" i="1"/>
  <c r="I168" i="1"/>
  <c r="I167" i="1"/>
  <c r="S191" i="1"/>
  <c r="E191" i="1"/>
  <c r="F191" i="1" s="1"/>
  <c r="L188" i="1"/>
  <c r="L187" i="1"/>
  <c r="L186" i="1"/>
  <c r="L185" i="1"/>
  <c r="L184" i="1"/>
  <c r="L183" i="1"/>
  <c r="E61" i="8"/>
  <c r="F61" i="8" s="1"/>
  <c r="G61" i="8" s="1"/>
  <c r="E60" i="8"/>
  <c r="F60" i="8" s="1"/>
  <c r="G60" i="8" s="1"/>
  <c r="E59" i="8"/>
  <c r="F59" i="8" s="1"/>
  <c r="G59" i="8" s="1"/>
  <c r="E58" i="8"/>
  <c r="F58" i="8" s="1"/>
  <c r="G58" i="8" s="1"/>
  <c r="E57" i="8"/>
  <c r="F57" i="8" s="1"/>
  <c r="G57" i="8" s="1"/>
  <c r="E56" i="8"/>
  <c r="F56" i="8" s="1"/>
  <c r="G56" i="8" s="1"/>
  <c r="E55" i="8"/>
  <c r="F55" i="8" s="1"/>
  <c r="G55" i="8" s="1"/>
  <c r="E54" i="8"/>
  <c r="F54" i="8" s="1"/>
  <c r="G54" i="8" s="1"/>
  <c r="E53" i="8"/>
  <c r="F53" i="8" s="1"/>
  <c r="G53" i="8" s="1"/>
  <c r="E52" i="8"/>
  <c r="F52" i="8" s="1"/>
  <c r="G52" i="8" s="1"/>
  <c r="E51" i="8"/>
  <c r="F51" i="8" s="1"/>
  <c r="G51" i="8" s="1"/>
  <c r="E409" i="2"/>
  <c r="E405" i="2"/>
  <c r="E399" i="2"/>
  <c r="E393" i="2"/>
  <c r="E388" i="2"/>
  <c r="J384" i="2"/>
  <c r="J383" i="2"/>
  <c r="E383" i="2"/>
  <c r="J382" i="2"/>
  <c r="J381" i="2"/>
  <c r="J380" i="2"/>
  <c r="J379" i="2"/>
  <c r="J378" i="2"/>
  <c r="E378" i="2"/>
  <c r="J377" i="2"/>
  <c r="J376" i="2"/>
  <c r="E372" i="2"/>
  <c r="E368" i="2"/>
  <c r="E362" i="2"/>
  <c r="E356" i="2"/>
  <c r="E351" i="2"/>
  <c r="J347" i="2"/>
  <c r="J346" i="2"/>
  <c r="E346" i="2"/>
  <c r="J345" i="2"/>
  <c r="J344" i="2"/>
  <c r="J343" i="2"/>
  <c r="J342" i="2"/>
  <c r="J341" i="2"/>
  <c r="E341" i="2"/>
  <c r="J340" i="2"/>
  <c r="J339" i="2"/>
  <c r="R131" i="1"/>
  <c r="S131" i="1"/>
  <c r="C131" i="1"/>
  <c r="C130" i="1"/>
  <c r="L128" i="1"/>
  <c r="L127" i="1"/>
  <c r="L126" i="1"/>
  <c r="L125" i="1"/>
  <c r="L124" i="1"/>
  <c r="L123" i="1"/>
  <c r="L122" i="1"/>
  <c r="E50" i="8"/>
  <c r="F50" i="8" s="1"/>
  <c r="G50" i="8" s="1"/>
  <c r="E49" i="8"/>
  <c r="F49" i="8" s="1"/>
  <c r="G49" i="8" s="1"/>
  <c r="E45" i="8"/>
  <c r="F45" i="8" s="1"/>
  <c r="G45" i="8" s="1"/>
  <c r="E46" i="8"/>
  <c r="F46" i="8" s="1"/>
  <c r="G46" i="8" s="1"/>
  <c r="E47" i="8"/>
  <c r="F47" i="8" s="1"/>
  <c r="G47" i="8" s="1"/>
  <c r="E48" i="8"/>
  <c r="F48" i="8" s="1"/>
  <c r="G48" i="8" s="1"/>
  <c r="E44" i="8"/>
  <c r="F44" i="8" s="1"/>
  <c r="G44" i="8" s="1"/>
  <c r="C21" i="1"/>
  <c r="E43" i="8"/>
  <c r="F43" i="8" s="1"/>
  <c r="G43" i="8" s="1"/>
  <c r="E42" i="8"/>
  <c r="F42" i="8" s="1"/>
  <c r="G42" i="8" s="1"/>
  <c r="E41" i="8"/>
  <c r="F41" i="8" s="1"/>
  <c r="G41" i="8" s="1"/>
  <c r="E40" i="8"/>
  <c r="F40" i="8" s="1"/>
  <c r="G40" i="8" s="1"/>
  <c r="E39" i="8"/>
  <c r="F39" i="8" s="1"/>
  <c r="G39" i="8" s="1"/>
  <c r="E38" i="8"/>
  <c r="F38" i="8" s="1"/>
  <c r="G38" i="8" s="1"/>
  <c r="E37" i="8"/>
  <c r="F37" i="8" s="1"/>
  <c r="G37" i="8" s="1"/>
  <c r="E36" i="8"/>
  <c r="F36" i="8" s="1"/>
  <c r="G36" i="8" s="1"/>
  <c r="E35" i="8"/>
  <c r="F35" i="8" s="1"/>
  <c r="G35" i="8" s="1"/>
  <c r="E34" i="8"/>
  <c r="F34" i="8" s="1"/>
  <c r="G34" i="8" s="1"/>
  <c r="E33" i="8"/>
  <c r="F33" i="8" s="1"/>
  <c r="G33" i="8" s="1"/>
  <c r="E32" i="8"/>
  <c r="F32" i="8" s="1"/>
  <c r="G32" i="8" s="1"/>
  <c r="E31" i="8"/>
  <c r="F31" i="8" s="1"/>
  <c r="E30" i="8"/>
  <c r="F30" i="8" s="1"/>
  <c r="G30" i="8" s="1"/>
  <c r="C26" i="1"/>
  <c r="E27" i="8"/>
  <c r="F27" i="8" s="1"/>
  <c r="G27" i="8" s="1"/>
  <c r="E28" i="8"/>
  <c r="F28" i="8" s="1"/>
  <c r="G28" i="8" s="1"/>
  <c r="E29" i="8"/>
  <c r="F29" i="8" s="1"/>
  <c r="G29" i="8" s="1"/>
  <c r="E26" i="8"/>
  <c r="F26" i="8" s="1"/>
  <c r="G26" i="8" s="1"/>
  <c r="E24" i="8"/>
  <c r="F24" i="8" s="1"/>
  <c r="G24" i="8" s="1"/>
  <c r="E25" i="8"/>
  <c r="F25" i="8" s="1"/>
  <c r="G25" i="8" s="1"/>
  <c r="E23" i="8"/>
  <c r="F23" i="8" s="1"/>
  <c r="G23" i="8" s="1"/>
  <c r="E22" i="8"/>
  <c r="F22" i="8" s="1"/>
  <c r="G22" i="8" s="1"/>
  <c r="E21" i="8"/>
  <c r="F21" i="8" s="1"/>
  <c r="G21" i="8" s="1"/>
  <c r="E20" i="8"/>
  <c r="F20" i="8" s="1"/>
  <c r="G20" i="8" s="1"/>
  <c r="E19" i="8"/>
  <c r="F19" i="8" s="1"/>
  <c r="G19" i="8" s="1"/>
  <c r="E18" i="8"/>
  <c r="F18" i="8" s="1"/>
  <c r="G20" i="1"/>
  <c r="E335" i="2"/>
  <c r="E331" i="2"/>
  <c r="E325" i="2"/>
  <c r="E319" i="2"/>
  <c r="E314" i="2"/>
  <c r="J310" i="2"/>
  <c r="J309" i="2"/>
  <c r="E309" i="2"/>
  <c r="J308" i="2"/>
  <c r="J307" i="2"/>
  <c r="J306" i="2"/>
  <c r="J305" i="2"/>
  <c r="J304" i="2"/>
  <c r="E304" i="2"/>
  <c r="J303" i="2"/>
  <c r="J302" i="2"/>
  <c r="R116" i="1"/>
  <c r="C138" i="1"/>
  <c r="C139" i="1"/>
  <c r="F139" i="1" s="1"/>
  <c r="C140" i="1"/>
  <c r="C141" i="1"/>
  <c r="C142" i="1"/>
  <c r="C143" i="1"/>
  <c r="C137" i="1"/>
  <c r="F137" i="1" s="1"/>
  <c r="C107" i="1"/>
  <c r="F107" i="1" s="1"/>
  <c r="C108" i="1"/>
  <c r="F108" i="1" s="1"/>
  <c r="C109" i="1"/>
  <c r="F109" i="1" s="1"/>
  <c r="C110" i="1"/>
  <c r="F110" i="1" s="1"/>
  <c r="C111" i="1"/>
  <c r="F111" i="1" s="1"/>
  <c r="C112" i="1"/>
  <c r="F112" i="1" s="1"/>
  <c r="C113" i="1"/>
  <c r="F113" i="1" s="1"/>
  <c r="C79" i="1"/>
  <c r="F79" i="1" s="1"/>
  <c r="E236" i="2" s="1"/>
  <c r="G236" i="2" s="1"/>
  <c r="C80" i="1"/>
  <c r="F80" i="1" s="1"/>
  <c r="E241" i="2" s="1"/>
  <c r="G241" i="2" s="1"/>
  <c r="C81" i="1"/>
  <c r="F81" i="1" s="1"/>
  <c r="E246" i="2" s="1"/>
  <c r="G246" i="2" s="1"/>
  <c r="C82" i="1"/>
  <c r="F82" i="1" s="1"/>
  <c r="E252" i="2" s="1"/>
  <c r="G252" i="2" s="1"/>
  <c r="C83" i="1"/>
  <c r="F83" i="1" s="1"/>
  <c r="E258" i="2" s="1"/>
  <c r="G258" i="2" s="1"/>
  <c r="C63" i="1"/>
  <c r="F63" i="1" s="1"/>
  <c r="C64" i="1"/>
  <c r="F64" i="1" s="1"/>
  <c r="C65" i="1"/>
  <c r="F65" i="1" s="1"/>
  <c r="C66" i="1"/>
  <c r="F66" i="1" s="1"/>
  <c r="C67" i="1"/>
  <c r="F67" i="1" s="1"/>
  <c r="C68" i="1"/>
  <c r="F68" i="1" s="1"/>
  <c r="C62" i="1"/>
  <c r="F62" i="1" s="1"/>
  <c r="C35" i="1"/>
  <c r="C36" i="1"/>
  <c r="C37" i="1"/>
  <c r="F37" i="1" s="1"/>
  <c r="C38" i="1"/>
  <c r="C39" i="1"/>
  <c r="C33" i="1"/>
  <c r="F33" i="1" s="1"/>
  <c r="E115" i="2" s="1"/>
  <c r="G115" i="2" s="1"/>
  <c r="C34" i="1"/>
  <c r="C19" i="1"/>
  <c r="S116" i="1"/>
  <c r="C116" i="1"/>
  <c r="C115" i="1"/>
  <c r="L113" i="1"/>
  <c r="L112" i="1"/>
  <c r="L111" i="1"/>
  <c r="L110" i="1"/>
  <c r="L109" i="1"/>
  <c r="L108" i="1"/>
  <c r="L107" i="1"/>
  <c r="J19" i="2"/>
  <c r="J18" i="2"/>
  <c r="J17" i="2"/>
  <c r="E16" i="8"/>
  <c r="F16" i="8" s="1"/>
  <c r="G16" i="8" s="1"/>
  <c r="E15" i="8"/>
  <c r="F15" i="8" s="1"/>
  <c r="G15" i="8" s="1"/>
  <c r="E14" i="8"/>
  <c r="F14" i="8" s="1"/>
  <c r="G14" i="8" s="1"/>
  <c r="F13" i="8"/>
  <c r="G13" i="8" s="1"/>
  <c r="F12" i="8"/>
  <c r="G12" i="8" s="1"/>
  <c r="F11" i="8"/>
  <c r="G11" i="8" s="1"/>
  <c r="F9" i="8"/>
  <c r="G9" i="8" s="1"/>
  <c r="E8" i="8"/>
  <c r="F8" i="8" s="1"/>
  <c r="G8" i="8" s="1"/>
  <c r="F40" i="4"/>
  <c r="G40" i="4" s="1"/>
  <c r="F39" i="4"/>
  <c r="G39" i="4" s="1"/>
  <c r="F38" i="4"/>
  <c r="G38" i="4" s="1"/>
  <c r="F37" i="4"/>
  <c r="G37" i="4" s="1"/>
  <c r="F36" i="4"/>
  <c r="G36" i="4" s="1"/>
  <c r="H36" i="4"/>
  <c r="H37" i="4"/>
  <c r="H41" i="4"/>
  <c r="H42" i="4"/>
  <c r="C7" i="8"/>
  <c r="F7" i="8" s="1"/>
  <c r="G7" i="8" s="1"/>
  <c r="F10" i="8"/>
  <c r="G10" i="8" s="1"/>
  <c r="G32" i="9"/>
  <c r="G31" i="9"/>
  <c r="G30" i="9"/>
  <c r="C32" i="9"/>
  <c r="C31" i="9"/>
  <c r="L28" i="9" s="1"/>
  <c r="C30" i="9"/>
  <c r="H18" i="9"/>
  <c r="G21" i="9"/>
  <c r="G20" i="9"/>
  <c r="E19" i="9"/>
  <c r="I19" i="9" s="1"/>
  <c r="F19" i="9"/>
  <c r="F29" i="9" s="1"/>
  <c r="G27" i="9"/>
  <c r="G24" i="9"/>
  <c r="C21" i="9"/>
  <c r="L26" i="9" s="1"/>
  <c r="C20" i="9"/>
  <c r="H2" i="9"/>
  <c r="G15" i="9"/>
  <c r="G26" i="9" s="1"/>
  <c r="G14" i="9"/>
  <c r="G25" i="9" s="1"/>
  <c r="E3" i="9"/>
  <c r="I3" i="9" s="1"/>
  <c r="F3" i="9"/>
  <c r="F8" i="9" s="1"/>
  <c r="F11" i="9" s="1"/>
  <c r="H11" i="9" s="1"/>
  <c r="K13" i="9"/>
  <c r="M13" i="9" s="1"/>
  <c r="F6" i="8"/>
  <c r="G6" i="8" s="1"/>
  <c r="G18" i="1"/>
  <c r="C4" i="1"/>
  <c r="E5" i="8"/>
  <c r="F5" i="8" s="1"/>
  <c r="G5" i="8" s="1"/>
  <c r="G289" i="2" l="1"/>
  <c r="E290" i="2"/>
  <c r="G290" i="2" s="1"/>
  <c r="E292" i="2"/>
  <c r="G292" i="2" s="1"/>
  <c r="E291" i="2"/>
  <c r="G291" i="2" s="1"/>
  <c r="G264" i="2"/>
  <c r="J155" i="1"/>
  <c r="J156" i="1"/>
  <c r="E286" i="2"/>
  <c r="G286" i="2" s="1"/>
  <c r="G283" i="2"/>
  <c r="F123" i="1"/>
  <c r="E343" i="2" s="1"/>
  <c r="N41" i="11"/>
  <c r="L42" i="11"/>
  <c r="T124" i="1"/>
  <c r="T125" i="1"/>
  <c r="R117" i="1"/>
  <c r="T110" i="1"/>
  <c r="M266" i="2"/>
  <c r="R266" i="2"/>
  <c r="M267" i="2"/>
  <c r="R267" i="2"/>
  <c r="M270" i="2"/>
  <c r="R270" i="2"/>
  <c r="T198" i="1"/>
  <c r="T200" i="1"/>
  <c r="R177" i="1"/>
  <c r="T170" i="1"/>
  <c r="R57" i="1"/>
  <c r="T50" i="1"/>
  <c r="E284" i="2"/>
  <c r="G284" i="2" s="1"/>
  <c r="K271" i="2" s="1"/>
  <c r="K264" i="2"/>
  <c r="K265" i="2"/>
  <c r="K268" i="2"/>
  <c r="E350" i="2"/>
  <c r="G350" i="2" s="1"/>
  <c r="E371" i="2"/>
  <c r="G371" i="2" s="1"/>
  <c r="D428" i="2"/>
  <c r="J18" i="10"/>
  <c r="M18" i="10" s="1"/>
  <c r="O18" i="10" s="1"/>
  <c r="Q18" i="10" s="1"/>
  <c r="K67" i="11"/>
  <c r="U43" i="11"/>
  <c r="M46" i="11"/>
  <c r="U49" i="11"/>
  <c r="K12" i="11"/>
  <c r="U46" i="11"/>
  <c r="E483" i="2"/>
  <c r="J161" i="1"/>
  <c r="F55" i="1"/>
  <c r="H55" i="1" s="1"/>
  <c r="T46" i="1" s="1"/>
  <c r="E499" i="2"/>
  <c r="G499" i="2" s="1"/>
  <c r="E489" i="2"/>
  <c r="G489" i="2" s="1"/>
  <c r="E503" i="2"/>
  <c r="G503" i="2" s="1"/>
  <c r="E478" i="2"/>
  <c r="G52" i="4"/>
  <c r="H40" i="4"/>
  <c r="H49" i="4"/>
  <c r="H52" i="4" s="1"/>
  <c r="J106" i="8"/>
  <c r="F202" i="1"/>
  <c r="J202" i="1" s="1"/>
  <c r="F201" i="1"/>
  <c r="E606" i="2" s="1"/>
  <c r="G606" i="2" s="1"/>
  <c r="F199" i="1"/>
  <c r="J199" i="1" s="1"/>
  <c r="F187" i="1"/>
  <c r="L66" i="11" s="1"/>
  <c r="F188" i="1"/>
  <c r="L72" i="11" s="1"/>
  <c r="N72" i="11" s="1"/>
  <c r="F182" i="1"/>
  <c r="E551" i="2" s="1"/>
  <c r="G551" i="2" s="1"/>
  <c r="F185" i="1"/>
  <c r="L56" i="11" s="1"/>
  <c r="K68" i="11"/>
  <c r="G18" i="8"/>
  <c r="G65" i="8"/>
  <c r="F80" i="8"/>
  <c r="E64" i="8" a="1"/>
  <c r="E64" i="8" s="1"/>
  <c r="E80" i="8" a="1"/>
  <c r="E80" i="8" s="1"/>
  <c r="J110" i="8"/>
  <c r="K110" i="8"/>
  <c r="J124" i="8"/>
  <c r="K124" i="8"/>
  <c r="N555" i="2"/>
  <c r="K51" i="11"/>
  <c r="K59" i="11"/>
  <c r="M59" i="11" s="1"/>
  <c r="K54" i="11"/>
  <c r="M54" i="11" s="1"/>
  <c r="E183" i="2"/>
  <c r="G183" i="2" s="1"/>
  <c r="E177" i="2"/>
  <c r="G177" i="2" s="1"/>
  <c r="F186" i="1"/>
  <c r="C3" i="11"/>
  <c r="F4" i="1"/>
  <c r="F3" i="11" s="1"/>
  <c r="T183" i="1"/>
  <c r="R192" i="1"/>
  <c r="G31" i="8"/>
  <c r="F63" i="8"/>
  <c r="G63" i="8" s="1"/>
  <c r="F20" i="9"/>
  <c r="F30" i="9" s="1"/>
  <c r="H30" i="9" s="1"/>
  <c r="F22" i="9"/>
  <c r="H22" i="9" s="1"/>
  <c r="F35" i="9"/>
  <c r="E29" i="9"/>
  <c r="I29" i="9" s="1"/>
  <c r="H20" i="9"/>
  <c r="F21" i="9"/>
  <c r="F31" i="9" s="1"/>
  <c r="H31" i="9" s="1"/>
  <c r="F32" i="9"/>
  <c r="H32" i="9" s="1"/>
  <c r="J16" i="10"/>
  <c r="M16" i="10" s="1"/>
  <c r="T18" i="10"/>
  <c r="T48" i="1"/>
  <c r="D583" i="2"/>
  <c r="D559" i="2"/>
  <c r="H38" i="4"/>
  <c r="T49" i="1"/>
  <c r="J17" i="10"/>
  <c r="M17" i="10" s="1"/>
  <c r="O17" i="10" s="1"/>
  <c r="Q17" i="10" s="1"/>
  <c r="T17" i="10"/>
  <c r="F90" i="4"/>
  <c r="N551" i="2"/>
  <c r="N552" i="2"/>
  <c r="N554" i="2"/>
  <c r="N559" i="2"/>
  <c r="E413" i="2"/>
  <c r="G413" i="2" s="1"/>
  <c r="J19" i="10"/>
  <c r="E418" i="2"/>
  <c r="G418" i="2" s="1"/>
  <c r="J20" i="10"/>
  <c r="J21" i="10"/>
  <c r="E424" i="2"/>
  <c r="G424" i="2" s="1"/>
  <c r="F205" i="1"/>
  <c r="F6" i="10"/>
  <c r="F190" i="1"/>
  <c r="H190" i="1" s="1"/>
  <c r="T181" i="1" s="1"/>
  <c r="F4" i="10"/>
  <c r="F89" i="4"/>
  <c r="E353" i="2"/>
  <c r="G353" i="2" s="1"/>
  <c r="E364" i="2"/>
  <c r="G364" i="2" s="1"/>
  <c r="E507" i="2"/>
  <c r="G507" i="2" s="1"/>
  <c r="E493" i="2"/>
  <c r="G493" i="2" s="1"/>
  <c r="E494" i="2"/>
  <c r="G494" i="2" s="1"/>
  <c r="E618" i="2"/>
  <c r="G618" i="2" s="1"/>
  <c r="E588" i="2"/>
  <c r="G588" i="2" s="1"/>
  <c r="E321" i="2"/>
  <c r="G321" i="2" s="1"/>
  <c r="E316" i="2"/>
  <c r="G316" i="2" s="1"/>
  <c r="E311" i="2"/>
  <c r="G311" i="2" s="1"/>
  <c r="E306" i="2"/>
  <c r="G306" i="2" s="1"/>
  <c r="E302" i="2"/>
  <c r="G302" i="2" s="1"/>
  <c r="E333" i="2"/>
  <c r="G333" i="2" s="1"/>
  <c r="E327" i="2"/>
  <c r="G327" i="2" s="1"/>
  <c r="E339" i="2"/>
  <c r="G339" i="2" s="1"/>
  <c r="R132" i="1"/>
  <c r="T199" i="1"/>
  <c r="E358" i="2"/>
  <c r="G358" i="2" s="1"/>
  <c r="E509" i="2"/>
  <c r="G509" i="2" s="1"/>
  <c r="E484" i="2"/>
  <c r="G484" i="2" s="1"/>
  <c r="E498" i="2"/>
  <c r="G498" i="2" s="1"/>
  <c r="J200" i="1"/>
  <c r="E601" i="2"/>
  <c r="G601" i="2" s="1"/>
  <c r="J203" i="1"/>
  <c r="R207" i="1"/>
  <c r="T184" i="1"/>
  <c r="T123" i="1"/>
  <c r="T168" i="1"/>
  <c r="D58" i="3"/>
  <c r="D62" i="3"/>
  <c r="E349" i="2"/>
  <c r="G349" i="2" s="1"/>
  <c r="T108" i="1"/>
  <c r="T169" i="1"/>
  <c r="T109" i="1"/>
  <c r="H39" i="4"/>
  <c r="M18" i="2"/>
  <c r="O18" i="2" s="1"/>
  <c r="M19" i="2"/>
  <c r="O19" i="2" s="1"/>
  <c r="E8" i="9"/>
  <c r="I8" i="9" s="1"/>
  <c r="F5" i="9"/>
  <c r="H5" i="9" s="1"/>
  <c r="F4" i="9"/>
  <c r="H4" i="9" s="1"/>
  <c r="F6" i="9"/>
  <c r="H6" i="9" s="1"/>
  <c r="F10" i="9"/>
  <c r="H10" i="9" s="1"/>
  <c r="F13" i="9"/>
  <c r="F24" i="9" s="1"/>
  <c r="F9" i="9"/>
  <c r="H9" i="9" s="1"/>
  <c r="J48" i="6"/>
  <c r="H48" i="6"/>
  <c r="H47" i="6"/>
  <c r="E4" i="8"/>
  <c r="E17" i="8" s="1" a="1"/>
  <c r="E17" i="8" s="1"/>
  <c r="C12" i="1"/>
  <c r="C11" i="11" s="1"/>
  <c r="C11" i="1"/>
  <c r="C9" i="1"/>
  <c r="C8" i="1"/>
  <c r="C7" i="1"/>
  <c r="C6" i="1"/>
  <c r="C5" i="1"/>
  <c r="C18" i="1"/>
  <c r="F18" i="1" s="1"/>
  <c r="G19" i="1"/>
  <c r="F3" i="8"/>
  <c r="G3" i="8" s="1"/>
  <c r="D535" i="2"/>
  <c r="D533" i="2"/>
  <c r="N521" i="2" s="1"/>
  <c r="D529" i="2"/>
  <c r="D528" i="2"/>
  <c r="D524" i="2"/>
  <c r="D523" i="2"/>
  <c r="D519" i="2"/>
  <c r="D515" i="2"/>
  <c r="D514" i="2"/>
  <c r="J522" i="2"/>
  <c r="J521" i="2"/>
  <c r="J520" i="2"/>
  <c r="J519" i="2"/>
  <c r="J518" i="2"/>
  <c r="J517" i="2"/>
  <c r="J516" i="2"/>
  <c r="J515" i="2"/>
  <c r="J514" i="2"/>
  <c r="E547" i="2"/>
  <c r="E536" i="2"/>
  <c r="E530" i="2"/>
  <c r="E525" i="2"/>
  <c r="E542" i="2"/>
  <c r="E520" i="2"/>
  <c r="E516" i="2"/>
  <c r="S176" i="1"/>
  <c r="L173" i="1"/>
  <c r="L172" i="1"/>
  <c r="L171" i="1"/>
  <c r="L170" i="1"/>
  <c r="L169" i="1"/>
  <c r="L168" i="1"/>
  <c r="E518" i="2"/>
  <c r="G518" i="2" s="1"/>
  <c r="E522" i="2"/>
  <c r="G522" i="2" s="1"/>
  <c r="E527" i="2"/>
  <c r="G527" i="2" s="1"/>
  <c r="E532" i="2"/>
  <c r="G532" i="2" s="1"/>
  <c r="E538" i="2"/>
  <c r="G538" i="2" s="1"/>
  <c r="E544" i="2"/>
  <c r="G544" i="2" s="1"/>
  <c r="E514" i="2"/>
  <c r="G514" i="2" s="1"/>
  <c r="E110" i="2"/>
  <c r="A109" i="2"/>
  <c r="E106" i="2"/>
  <c r="A104" i="2"/>
  <c r="A103" i="2"/>
  <c r="E100" i="2"/>
  <c r="E95" i="2"/>
  <c r="A92" i="2"/>
  <c r="E89" i="2"/>
  <c r="A87" i="2"/>
  <c r="J85" i="2"/>
  <c r="J84" i="2"/>
  <c r="E84" i="2"/>
  <c r="J83" i="2"/>
  <c r="J82" i="2"/>
  <c r="J81" i="2"/>
  <c r="A81" i="2"/>
  <c r="A86" i="2" s="1"/>
  <c r="A91" i="2" s="1"/>
  <c r="A97" i="2" s="1"/>
  <c r="A102" i="2" s="1"/>
  <c r="A108" i="2" s="1"/>
  <c r="J80" i="2"/>
  <c r="J79" i="2"/>
  <c r="E79" i="2"/>
  <c r="J78" i="2"/>
  <c r="J77" i="2"/>
  <c r="R27" i="1"/>
  <c r="T21" i="1" s="1"/>
  <c r="F2" i="8"/>
  <c r="E19" i="5"/>
  <c r="F20" i="5"/>
  <c r="F19" i="5"/>
  <c r="E21" i="5"/>
  <c r="D74" i="4"/>
  <c r="D75" i="4"/>
  <c r="F75" i="4" s="1"/>
  <c r="D76" i="4"/>
  <c r="F76" i="4" s="1"/>
  <c r="D73" i="4"/>
  <c r="D61" i="4"/>
  <c r="D62" i="4"/>
  <c r="D21" i="4"/>
  <c r="B64" i="4"/>
  <c r="C64" i="4" s="1"/>
  <c r="C67" i="4" s="1"/>
  <c r="B62" i="4"/>
  <c r="B61" i="4"/>
  <c r="B60" i="4"/>
  <c r="A62" i="4"/>
  <c r="A61" i="4"/>
  <c r="A60" i="4"/>
  <c r="A63" i="4"/>
  <c r="F46" i="4"/>
  <c r="G46" i="4" s="1"/>
  <c r="F45" i="4"/>
  <c r="G45" i="4" s="1"/>
  <c r="F44" i="4"/>
  <c r="G44" i="4" s="1"/>
  <c r="F43" i="4"/>
  <c r="G43" i="4" s="1"/>
  <c r="C22" i="1"/>
  <c r="C24" i="1"/>
  <c r="F24" i="1" s="1"/>
  <c r="C23" i="1"/>
  <c r="C20" i="1"/>
  <c r="K272" i="2" l="1"/>
  <c r="G343" i="2"/>
  <c r="E344" i="2"/>
  <c r="G344" i="2" s="1"/>
  <c r="E345" i="2"/>
  <c r="G345" i="2" s="1"/>
  <c r="D57" i="3"/>
  <c r="N42" i="11"/>
  <c r="M42" i="11"/>
  <c r="J201" i="1"/>
  <c r="E485" i="2"/>
  <c r="G485" i="2" s="1"/>
  <c r="G483" i="2"/>
  <c r="E479" i="2"/>
  <c r="G479" i="2" s="1"/>
  <c r="G478" i="2"/>
  <c r="M264" i="2"/>
  <c r="R264" i="2"/>
  <c r="M271" i="2"/>
  <c r="R271" i="2"/>
  <c r="M265" i="2"/>
  <c r="R265" i="2"/>
  <c r="M268" i="2"/>
  <c r="R268" i="2"/>
  <c r="M272" i="2"/>
  <c r="R272" i="2"/>
  <c r="K269" i="2"/>
  <c r="E596" i="2"/>
  <c r="G596" i="2" s="1"/>
  <c r="E607" i="2"/>
  <c r="G607" i="2" s="1"/>
  <c r="F551" i="2"/>
  <c r="D47" i="3"/>
  <c r="E603" i="2"/>
  <c r="G603" i="2" s="1"/>
  <c r="K594" i="2" s="1"/>
  <c r="M594" i="2" s="1"/>
  <c r="J182" i="1"/>
  <c r="E427" i="2"/>
  <c r="G427" i="2" s="1"/>
  <c r="F424" i="2"/>
  <c r="E355" i="2"/>
  <c r="G355" i="2" s="1"/>
  <c r="E564" i="2"/>
  <c r="G564" i="2" s="1"/>
  <c r="E308" i="2"/>
  <c r="G308" i="2" s="1"/>
  <c r="E318" i="2"/>
  <c r="G318" i="2" s="1"/>
  <c r="E324" i="2"/>
  <c r="G324" i="2" s="1"/>
  <c r="E313" i="2"/>
  <c r="G313" i="2" s="1"/>
  <c r="E619" i="2"/>
  <c r="G619" i="2" s="1"/>
  <c r="E421" i="2"/>
  <c r="G421" i="2" s="1"/>
  <c r="E367" i="2"/>
  <c r="E340" i="2"/>
  <c r="G340" i="2" s="1"/>
  <c r="E329" i="2"/>
  <c r="G329" i="2" s="1"/>
  <c r="E334" i="2"/>
  <c r="G334" i="2" s="1"/>
  <c r="E589" i="2"/>
  <c r="G589" i="2" s="1"/>
  <c r="D60" i="3"/>
  <c r="E415" i="2"/>
  <c r="G415" i="2" s="1"/>
  <c r="J185" i="1"/>
  <c r="N56" i="11"/>
  <c r="R47" i="11" s="1"/>
  <c r="T47" i="11" s="1"/>
  <c r="V47" i="11" s="1"/>
  <c r="M56" i="11"/>
  <c r="L67" i="11"/>
  <c r="N67" i="11" s="1"/>
  <c r="N66" i="11"/>
  <c r="M72" i="11"/>
  <c r="M66" i="11"/>
  <c r="K17" i="11"/>
  <c r="D44" i="3"/>
  <c r="D418" i="2"/>
  <c r="F418" i="2" s="1"/>
  <c r="F514" i="2"/>
  <c r="D419" i="2"/>
  <c r="E184" i="2"/>
  <c r="G184" i="2" s="1"/>
  <c r="K483" i="2"/>
  <c r="M483" i="2" s="1"/>
  <c r="K485" i="2"/>
  <c r="M485" i="2" s="1"/>
  <c r="K484" i="2"/>
  <c r="M484" i="2" s="1"/>
  <c r="E612" i="2"/>
  <c r="G612" i="2" s="1"/>
  <c r="E508" i="2"/>
  <c r="G508" i="2" s="1"/>
  <c r="L55" i="11"/>
  <c r="E555" i="2"/>
  <c r="G555" i="2" s="1"/>
  <c r="G183" i="1"/>
  <c r="J184" i="1"/>
  <c r="J183" i="1"/>
  <c r="J188" i="1"/>
  <c r="J187" i="1"/>
  <c r="E559" i="2"/>
  <c r="G559" i="2" s="1"/>
  <c r="L73" i="11"/>
  <c r="N73" i="11" s="1"/>
  <c r="L50" i="11"/>
  <c r="E172" i="2"/>
  <c r="G172" i="2" s="1"/>
  <c r="E592" i="2"/>
  <c r="G592" i="2" s="1"/>
  <c r="H205" i="1"/>
  <c r="T196" i="1" s="1"/>
  <c r="R42" i="11"/>
  <c r="T42" i="11" s="1"/>
  <c r="V42" i="11" s="1"/>
  <c r="E161" i="2"/>
  <c r="G161" i="2" s="1"/>
  <c r="E166" i="2"/>
  <c r="G166" i="2" s="1"/>
  <c r="E569" i="2"/>
  <c r="G569" i="2" s="1"/>
  <c r="J186" i="1"/>
  <c r="K80" i="8"/>
  <c r="J80" i="8"/>
  <c r="F64" i="8"/>
  <c r="K64" i="8" s="1"/>
  <c r="U45" i="11"/>
  <c r="K73" i="11"/>
  <c r="K65" i="11"/>
  <c r="M65" i="11" s="1"/>
  <c r="F11" i="1"/>
  <c r="F10" i="11" s="1"/>
  <c r="C10" i="11"/>
  <c r="R18" i="10"/>
  <c r="C8" i="11"/>
  <c r="F9" i="1"/>
  <c r="F8" i="11" s="1"/>
  <c r="F30" i="11" s="1"/>
  <c r="L34" i="11" s="1"/>
  <c r="N34" i="11" s="1"/>
  <c r="E156" i="2"/>
  <c r="G156" i="2" s="1"/>
  <c r="F5" i="1"/>
  <c r="F4" i="11" s="1"/>
  <c r="F26" i="11" s="1"/>
  <c r="L12" i="11" s="1"/>
  <c r="N12" i="11" s="1"/>
  <c r="C4" i="11"/>
  <c r="F3" i="1"/>
  <c r="F2" i="11" s="1"/>
  <c r="C2" i="11"/>
  <c r="F6" i="1"/>
  <c r="F5" i="11" s="1"/>
  <c r="F27" i="11" s="1"/>
  <c r="L17" i="11" s="1"/>
  <c r="N17" i="11" s="1"/>
  <c r="C5" i="11"/>
  <c r="E152" i="2"/>
  <c r="G152" i="2" s="1"/>
  <c r="F25" i="11"/>
  <c r="L7" i="11" s="1"/>
  <c r="C6" i="11"/>
  <c r="F7" i="1"/>
  <c r="F6" i="11" s="1"/>
  <c r="F28" i="11" s="1"/>
  <c r="L23" i="11" s="1"/>
  <c r="N23" i="11" s="1"/>
  <c r="F8" i="1"/>
  <c r="F7" i="11" s="1"/>
  <c r="F29" i="11" s="1"/>
  <c r="L28" i="11" s="1"/>
  <c r="N28" i="11" s="1"/>
  <c r="C7" i="11"/>
  <c r="D564" i="2"/>
  <c r="D569" i="2"/>
  <c r="H33" i="9"/>
  <c r="I33" i="9" s="1"/>
  <c r="H12" i="9"/>
  <c r="I12" i="9" s="1"/>
  <c r="H21" i="9"/>
  <c r="H23" i="9" s="1"/>
  <c r="R17" i="10"/>
  <c r="G47" i="4"/>
  <c r="G50" i="4" s="1"/>
  <c r="J51" i="4" s="1"/>
  <c r="E414" i="2"/>
  <c r="G414" i="2" s="1"/>
  <c r="F91" i="4"/>
  <c r="J5" i="10" s="1"/>
  <c r="F5" i="10" s="1"/>
  <c r="F7" i="10" s="1"/>
  <c r="I8" i="10" s="1"/>
  <c r="E420" i="2"/>
  <c r="G420" i="2" s="1"/>
  <c r="F74" i="4"/>
  <c r="C79" i="4"/>
  <c r="C82" i="4" s="1"/>
  <c r="G82" i="4" s="1"/>
  <c r="F73" i="4"/>
  <c r="E178" i="2"/>
  <c r="G178" i="2" s="1"/>
  <c r="E179" i="2"/>
  <c r="G179" i="2" s="1"/>
  <c r="E419" i="2"/>
  <c r="G419" i="2" s="1"/>
  <c r="E365" i="2"/>
  <c r="G365" i="2" s="1"/>
  <c r="E552" i="2"/>
  <c r="G552" i="2" s="1"/>
  <c r="E354" i="2"/>
  <c r="G354" i="2" s="1"/>
  <c r="J198" i="1"/>
  <c r="D59" i="3"/>
  <c r="E366" i="2"/>
  <c r="G366" i="2" s="1"/>
  <c r="J25" i="10"/>
  <c r="E426" i="2"/>
  <c r="G426" i="2" s="1"/>
  <c r="O16" i="10"/>
  <c r="Q16" i="10" s="1"/>
  <c r="E425" i="2"/>
  <c r="G425" i="2" s="1"/>
  <c r="R16" i="10"/>
  <c r="J197" i="1"/>
  <c r="E581" i="2"/>
  <c r="G581" i="2" s="1"/>
  <c r="E575" i="2"/>
  <c r="G575" i="2" s="1"/>
  <c r="D61" i="3"/>
  <c r="E360" i="2"/>
  <c r="G360" i="2" s="1"/>
  <c r="D56" i="3"/>
  <c r="E407" i="2"/>
  <c r="G407" i="2" s="1"/>
  <c r="E380" i="2"/>
  <c r="G380" i="2" s="1"/>
  <c r="D51" i="3"/>
  <c r="D69" i="3" s="1"/>
  <c r="D48" i="3"/>
  <c r="D66" i="3" s="1"/>
  <c r="E376" i="2"/>
  <c r="G376" i="2" s="1"/>
  <c r="D50" i="3"/>
  <c r="E323" i="2"/>
  <c r="G323" i="2" s="1"/>
  <c r="E307" i="2"/>
  <c r="G307" i="2" s="1"/>
  <c r="E390" i="2"/>
  <c r="G390" i="2" s="1"/>
  <c r="D52" i="3"/>
  <c r="E312" i="2"/>
  <c r="G312" i="2" s="1"/>
  <c r="E401" i="2"/>
  <c r="G401" i="2" s="1"/>
  <c r="E303" i="2"/>
  <c r="G303" i="2" s="1"/>
  <c r="D49" i="3"/>
  <c r="D67" i="3" s="1"/>
  <c r="E385" i="2"/>
  <c r="G385" i="2" s="1"/>
  <c r="D53" i="3"/>
  <c r="D71" i="3" s="1"/>
  <c r="E328" i="2"/>
  <c r="G328" i="2" s="1"/>
  <c r="E317" i="2"/>
  <c r="G317" i="2" s="1"/>
  <c r="E322" i="2"/>
  <c r="G322" i="2" s="1"/>
  <c r="E330" i="2"/>
  <c r="G330" i="2" s="1"/>
  <c r="E395" i="2"/>
  <c r="G395" i="2" s="1"/>
  <c r="E359" i="2"/>
  <c r="G359" i="2" s="1"/>
  <c r="E361" i="2"/>
  <c r="G361" i="2" s="1"/>
  <c r="D602" i="2"/>
  <c r="F602" i="2" s="1"/>
  <c r="D597" i="2"/>
  <c r="D598" i="2"/>
  <c r="D603" i="2"/>
  <c r="E602" i="2"/>
  <c r="G602" i="2" s="1"/>
  <c r="E597" i="2"/>
  <c r="G597" i="2" s="1"/>
  <c r="D607" i="2"/>
  <c r="N522" i="2"/>
  <c r="D609" i="2"/>
  <c r="D522" i="2"/>
  <c r="D588" i="2"/>
  <c r="F588" i="2" s="1"/>
  <c r="D545" i="2"/>
  <c r="D589" i="2"/>
  <c r="F589" i="2" s="1"/>
  <c r="N516" i="2"/>
  <c r="D593" i="2"/>
  <c r="K341" i="2"/>
  <c r="M341" i="2" s="1"/>
  <c r="K342" i="2"/>
  <c r="M342" i="2" s="1"/>
  <c r="H175" i="1"/>
  <c r="T166" i="1" s="1"/>
  <c r="H11" i="1"/>
  <c r="T2" i="1" s="1"/>
  <c r="R28" i="1"/>
  <c r="T20" i="1"/>
  <c r="T19" i="1"/>
  <c r="F4" i="8"/>
  <c r="G4" i="8" s="1"/>
  <c r="G2" i="8"/>
  <c r="F61" i="4"/>
  <c r="D38" i="3"/>
  <c r="E529" i="2"/>
  <c r="G529" i="2" s="1"/>
  <c r="D41" i="3"/>
  <c r="D39" i="3"/>
  <c r="E533" i="2"/>
  <c r="G533" i="2" s="1"/>
  <c r="D42" i="3"/>
  <c r="D43" i="3"/>
  <c r="E539" i="2"/>
  <c r="G539" i="2" s="1"/>
  <c r="D40" i="3"/>
  <c r="E523" i="2"/>
  <c r="G523" i="2" s="1"/>
  <c r="J167" i="1"/>
  <c r="J173" i="1"/>
  <c r="J172" i="1"/>
  <c r="J171" i="1"/>
  <c r="J170" i="1"/>
  <c r="J169" i="1"/>
  <c r="J168" i="1"/>
  <c r="F60" i="4"/>
  <c r="N520" i="2"/>
  <c r="N518" i="2"/>
  <c r="D539" i="2"/>
  <c r="H7" i="9"/>
  <c r="F16" i="9"/>
  <c r="E13" i="9"/>
  <c r="F15" i="9"/>
  <c r="F14" i="9"/>
  <c r="D534" i="2"/>
  <c r="N519" i="2"/>
  <c r="N515" i="2"/>
  <c r="D546" i="2"/>
  <c r="N517" i="2"/>
  <c r="D518" i="2"/>
  <c r="F518" i="2" s="1"/>
  <c r="N514" i="2"/>
  <c r="D541" i="2"/>
  <c r="E515" i="2"/>
  <c r="G515" i="2" s="1"/>
  <c r="E528" i="2"/>
  <c r="G528" i="2" s="1"/>
  <c r="E519" i="2"/>
  <c r="G519" i="2" s="1"/>
  <c r="E545" i="2"/>
  <c r="G545" i="2" s="1"/>
  <c r="F62" i="4"/>
  <c r="G79" i="4"/>
  <c r="H45" i="4"/>
  <c r="H43" i="4"/>
  <c r="H44" i="4"/>
  <c r="H46" i="4"/>
  <c r="F21" i="1"/>
  <c r="C146" i="1"/>
  <c r="C145" i="1"/>
  <c r="C86" i="1"/>
  <c r="C85" i="1"/>
  <c r="C71" i="1"/>
  <c r="C70" i="1"/>
  <c r="C42" i="1"/>
  <c r="C41" i="1"/>
  <c r="C27" i="1"/>
  <c r="F27" i="1" s="1"/>
  <c r="G367" i="2" l="1"/>
  <c r="K343" i="2" s="1"/>
  <c r="M343" i="2" s="1"/>
  <c r="F597" i="2"/>
  <c r="E381" i="2"/>
  <c r="G381" i="2" s="1"/>
  <c r="L68" i="11"/>
  <c r="N68" i="11" s="1"/>
  <c r="D65" i="3"/>
  <c r="M269" i="2"/>
  <c r="R269" i="2"/>
  <c r="R273" i="2"/>
  <c r="F564" i="2"/>
  <c r="K305" i="2"/>
  <c r="M305" i="2" s="1"/>
  <c r="E428" i="2"/>
  <c r="G428" i="2" s="1"/>
  <c r="F425" i="2"/>
  <c r="K340" i="2"/>
  <c r="M340" i="2" s="1"/>
  <c r="K346" i="2"/>
  <c r="M346" i="2" s="1"/>
  <c r="E429" i="2"/>
  <c r="G429" i="2" s="1"/>
  <c r="F426" i="2"/>
  <c r="K309" i="2"/>
  <c r="M309" i="2" s="1"/>
  <c r="E570" i="2"/>
  <c r="G570" i="2" s="1"/>
  <c r="E430" i="2"/>
  <c r="G430" i="2" s="1"/>
  <c r="F427" i="2"/>
  <c r="E377" i="2"/>
  <c r="G377" i="2" s="1"/>
  <c r="K345" i="2"/>
  <c r="M345" i="2" s="1"/>
  <c r="E382" i="2"/>
  <c r="G382" i="2" s="1"/>
  <c r="K310" i="2"/>
  <c r="M310" i="2" s="1"/>
  <c r="E408" i="2"/>
  <c r="G408" i="2" s="1"/>
  <c r="K378" i="2" s="1"/>
  <c r="M378" i="2" s="1"/>
  <c r="E620" i="2"/>
  <c r="G620" i="2" s="1"/>
  <c r="K589" i="2"/>
  <c r="M589" i="2" s="1"/>
  <c r="E392" i="2"/>
  <c r="G392" i="2" s="1"/>
  <c r="E565" i="2"/>
  <c r="G565" i="2" s="1"/>
  <c r="E560" i="2"/>
  <c r="F560" i="2" s="1"/>
  <c r="F419" i="2"/>
  <c r="E398" i="2"/>
  <c r="G398" i="2" s="1"/>
  <c r="E387" i="2"/>
  <c r="G387" i="2" s="1"/>
  <c r="F552" i="2"/>
  <c r="F553" i="2" s="1"/>
  <c r="E613" i="2"/>
  <c r="G613" i="2" s="1"/>
  <c r="K304" i="2"/>
  <c r="M304" i="2" s="1"/>
  <c r="E566" i="2"/>
  <c r="G566" i="2" s="1"/>
  <c r="K303" i="2"/>
  <c r="M303" i="2" s="1"/>
  <c r="K308" i="2"/>
  <c r="M308" i="2" s="1"/>
  <c r="E608" i="2"/>
  <c r="G608" i="2" s="1"/>
  <c r="K595" i="2"/>
  <c r="M595" i="2" s="1"/>
  <c r="F559" i="2"/>
  <c r="M12" i="11"/>
  <c r="N7" i="11"/>
  <c r="M7" i="11"/>
  <c r="E168" i="2"/>
  <c r="G168" i="2" s="1"/>
  <c r="K481" i="2"/>
  <c r="M481" i="2" s="1"/>
  <c r="O481" i="2" s="1"/>
  <c r="K478" i="2"/>
  <c r="M478" i="2" s="1"/>
  <c r="M73" i="11"/>
  <c r="M68" i="11"/>
  <c r="N55" i="11"/>
  <c r="M55" i="11"/>
  <c r="M57" i="11" s="1"/>
  <c r="M67" i="11"/>
  <c r="L51" i="11"/>
  <c r="N50" i="11"/>
  <c r="R44" i="11" s="1"/>
  <c r="T44" i="11" s="1"/>
  <c r="V44" i="11" s="1"/>
  <c r="M50" i="11"/>
  <c r="K479" i="2"/>
  <c r="M479" i="2" s="1"/>
  <c r="M17" i="11"/>
  <c r="K28" i="11"/>
  <c r="K23" i="11"/>
  <c r="M23" i="11" s="1"/>
  <c r="N595" i="2"/>
  <c r="F607" i="2"/>
  <c r="N594" i="2"/>
  <c r="O594" i="2" s="1"/>
  <c r="F603" i="2"/>
  <c r="N590" i="2"/>
  <c r="F590" i="2"/>
  <c r="F545" i="2"/>
  <c r="K516" i="2"/>
  <c r="M516" i="2" s="1"/>
  <c r="O516" i="2" s="1"/>
  <c r="F519" i="2"/>
  <c r="F520" i="2" s="1"/>
  <c r="K520" i="2"/>
  <c r="M520" i="2" s="1"/>
  <c r="F529" i="2"/>
  <c r="E534" i="2"/>
  <c r="K521" i="2"/>
  <c r="M521" i="2" s="1"/>
  <c r="F533" i="2"/>
  <c r="F515" i="2"/>
  <c r="F516" i="2" s="1"/>
  <c r="E524" i="2"/>
  <c r="G524" i="2" s="1"/>
  <c r="F523" i="2"/>
  <c r="F539" i="2"/>
  <c r="F528" i="2"/>
  <c r="F555" i="2"/>
  <c r="D527" i="2"/>
  <c r="F527" i="2" s="1"/>
  <c r="F522" i="2"/>
  <c r="D575" i="2"/>
  <c r="F575" i="2" s="1"/>
  <c r="F569" i="2"/>
  <c r="E162" i="2"/>
  <c r="G162" i="2" s="1"/>
  <c r="E167" i="2"/>
  <c r="G167" i="2" s="1"/>
  <c r="E157" i="2"/>
  <c r="G157" i="2" s="1"/>
  <c r="K482" i="2"/>
  <c r="M482" i="2" s="1"/>
  <c r="E3" i="2"/>
  <c r="G3" i="2" s="1"/>
  <c r="E556" i="2"/>
  <c r="G556" i="2" s="1"/>
  <c r="E173" i="2"/>
  <c r="G173" i="2" s="1"/>
  <c r="K514" i="2"/>
  <c r="D70" i="3"/>
  <c r="E593" i="2"/>
  <c r="J191" i="1"/>
  <c r="G54" i="4"/>
  <c r="G55" i="4" s="1"/>
  <c r="G56" i="4" s="1"/>
  <c r="F8" i="10"/>
  <c r="F10" i="10" s="1"/>
  <c r="F11" i="10" s="1"/>
  <c r="M43" i="11"/>
  <c r="E163" i="2"/>
  <c r="G163" i="2" s="1"/>
  <c r="E158" i="2"/>
  <c r="G158" i="2" s="1"/>
  <c r="L60" i="11"/>
  <c r="F17" i="8"/>
  <c r="J17" i="8" s="1"/>
  <c r="K71" i="11"/>
  <c r="M71" i="11" s="1"/>
  <c r="E153" i="2"/>
  <c r="G153" i="2" s="1"/>
  <c r="L19" i="11"/>
  <c r="L18" i="11"/>
  <c r="F24" i="11"/>
  <c r="L3" i="11" s="1"/>
  <c r="L14" i="11"/>
  <c r="L13" i="11"/>
  <c r="L35" i="11"/>
  <c r="L30" i="11"/>
  <c r="L29" i="11"/>
  <c r="L24" i="11"/>
  <c r="L9" i="11"/>
  <c r="L8" i="11"/>
  <c r="J64" i="8"/>
  <c r="H14" i="9"/>
  <c r="F25" i="9"/>
  <c r="H25" i="9" s="1"/>
  <c r="H15" i="9"/>
  <c r="F26" i="9"/>
  <c r="H26" i="9" s="1"/>
  <c r="I13" i="9"/>
  <c r="E24" i="9"/>
  <c r="I24" i="9" s="1"/>
  <c r="K18" i="9" s="1"/>
  <c r="I23" i="9"/>
  <c r="H16" i="9"/>
  <c r="F27" i="9"/>
  <c r="H27" i="9" s="1"/>
  <c r="F77" i="4"/>
  <c r="K49" i="6"/>
  <c r="I9" i="10"/>
  <c r="L49" i="6" s="1"/>
  <c r="J206" i="1"/>
  <c r="E180" i="2"/>
  <c r="G180" i="2" s="1"/>
  <c r="E576" i="2"/>
  <c r="G576" i="2" s="1"/>
  <c r="D68" i="3"/>
  <c r="K339" i="2"/>
  <c r="M339" i="2" s="1"/>
  <c r="E582" i="2"/>
  <c r="G582" i="2" s="1"/>
  <c r="K306" i="2"/>
  <c r="M306" i="2" s="1"/>
  <c r="E386" i="2"/>
  <c r="G386" i="2" s="1"/>
  <c r="K347" i="2"/>
  <c r="M347" i="2" s="1"/>
  <c r="K302" i="2"/>
  <c r="M302" i="2" s="1"/>
  <c r="E402" i="2"/>
  <c r="G402" i="2" s="1"/>
  <c r="E404" i="2"/>
  <c r="G404" i="2" s="1"/>
  <c r="E396" i="2"/>
  <c r="G396" i="2" s="1"/>
  <c r="E391" i="2"/>
  <c r="G391" i="2" s="1"/>
  <c r="E403" i="2"/>
  <c r="G403" i="2" s="1"/>
  <c r="E397" i="2"/>
  <c r="G397" i="2" s="1"/>
  <c r="D532" i="2"/>
  <c r="D592" i="2"/>
  <c r="F592" i="2" s="1"/>
  <c r="N588" i="2"/>
  <c r="D596" i="2"/>
  <c r="F596" i="2" s="1"/>
  <c r="D620" i="2"/>
  <c r="N592" i="2"/>
  <c r="D615" i="2"/>
  <c r="N596" i="2"/>
  <c r="D619" i="2"/>
  <c r="F619" i="2" s="1"/>
  <c r="N589" i="2"/>
  <c r="N591" i="2"/>
  <c r="D613" i="2"/>
  <c r="N593" i="2"/>
  <c r="D608" i="2"/>
  <c r="F608" i="2" s="1"/>
  <c r="K588" i="2"/>
  <c r="M588" i="2" s="1"/>
  <c r="E598" i="2"/>
  <c r="G598" i="2" s="1"/>
  <c r="K379" i="2"/>
  <c r="M379" i="2" s="1"/>
  <c r="K344" i="2"/>
  <c r="M344" i="2" s="1"/>
  <c r="F63" i="4"/>
  <c r="C65" i="4" s="1"/>
  <c r="C66" i="4" s="1"/>
  <c r="C68" i="4" s="1"/>
  <c r="D68" i="4" s="1"/>
  <c r="K307" i="2"/>
  <c r="M307" i="2" s="1"/>
  <c r="J176" i="1"/>
  <c r="E540" i="2"/>
  <c r="G540" i="2" s="1"/>
  <c r="H47" i="4"/>
  <c r="H50" i="4" s="1"/>
  <c r="K50" i="4" s="1"/>
  <c r="I7" i="9"/>
  <c r="D540" i="2"/>
  <c r="E546" i="2"/>
  <c r="G546" i="2" s="1"/>
  <c r="D11" i="3"/>
  <c r="E431" i="2" l="1"/>
  <c r="G431" i="2" s="1"/>
  <c r="E561" i="2"/>
  <c r="G561" i="2" s="1"/>
  <c r="G560" i="2"/>
  <c r="F613" i="2"/>
  <c r="E535" i="2"/>
  <c r="G535" i="2" s="1"/>
  <c r="G534" i="2"/>
  <c r="K519" i="2" s="1"/>
  <c r="M519" i="2" s="1"/>
  <c r="O519" i="2" s="1"/>
  <c r="F593" i="2"/>
  <c r="F594" i="2" s="1"/>
  <c r="M198" i="1" s="1"/>
  <c r="O198" i="1" s="1"/>
  <c r="R198" i="1" s="1"/>
  <c r="G593" i="2"/>
  <c r="K590" i="2" s="1"/>
  <c r="M590" i="2" s="1"/>
  <c r="O590" i="2" s="1"/>
  <c r="O595" i="2"/>
  <c r="K515" i="2"/>
  <c r="E614" i="2"/>
  <c r="G614" i="2" s="1"/>
  <c r="K591" i="2"/>
  <c r="M591" i="2" s="1"/>
  <c r="O591" i="2" s="1"/>
  <c r="E432" i="2"/>
  <c r="G432" i="2" s="1"/>
  <c r="F429" i="2"/>
  <c r="K383" i="2"/>
  <c r="M383" i="2" s="1"/>
  <c r="E609" i="2"/>
  <c r="G609" i="2" s="1"/>
  <c r="K557" i="2"/>
  <c r="M557" i="2" s="1"/>
  <c r="O557" i="2" s="1"/>
  <c r="F566" i="2"/>
  <c r="K382" i="2"/>
  <c r="M382" i="2" s="1"/>
  <c r="K384" i="2"/>
  <c r="M384" i="2" s="1"/>
  <c r="K558" i="2"/>
  <c r="M558" i="2" s="1"/>
  <c r="O558" i="2" s="1"/>
  <c r="F570" i="2"/>
  <c r="E571" i="2"/>
  <c r="G571" i="2" s="1"/>
  <c r="F620" i="2"/>
  <c r="K552" i="2"/>
  <c r="F582" i="2"/>
  <c r="F598" i="2"/>
  <c r="F599" i="2" s="1"/>
  <c r="K377" i="2"/>
  <c r="M377" i="2" s="1"/>
  <c r="E433" i="2"/>
  <c r="G433" i="2" s="1"/>
  <c r="F430" i="2"/>
  <c r="F576" i="2"/>
  <c r="O589" i="2"/>
  <c r="E434" i="2"/>
  <c r="G434" i="2" s="1"/>
  <c r="F431" i="2"/>
  <c r="F565" i="2"/>
  <c r="F428" i="2"/>
  <c r="F561" i="2"/>
  <c r="F562" i="2" s="1"/>
  <c r="N35" i="11"/>
  <c r="M35" i="11"/>
  <c r="N18" i="11"/>
  <c r="M18" i="11"/>
  <c r="E174" i="2"/>
  <c r="N14" i="11"/>
  <c r="M14" i="11"/>
  <c r="N19" i="11"/>
  <c r="M19" i="11"/>
  <c r="N13" i="11"/>
  <c r="M13" i="11"/>
  <c r="N8" i="11"/>
  <c r="M8" i="11"/>
  <c r="N9" i="11"/>
  <c r="M9" i="11"/>
  <c r="N24" i="11"/>
  <c r="M24" i="11"/>
  <c r="N30" i="11"/>
  <c r="M30" i="11"/>
  <c r="N29" i="11"/>
  <c r="M29" i="11"/>
  <c r="N3" i="11"/>
  <c r="M3" i="11"/>
  <c r="N60" i="11"/>
  <c r="R48" i="11" s="1"/>
  <c r="T48" i="11" s="1"/>
  <c r="V48" i="11" s="1"/>
  <c r="M60" i="11"/>
  <c r="N51" i="11"/>
  <c r="R45" i="11" s="1"/>
  <c r="T45" i="11" s="1"/>
  <c r="V45" i="11" s="1"/>
  <c r="M51" i="11"/>
  <c r="M52" i="11" s="1"/>
  <c r="K34" i="11"/>
  <c r="M34" i="11" s="1"/>
  <c r="M28" i="11"/>
  <c r="F530" i="2"/>
  <c r="M170" i="1" s="1"/>
  <c r="F534" i="2"/>
  <c r="F546" i="2"/>
  <c r="K518" i="2"/>
  <c r="M518" i="2" s="1"/>
  <c r="O518" i="2" s="1"/>
  <c r="F524" i="2"/>
  <c r="F525" i="2" s="1"/>
  <c r="F540" i="2"/>
  <c r="F535" i="2"/>
  <c r="K553" i="2"/>
  <c r="M553" i="2" s="1"/>
  <c r="O553" i="2" s="1"/>
  <c r="F556" i="2"/>
  <c r="F557" i="2" s="1"/>
  <c r="M183" i="1" s="1"/>
  <c r="O183" i="1" s="1"/>
  <c r="D538" i="2"/>
  <c r="F538" i="2" s="1"/>
  <c r="F532" i="2"/>
  <c r="E169" i="2"/>
  <c r="G169" i="2" s="1"/>
  <c r="K154" i="2"/>
  <c r="M154" i="2" s="1"/>
  <c r="K156" i="2"/>
  <c r="M156" i="2" s="1"/>
  <c r="K153" i="2"/>
  <c r="M153" i="2" s="1"/>
  <c r="K152" i="2"/>
  <c r="M152" i="2" s="1"/>
  <c r="K551" i="2"/>
  <c r="M551" i="2" s="1"/>
  <c r="O551" i="2" s="1"/>
  <c r="K477" i="2"/>
  <c r="M477" i="2" s="1"/>
  <c r="K480" i="2"/>
  <c r="M480" i="2" s="1"/>
  <c r="M74" i="11"/>
  <c r="R41" i="11"/>
  <c r="T41" i="11" s="1"/>
  <c r="V41" i="11" s="1"/>
  <c r="E572" i="2"/>
  <c r="G572" i="2" s="1"/>
  <c r="J55" i="4"/>
  <c r="K55" i="4" s="1"/>
  <c r="K48" i="6"/>
  <c r="D17" i="8"/>
  <c r="T43" i="11"/>
  <c r="V43" i="11" s="1"/>
  <c r="M47" i="11"/>
  <c r="L61" i="11"/>
  <c r="M69" i="11"/>
  <c r="L4" i="11"/>
  <c r="L20" i="11"/>
  <c r="L25" i="11"/>
  <c r="L31" i="11"/>
  <c r="K554" i="2"/>
  <c r="M554" i="2" s="1"/>
  <c r="O554" i="2" s="1"/>
  <c r="D581" i="2"/>
  <c r="F581" i="2" s="1"/>
  <c r="K2" i="9"/>
  <c r="F36" i="9"/>
  <c r="H28" i="9"/>
  <c r="H17" i="9"/>
  <c r="O588" i="2"/>
  <c r="M197" i="1"/>
  <c r="O197" i="1" s="1"/>
  <c r="C80" i="4"/>
  <c r="K160" i="2"/>
  <c r="M160" i="2" s="1"/>
  <c r="K157" i="2"/>
  <c r="M157" i="2" s="1"/>
  <c r="E577" i="2"/>
  <c r="G577" i="2" s="1"/>
  <c r="E583" i="2"/>
  <c r="G583" i="2" s="1"/>
  <c r="K380" i="2"/>
  <c r="M380" i="2" s="1"/>
  <c r="K376" i="2"/>
  <c r="M376" i="2" s="1"/>
  <c r="K381" i="2"/>
  <c r="M381" i="2" s="1"/>
  <c r="D606" i="2"/>
  <c r="F606" i="2" s="1"/>
  <c r="D601" i="2"/>
  <c r="F601" i="2" s="1"/>
  <c r="F604" i="2" s="1"/>
  <c r="D614" i="2"/>
  <c r="M167" i="1"/>
  <c r="K592" i="2"/>
  <c r="M592" i="2" s="1"/>
  <c r="O592" i="2" s="1"/>
  <c r="M515" i="2"/>
  <c r="O515" i="2" s="1"/>
  <c r="K517" i="2"/>
  <c r="E541" i="2"/>
  <c r="G541" i="2" s="1"/>
  <c r="G80" i="4"/>
  <c r="H80" i="4" s="1"/>
  <c r="R146" i="1"/>
  <c r="T140" i="1" s="1"/>
  <c r="S12" i="1"/>
  <c r="S27" i="1"/>
  <c r="S42" i="1"/>
  <c r="S71" i="1"/>
  <c r="S86" i="1"/>
  <c r="S146" i="1"/>
  <c r="R86" i="1"/>
  <c r="T80" i="1" s="1"/>
  <c r="R71" i="1"/>
  <c r="T65" i="1" s="1"/>
  <c r="R42" i="1"/>
  <c r="T36" i="1" s="1"/>
  <c r="R12" i="1"/>
  <c r="T6" i="1" s="1"/>
  <c r="F614" i="2" l="1"/>
  <c r="G174" i="2"/>
  <c r="K159" i="2" s="1"/>
  <c r="M159" i="2" s="1"/>
  <c r="F433" i="2"/>
  <c r="F567" i="2"/>
  <c r="M185" i="1" s="1"/>
  <c r="O185" i="1" s="1"/>
  <c r="R185" i="1" s="1"/>
  <c r="F609" i="2"/>
  <c r="F610" i="2" s="1"/>
  <c r="F572" i="2"/>
  <c r="F434" i="2"/>
  <c r="K556" i="2"/>
  <c r="M556" i="2" s="1"/>
  <c r="O556" i="2" s="1"/>
  <c r="F571" i="2"/>
  <c r="F432" i="2"/>
  <c r="E435" i="2"/>
  <c r="G435" i="2" s="1"/>
  <c r="K555" i="2"/>
  <c r="F583" i="2"/>
  <c r="F584" i="2" s="1"/>
  <c r="M36" i="11"/>
  <c r="F577" i="2"/>
  <c r="K593" i="2"/>
  <c r="M593" i="2" s="1"/>
  <c r="O593" i="2" s="1"/>
  <c r="E615" i="2"/>
  <c r="G615" i="2" s="1"/>
  <c r="N31" i="11"/>
  <c r="M31" i="11"/>
  <c r="M32" i="11" s="1"/>
  <c r="N25" i="11"/>
  <c r="M25" i="11"/>
  <c r="M26" i="11" s="1"/>
  <c r="N20" i="11"/>
  <c r="M20" i="11"/>
  <c r="M21" i="11" s="1"/>
  <c r="N4" i="11"/>
  <c r="M4" i="11"/>
  <c r="N61" i="11"/>
  <c r="R46" i="11" s="1"/>
  <c r="T46" i="11" s="1"/>
  <c r="V46" i="11" s="1"/>
  <c r="M61" i="11"/>
  <c r="D544" i="2"/>
  <c r="F544" i="2" s="1"/>
  <c r="F547" i="2" s="1"/>
  <c r="F536" i="2"/>
  <c r="M171" i="1" s="1"/>
  <c r="O171" i="1" s="1"/>
  <c r="F541" i="2"/>
  <c r="F542" i="2" s="1"/>
  <c r="K155" i="2"/>
  <c r="M155" i="2" s="1"/>
  <c r="K158" i="2"/>
  <c r="M158" i="2" s="1"/>
  <c r="L48" i="6"/>
  <c r="H54" i="4"/>
  <c r="M15" i="11"/>
  <c r="L62" i="11"/>
  <c r="M10" i="11"/>
  <c r="I17" i="9"/>
  <c r="F37" i="9"/>
  <c r="G37" i="9" s="1"/>
  <c r="N2" i="9"/>
  <c r="K4" i="9"/>
  <c r="I28" i="9"/>
  <c r="N18" i="9"/>
  <c r="K20" i="9"/>
  <c r="G81" i="4"/>
  <c r="G83" i="4" s="1"/>
  <c r="H83" i="4" s="1"/>
  <c r="C81" i="4"/>
  <c r="C83" i="4" s="1"/>
  <c r="D83" i="4" s="1"/>
  <c r="L47" i="6" s="1"/>
  <c r="M184" i="1"/>
  <c r="O184" i="1" s="1"/>
  <c r="R184" i="1" s="1"/>
  <c r="M200" i="1"/>
  <c r="O200" i="1" s="1"/>
  <c r="E578" i="2"/>
  <c r="G578" i="2" s="1"/>
  <c r="M182" i="1"/>
  <c r="O182" i="1" s="1"/>
  <c r="R182" i="1" s="1"/>
  <c r="M552" i="2"/>
  <c r="O552" i="2" s="1"/>
  <c r="Q198" i="1"/>
  <c r="R197" i="1"/>
  <c r="Q197" i="1"/>
  <c r="D612" i="2"/>
  <c r="F612" i="2" s="1"/>
  <c r="M169" i="1"/>
  <c r="R183" i="1"/>
  <c r="Q183" i="1"/>
  <c r="T64" i="1"/>
  <c r="T63" i="1"/>
  <c r="T79" i="1"/>
  <c r="T78" i="1"/>
  <c r="T139" i="1"/>
  <c r="T138" i="1"/>
  <c r="T35" i="1"/>
  <c r="T34" i="1"/>
  <c r="T4" i="1"/>
  <c r="T5" i="1"/>
  <c r="K522" i="2"/>
  <c r="M522" i="2" s="1"/>
  <c r="O522" i="2" s="1"/>
  <c r="M514" i="2"/>
  <c r="O514" i="2" s="1"/>
  <c r="M517" i="2"/>
  <c r="O521" i="2"/>
  <c r="R147" i="1"/>
  <c r="F573" i="2" l="1"/>
  <c r="M186" i="1" s="1"/>
  <c r="O186" i="1" s="1"/>
  <c r="R186" i="1" s="1"/>
  <c r="Q185" i="1"/>
  <c r="F578" i="2"/>
  <c r="F579" i="2" s="1"/>
  <c r="K596" i="2"/>
  <c r="M596" i="2" s="1"/>
  <c r="O596" i="2" s="1"/>
  <c r="O597" i="2" s="1"/>
  <c r="F615" i="2"/>
  <c r="F616" i="2" s="1"/>
  <c r="M202" i="1" s="1"/>
  <c r="O202" i="1" s="1"/>
  <c r="F435" i="2"/>
  <c r="F436" i="2" s="1"/>
  <c r="M21" i="10" s="1"/>
  <c r="N62" i="11"/>
  <c r="M62" i="11"/>
  <c r="M63" i="11" s="1"/>
  <c r="O524" i="2"/>
  <c r="H55" i="4"/>
  <c r="H56" i="4" s="1"/>
  <c r="J54" i="4"/>
  <c r="K54" i="4" s="1"/>
  <c r="R49" i="11"/>
  <c r="T49" i="11" s="1"/>
  <c r="V49" i="11" s="1"/>
  <c r="V50" i="11" s="1"/>
  <c r="R10" i="11"/>
  <c r="T10" i="11" s="1"/>
  <c r="V10" i="11" s="1"/>
  <c r="M5" i="11"/>
  <c r="R2" i="11" s="1"/>
  <c r="T2" i="11" s="1"/>
  <c r="V2" i="11" s="1"/>
  <c r="K559" i="2"/>
  <c r="M559" i="2" s="1"/>
  <c r="K47" i="6"/>
  <c r="Q200" i="1"/>
  <c r="R200" i="1"/>
  <c r="M199" i="1"/>
  <c r="O199" i="1" s="1"/>
  <c r="R199" i="1" s="1"/>
  <c r="Q184" i="1"/>
  <c r="Q182" i="1"/>
  <c r="M555" i="2"/>
  <c r="O555" i="2" s="1"/>
  <c r="D618" i="2"/>
  <c r="F618" i="2" s="1"/>
  <c r="F621" i="2" s="1"/>
  <c r="Q171" i="1"/>
  <c r="R171" i="1"/>
  <c r="F138" i="1"/>
  <c r="E451" i="2"/>
  <c r="G451" i="2" s="1"/>
  <c r="F140" i="1"/>
  <c r="E455" i="2" s="1"/>
  <c r="G455" i="2" s="1"/>
  <c r="F141" i="1"/>
  <c r="F142" i="1"/>
  <c r="E465" i="2" s="1"/>
  <c r="G465" i="2" s="1"/>
  <c r="F143" i="1"/>
  <c r="E469" i="2" s="1"/>
  <c r="G469" i="2" s="1"/>
  <c r="E440" i="2"/>
  <c r="G440" i="2" s="1"/>
  <c r="F34" i="1"/>
  <c r="F19" i="1"/>
  <c r="D12" i="3" s="1"/>
  <c r="F20" i="1"/>
  <c r="D13" i="3" s="1"/>
  <c r="D14" i="3"/>
  <c r="F22" i="1"/>
  <c r="D15" i="3" s="1"/>
  <c r="F23" i="1"/>
  <c r="E65" i="2" s="1"/>
  <c r="G65" i="2" s="1"/>
  <c r="D17" i="3"/>
  <c r="D31" i="2"/>
  <c r="G21" i="5"/>
  <c r="E20" i="5"/>
  <c r="G20" i="5" s="1"/>
  <c r="G19" i="5"/>
  <c r="E15" i="5"/>
  <c r="E73" i="2"/>
  <c r="A72" i="2"/>
  <c r="E69" i="2"/>
  <c r="A67" i="2"/>
  <c r="A66" i="2"/>
  <c r="E63" i="2"/>
  <c r="E58" i="2"/>
  <c r="A55" i="2"/>
  <c r="E52" i="2"/>
  <c r="A50" i="2"/>
  <c r="J48" i="2"/>
  <c r="J47" i="2"/>
  <c r="E47" i="2"/>
  <c r="J46" i="2"/>
  <c r="J45" i="2"/>
  <c r="J44" i="2"/>
  <c r="A44" i="2"/>
  <c r="A49" i="2" s="1"/>
  <c r="A54" i="2" s="1"/>
  <c r="A60" i="2" s="1"/>
  <c r="A65" i="2" s="1"/>
  <c r="A71" i="2" s="1"/>
  <c r="J43" i="2"/>
  <c r="J42" i="2"/>
  <c r="E42" i="2"/>
  <c r="J41" i="2"/>
  <c r="J40" i="2"/>
  <c r="E26" i="1"/>
  <c r="H24" i="1"/>
  <c r="L24" i="1" s="1"/>
  <c r="H23" i="1"/>
  <c r="L23" i="1" s="1"/>
  <c r="H22" i="1"/>
  <c r="L22" i="1" s="1"/>
  <c r="H21" i="1"/>
  <c r="L21" i="1" s="1"/>
  <c r="H20" i="1"/>
  <c r="L20" i="1" s="1"/>
  <c r="H19" i="1"/>
  <c r="L19" i="1" s="1"/>
  <c r="H18" i="1"/>
  <c r="L18" i="1" s="1"/>
  <c r="J448" i="2"/>
  <c r="J447" i="2"/>
  <c r="J446" i="2"/>
  <c r="J445" i="2"/>
  <c r="J444" i="2"/>
  <c r="J443" i="2"/>
  <c r="J442" i="2"/>
  <c r="J441" i="2"/>
  <c r="J440" i="2"/>
  <c r="N444" i="2"/>
  <c r="D448" i="2"/>
  <c r="D440" i="2"/>
  <c r="E449" i="2"/>
  <c r="E473" i="2"/>
  <c r="E467" i="2"/>
  <c r="E463" i="2"/>
  <c r="E458" i="2"/>
  <c r="E453" i="2"/>
  <c r="E443" i="2"/>
  <c r="L143" i="1"/>
  <c r="L142" i="1"/>
  <c r="L141" i="1"/>
  <c r="L140" i="1"/>
  <c r="L139" i="1"/>
  <c r="L138" i="1"/>
  <c r="L137" i="1"/>
  <c r="E260" i="2"/>
  <c r="E256" i="2"/>
  <c r="E250" i="2"/>
  <c r="E244" i="2"/>
  <c r="E239" i="2"/>
  <c r="J235" i="2"/>
  <c r="J234" i="2"/>
  <c r="E234" i="2"/>
  <c r="J233" i="2"/>
  <c r="J232" i="2"/>
  <c r="J231" i="2"/>
  <c r="J230" i="2"/>
  <c r="J229" i="2"/>
  <c r="E229" i="2"/>
  <c r="J228" i="2"/>
  <c r="J227" i="2"/>
  <c r="R87" i="1"/>
  <c r="L83" i="1"/>
  <c r="L82" i="1"/>
  <c r="L81" i="1"/>
  <c r="L80" i="1"/>
  <c r="L79" i="1"/>
  <c r="L78" i="1"/>
  <c r="L77" i="1"/>
  <c r="Q186" i="1" l="1"/>
  <c r="R21" i="10"/>
  <c r="O21" i="10"/>
  <c r="Q21" i="10" s="1"/>
  <c r="D485" i="2"/>
  <c r="F485" i="2" s="1"/>
  <c r="D477" i="2"/>
  <c r="F477" i="2" s="1"/>
  <c r="F440" i="2"/>
  <c r="L19" i="2"/>
  <c r="N19" i="2" s="1"/>
  <c r="D143" i="2"/>
  <c r="R6" i="11"/>
  <c r="T6" i="11" s="1"/>
  <c r="V6" i="11" s="1"/>
  <c r="R5" i="11"/>
  <c r="T5" i="11" s="1"/>
  <c r="V5" i="11" s="1"/>
  <c r="R8" i="11"/>
  <c r="T8" i="11" s="1"/>
  <c r="V8" i="11" s="1"/>
  <c r="R7" i="11"/>
  <c r="T7" i="11" s="1"/>
  <c r="V7" i="11" s="1"/>
  <c r="R3" i="11"/>
  <c r="T3" i="11" s="1"/>
  <c r="V3" i="11" s="1"/>
  <c r="R9" i="11"/>
  <c r="T9" i="11" s="1"/>
  <c r="V9" i="11" s="1"/>
  <c r="R4" i="11"/>
  <c r="T4" i="11" s="1"/>
  <c r="V4" i="11" s="1"/>
  <c r="O559" i="2"/>
  <c r="O560" i="2" s="1"/>
  <c r="M201" i="1"/>
  <c r="O201" i="1" s="1"/>
  <c r="Q199" i="1"/>
  <c r="R202" i="1"/>
  <c r="Q202" i="1"/>
  <c r="O598" i="2"/>
  <c r="M188" i="1"/>
  <c r="O188" i="1" s="1"/>
  <c r="Q188" i="1" s="1"/>
  <c r="F26" i="1"/>
  <c r="H26" i="1" s="1"/>
  <c r="T17" i="1" s="1"/>
  <c r="D506" i="2"/>
  <c r="F506" i="2" s="1"/>
  <c r="N477" i="2"/>
  <c r="O477" i="2" s="1"/>
  <c r="D482" i="2"/>
  <c r="F482" i="2" s="1"/>
  <c r="D488" i="2"/>
  <c r="F488" i="2" s="1"/>
  <c r="E54" i="2"/>
  <c r="G54" i="2" s="1"/>
  <c r="E44" i="2"/>
  <c r="G44" i="2" s="1"/>
  <c r="E49" i="2"/>
  <c r="G49" i="2" s="1"/>
  <c r="E233" i="2"/>
  <c r="G233" i="2" s="1"/>
  <c r="E457" i="2"/>
  <c r="G457" i="2" s="1"/>
  <c r="E238" i="2"/>
  <c r="G238" i="2" s="1"/>
  <c r="E66" i="2"/>
  <c r="G66" i="2" s="1"/>
  <c r="E60" i="2"/>
  <c r="G60" i="2" s="1"/>
  <c r="D472" i="2"/>
  <c r="D469" i="2"/>
  <c r="F469" i="2" s="1"/>
  <c r="D68" i="2"/>
  <c r="D16" i="3"/>
  <c r="E460" i="2"/>
  <c r="G460" i="2" s="1"/>
  <c r="E445" i="2"/>
  <c r="G445" i="2" s="1"/>
  <c r="E40" i="2"/>
  <c r="G40" i="2" s="1"/>
  <c r="G22" i="5"/>
  <c r="E71" i="2"/>
  <c r="G71" i="2" s="1"/>
  <c r="E67" i="2"/>
  <c r="G67" i="2" s="1"/>
  <c r="N440" i="2"/>
  <c r="E470" i="2"/>
  <c r="G470" i="2" s="1"/>
  <c r="E472" i="2"/>
  <c r="G472" i="2" s="1"/>
  <c r="E441" i="2"/>
  <c r="G441" i="2" s="1"/>
  <c r="E456" i="2"/>
  <c r="G456" i="2" s="1"/>
  <c r="E466" i="2"/>
  <c r="G466" i="2" s="1"/>
  <c r="E452" i="2"/>
  <c r="G452" i="2" s="1"/>
  <c r="E249" i="2"/>
  <c r="G249" i="2" s="1"/>
  <c r="E247" i="2"/>
  <c r="G247" i="2" s="1"/>
  <c r="E248" i="2"/>
  <c r="G248" i="2" s="1"/>
  <c r="E237" i="2"/>
  <c r="G237" i="2" s="1"/>
  <c r="E232" i="2"/>
  <c r="G232" i="2" s="1"/>
  <c r="E228" i="2"/>
  <c r="G228" i="2" s="1"/>
  <c r="D29" i="3"/>
  <c r="E41" i="1"/>
  <c r="E42" i="1"/>
  <c r="E71" i="1" s="1"/>
  <c r="E1" i="3"/>
  <c r="E19" i="3"/>
  <c r="E28" i="3"/>
  <c r="A30" i="3"/>
  <c r="A31" i="3"/>
  <c r="A32" i="3"/>
  <c r="A33" i="3"/>
  <c r="A34" i="3"/>
  <c r="A35" i="3"/>
  <c r="A29" i="3"/>
  <c r="K6" i="5" l="1"/>
  <c r="K7" i="5" s="1"/>
  <c r="K8" i="5" s="1"/>
  <c r="E77" i="2"/>
  <c r="G77" i="2" s="1"/>
  <c r="F472" i="2"/>
  <c r="E51" i="2"/>
  <c r="G51" i="2" s="1"/>
  <c r="D509" i="2"/>
  <c r="F509" i="2" s="1"/>
  <c r="D180" i="2"/>
  <c r="F180" i="2" s="1"/>
  <c r="V11" i="11"/>
  <c r="M203" i="1"/>
  <c r="Q201" i="1"/>
  <c r="R201" i="1"/>
  <c r="M187" i="1"/>
  <c r="R188" i="1"/>
  <c r="E86" i="1"/>
  <c r="F86" i="1" s="1"/>
  <c r="F71" i="1"/>
  <c r="F41" i="1"/>
  <c r="H41" i="1" s="1"/>
  <c r="T32" i="1" s="1"/>
  <c r="D492" i="2"/>
  <c r="F492" i="2" s="1"/>
  <c r="N479" i="2"/>
  <c r="O479" i="2" s="1"/>
  <c r="D105" i="2"/>
  <c r="E446" i="2"/>
  <c r="G446" i="2" s="1"/>
  <c r="E471" i="2"/>
  <c r="G471" i="2" s="1"/>
  <c r="K448" i="2"/>
  <c r="M448" i="2" s="1"/>
  <c r="E50" i="2"/>
  <c r="G50" i="2" s="1"/>
  <c r="E61" i="2"/>
  <c r="G61" i="2" s="1"/>
  <c r="E68" i="2"/>
  <c r="G68" i="2" s="1"/>
  <c r="E45" i="2"/>
  <c r="G45" i="2" s="1"/>
  <c r="E55" i="2"/>
  <c r="G55" i="2" s="1"/>
  <c r="E56" i="2"/>
  <c r="G56" i="2" s="1"/>
  <c r="E46" i="2"/>
  <c r="G46" i="2" s="1"/>
  <c r="E447" i="2"/>
  <c r="G447" i="2" s="1"/>
  <c r="E255" i="2"/>
  <c r="G255" i="2" s="1"/>
  <c r="K446" i="2"/>
  <c r="M446" i="2" s="1"/>
  <c r="K234" i="2"/>
  <c r="M234" i="2" s="1"/>
  <c r="K228" i="2"/>
  <c r="M228" i="2" s="1"/>
  <c r="E462" i="2"/>
  <c r="G462" i="2" s="1"/>
  <c r="E259" i="2"/>
  <c r="G259" i="2" s="1"/>
  <c r="E442" i="2"/>
  <c r="G442" i="2" s="1"/>
  <c r="N48" i="2"/>
  <c r="E41" i="2"/>
  <c r="G41" i="2" s="1"/>
  <c r="E72" i="2"/>
  <c r="G72" i="2" s="1"/>
  <c r="E461" i="2"/>
  <c r="G461" i="2" s="1"/>
  <c r="E254" i="2"/>
  <c r="G254" i="2" s="1"/>
  <c r="E253" i="2"/>
  <c r="G253" i="2" s="1"/>
  <c r="E70" i="1"/>
  <c r="K447" i="2"/>
  <c r="M447" i="2" s="1"/>
  <c r="E243" i="2"/>
  <c r="G243" i="2" s="1"/>
  <c r="E242" i="2"/>
  <c r="G242" i="2" s="1"/>
  <c r="R43" i="1"/>
  <c r="R13" i="1"/>
  <c r="E190" i="2"/>
  <c r="G190" i="2" s="1"/>
  <c r="R72" i="1"/>
  <c r="D212" i="2"/>
  <c r="D210" i="2"/>
  <c r="D206" i="2"/>
  <c r="D205" i="2"/>
  <c r="D196" i="2"/>
  <c r="D195" i="2"/>
  <c r="D190" i="2"/>
  <c r="F190" i="2" s="1"/>
  <c r="J198" i="2"/>
  <c r="J197" i="2"/>
  <c r="J196" i="2"/>
  <c r="J195" i="2"/>
  <c r="J194" i="2"/>
  <c r="J191" i="2"/>
  <c r="J190" i="2"/>
  <c r="J193" i="2"/>
  <c r="J192" i="2"/>
  <c r="E223" i="2"/>
  <c r="E219" i="2"/>
  <c r="E213" i="2"/>
  <c r="E207" i="2"/>
  <c r="E202" i="2"/>
  <c r="E197" i="2"/>
  <c r="E192" i="2"/>
  <c r="L68" i="1"/>
  <c r="L67" i="1"/>
  <c r="L66" i="1"/>
  <c r="L65" i="1"/>
  <c r="L64" i="1"/>
  <c r="L63" i="1"/>
  <c r="L62" i="1"/>
  <c r="I68" i="1"/>
  <c r="I83" i="1" s="1"/>
  <c r="I67" i="1"/>
  <c r="I82" i="1" s="1"/>
  <c r="I65" i="1"/>
  <c r="I66" i="1"/>
  <c r="I64" i="1"/>
  <c r="I63" i="1"/>
  <c r="I62" i="1"/>
  <c r="D30" i="3"/>
  <c r="D31" i="3"/>
  <c r="D32" i="3"/>
  <c r="D33" i="3"/>
  <c r="D35" i="3"/>
  <c r="I112" i="1" l="1"/>
  <c r="I97" i="1"/>
  <c r="I113" i="1"/>
  <c r="I128" i="1" s="1"/>
  <c r="I98" i="1"/>
  <c r="N160" i="2"/>
  <c r="O160" i="2" s="1"/>
  <c r="I78" i="1"/>
  <c r="I77" i="1"/>
  <c r="J77" i="1" s="1"/>
  <c r="I81" i="1"/>
  <c r="J81" i="1" s="1"/>
  <c r="J98" i="1"/>
  <c r="I80" i="1"/>
  <c r="J80" i="1" s="1"/>
  <c r="J97" i="1"/>
  <c r="I79" i="1"/>
  <c r="J79" i="1" s="1"/>
  <c r="K440" i="2"/>
  <c r="M440" i="2" s="1"/>
  <c r="O440" i="2" s="1"/>
  <c r="F68" i="2"/>
  <c r="K40" i="2"/>
  <c r="M40" i="2" s="1"/>
  <c r="E146" i="1"/>
  <c r="F146" i="1" s="1"/>
  <c r="O187" i="1"/>
  <c r="L191" i="1"/>
  <c r="E116" i="1"/>
  <c r="O203" i="1"/>
  <c r="L206" i="1"/>
  <c r="F70" i="1"/>
  <c r="H70" i="1" s="1"/>
  <c r="T61" i="1" s="1"/>
  <c r="D497" i="2"/>
  <c r="F497" i="2" s="1"/>
  <c r="N482" i="2"/>
  <c r="O482" i="2" s="1"/>
  <c r="E448" i="2"/>
  <c r="G448" i="2" s="1"/>
  <c r="J113" i="1"/>
  <c r="J112" i="1"/>
  <c r="I127" i="1"/>
  <c r="K43" i="2"/>
  <c r="M43" i="2" s="1"/>
  <c r="K42" i="2"/>
  <c r="M42" i="2" s="1"/>
  <c r="K41" i="2"/>
  <c r="M41" i="2" s="1"/>
  <c r="N85" i="2"/>
  <c r="E78" i="2"/>
  <c r="G78" i="2" s="1"/>
  <c r="E62" i="2"/>
  <c r="G62" i="2" s="1"/>
  <c r="E57" i="2"/>
  <c r="G57" i="2" s="1"/>
  <c r="K230" i="2"/>
  <c r="M230" i="2" s="1"/>
  <c r="K45" i="2"/>
  <c r="M45" i="2" s="1"/>
  <c r="K231" i="2"/>
  <c r="M231" i="2" s="1"/>
  <c r="K229" i="2"/>
  <c r="M229" i="2" s="1"/>
  <c r="K233" i="2"/>
  <c r="M233" i="2" s="1"/>
  <c r="K235" i="2"/>
  <c r="M235" i="2" s="1"/>
  <c r="E191" i="2"/>
  <c r="G191" i="2" s="1"/>
  <c r="K44" i="2"/>
  <c r="M44" i="2" s="1"/>
  <c r="D247" i="2"/>
  <c r="N195" i="2"/>
  <c r="D222" i="2"/>
  <c r="K445" i="2"/>
  <c r="M445" i="2" s="1"/>
  <c r="K48" i="2"/>
  <c r="M48" i="2" s="1"/>
  <c r="E85" i="1"/>
  <c r="K441" i="2"/>
  <c r="M441" i="2" s="1"/>
  <c r="K227" i="2"/>
  <c r="M227" i="2" s="1"/>
  <c r="J137" i="1"/>
  <c r="N192" i="2"/>
  <c r="D232" i="2"/>
  <c r="N196" i="2"/>
  <c r="D243" i="2"/>
  <c r="J138" i="1"/>
  <c r="J78" i="1"/>
  <c r="D194" i="2"/>
  <c r="D227" i="2"/>
  <c r="D264" i="2" s="1"/>
  <c r="F264" i="2" s="1"/>
  <c r="D201" i="2"/>
  <c r="D233" i="2"/>
  <c r="J139" i="1"/>
  <c r="J141" i="1"/>
  <c r="J140" i="1"/>
  <c r="J142" i="1"/>
  <c r="J82" i="1"/>
  <c r="D211" i="2"/>
  <c r="J143" i="1"/>
  <c r="J83" i="1"/>
  <c r="N198" i="2"/>
  <c r="D249" i="2"/>
  <c r="D216" i="2"/>
  <c r="K232" i="2"/>
  <c r="M232" i="2" s="1"/>
  <c r="J63" i="1"/>
  <c r="E194" i="2"/>
  <c r="G194" i="2" s="1"/>
  <c r="E209" i="2"/>
  <c r="G209" i="2" s="1"/>
  <c r="E221" i="2"/>
  <c r="G221" i="2" s="1"/>
  <c r="J68" i="1"/>
  <c r="E215" i="2"/>
  <c r="G215" i="2" s="1"/>
  <c r="D34" i="3"/>
  <c r="J66" i="1"/>
  <c r="J65" i="1"/>
  <c r="E204" i="2"/>
  <c r="G204" i="2" s="1"/>
  <c r="E199" i="2"/>
  <c r="G199" i="2" s="1"/>
  <c r="J64" i="1"/>
  <c r="N190" i="2"/>
  <c r="D199" i="2"/>
  <c r="N193" i="2"/>
  <c r="J62" i="1"/>
  <c r="J67" i="1"/>
  <c r="I111" i="1" l="1"/>
  <c r="I96" i="1"/>
  <c r="J96" i="1" s="1"/>
  <c r="F233" i="2"/>
  <c r="D270" i="2"/>
  <c r="I110" i="1"/>
  <c r="I95" i="1"/>
  <c r="J95" i="1" s="1"/>
  <c r="I108" i="1"/>
  <c r="I93" i="1"/>
  <c r="J93" i="1" s="1"/>
  <c r="I107" i="1"/>
  <c r="I92" i="1"/>
  <c r="J92" i="1" s="1"/>
  <c r="I109" i="1"/>
  <c r="J109" i="1" s="1"/>
  <c r="I94" i="1"/>
  <c r="J94" i="1" s="1"/>
  <c r="D268" i="2"/>
  <c r="F268" i="2" s="1"/>
  <c r="D273" i="2"/>
  <c r="N264" i="2"/>
  <c r="O264" i="2" s="1"/>
  <c r="F249" i="2"/>
  <c r="D286" i="2"/>
  <c r="F232" i="2"/>
  <c r="D269" i="2"/>
  <c r="F247" i="2"/>
  <c r="D284" i="2"/>
  <c r="F243" i="2"/>
  <c r="D280" i="2"/>
  <c r="F199" i="2"/>
  <c r="K443" i="2"/>
  <c r="M443" i="2" s="1"/>
  <c r="K47" i="2"/>
  <c r="M47" i="2" s="1"/>
  <c r="F194" i="2"/>
  <c r="K444" i="2"/>
  <c r="M444" i="2" s="1"/>
  <c r="O444" i="2" s="1"/>
  <c r="F448" i="2"/>
  <c r="O48" i="2"/>
  <c r="M49" i="2"/>
  <c r="D302" i="2"/>
  <c r="F227" i="2"/>
  <c r="R203" i="1"/>
  <c r="M206" i="1" s="1"/>
  <c r="L207" i="1" s="1"/>
  <c r="Q203" i="1"/>
  <c r="T201" i="1" s="1"/>
  <c r="R187" i="1"/>
  <c r="M191" i="1" s="1"/>
  <c r="L192" i="1" s="1"/>
  <c r="Q187" i="1"/>
  <c r="T186" i="1" s="1"/>
  <c r="E131" i="1"/>
  <c r="F131" i="1" s="1"/>
  <c r="F116" i="1"/>
  <c r="F85" i="1"/>
  <c r="H85" i="1" s="1"/>
  <c r="T76" i="1" s="1"/>
  <c r="D502" i="2"/>
  <c r="F502" i="2" s="1"/>
  <c r="N484" i="2"/>
  <c r="O484" i="2" s="1"/>
  <c r="J127" i="1"/>
  <c r="J128" i="1"/>
  <c r="D318" i="2"/>
  <c r="D307" i="2"/>
  <c r="F307" i="2" s="1"/>
  <c r="D324" i="2"/>
  <c r="D322" i="2"/>
  <c r="F322" i="2" s="1"/>
  <c r="D308" i="2"/>
  <c r="E115" i="1"/>
  <c r="K78" i="2"/>
  <c r="M78" i="2" s="1"/>
  <c r="N234" i="2"/>
  <c r="O234" i="2" s="1"/>
  <c r="K191" i="2"/>
  <c r="M191" i="2" s="1"/>
  <c r="E200" i="2"/>
  <c r="G200" i="2" s="1"/>
  <c r="E196" i="2"/>
  <c r="G196" i="2" s="1"/>
  <c r="K442" i="2"/>
  <c r="M442" i="2" s="1"/>
  <c r="D204" i="2"/>
  <c r="F204" i="2" s="1"/>
  <c r="D470" i="2"/>
  <c r="F470" i="2" s="1"/>
  <c r="D457" i="2"/>
  <c r="F457" i="2" s="1"/>
  <c r="D217" i="2"/>
  <c r="D446" i="2"/>
  <c r="F446" i="2" s="1"/>
  <c r="D238" i="2"/>
  <c r="D442" i="2"/>
  <c r="F442" i="2" s="1"/>
  <c r="K46" i="2"/>
  <c r="M46" i="2" s="1"/>
  <c r="E145" i="1"/>
  <c r="D445" i="2"/>
  <c r="F445" i="2" s="1"/>
  <c r="D451" i="2"/>
  <c r="F451" i="2" s="1"/>
  <c r="N233" i="2"/>
  <c r="O233" i="2" s="1"/>
  <c r="N235" i="2"/>
  <c r="O235" i="2" s="1"/>
  <c r="D253" i="2"/>
  <c r="F253" i="2" s="1"/>
  <c r="D231" i="2"/>
  <c r="F231" i="2" s="1"/>
  <c r="N227" i="2"/>
  <c r="O227" i="2" s="1"/>
  <c r="D236" i="2"/>
  <c r="F236" i="2" s="1"/>
  <c r="N229" i="2"/>
  <c r="O229" i="2" s="1"/>
  <c r="D259" i="2"/>
  <c r="F259" i="2" s="1"/>
  <c r="N230" i="2"/>
  <c r="O230" i="2" s="1"/>
  <c r="J146" i="1"/>
  <c r="J86" i="1"/>
  <c r="E195" i="2"/>
  <c r="G195" i="2" s="1"/>
  <c r="E201" i="2"/>
  <c r="G201" i="2" s="1"/>
  <c r="J71" i="1"/>
  <c r="E205" i="2"/>
  <c r="G205" i="2" s="1"/>
  <c r="E206" i="2"/>
  <c r="G206" i="2" s="1"/>
  <c r="N197" i="2"/>
  <c r="F234" i="2" l="1"/>
  <c r="I124" i="1"/>
  <c r="J124" i="1" s="1"/>
  <c r="J101" i="1"/>
  <c r="D278" i="2"/>
  <c r="F278" i="2" s="1"/>
  <c r="F273" i="2"/>
  <c r="I122" i="1"/>
  <c r="J122" i="1" s="1"/>
  <c r="J107" i="1"/>
  <c r="N270" i="2"/>
  <c r="O270" i="2" s="1"/>
  <c r="F280" i="2"/>
  <c r="I123" i="1"/>
  <c r="J123" i="1" s="1"/>
  <c r="J108" i="1"/>
  <c r="N271" i="2"/>
  <c r="O271" i="2" s="1"/>
  <c r="F284" i="2"/>
  <c r="I125" i="1"/>
  <c r="J125" i="1" s="1"/>
  <c r="J110" i="1"/>
  <c r="D296" i="2"/>
  <c r="F296" i="2" s="1"/>
  <c r="N266" i="2"/>
  <c r="O266" i="2" s="1"/>
  <c r="F269" i="2"/>
  <c r="N267" i="2"/>
  <c r="O267" i="2" s="1"/>
  <c r="F270" i="2"/>
  <c r="D290" i="2"/>
  <c r="F290" i="2" s="1"/>
  <c r="N272" i="2"/>
  <c r="O272" i="2" s="1"/>
  <c r="F286" i="2"/>
  <c r="F238" i="2"/>
  <c r="D275" i="2"/>
  <c r="F275" i="2" s="1"/>
  <c r="J111" i="1"/>
  <c r="I126" i="1"/>
  <c r="J126" i="1" s="1"/>
  <c r="F201" i="2"/>
  <c r="K196" i="2"/>
  <c r="M196" i="2" s="1"/>
  <c r="O196" i="2" s="1"/>
  <c r="F206" i="2"/>
  <c r="F205" i="2"/>
  <c r="K193" i="2"/>
  <c r="M193" i="2" s="1"/>
  <c r="O193" i="2" s="1"/>
  <c r="F196" i="2"/>
  <c r="F195" i="2"/>
  <c r="D355" i="2"/>
  <c r="N345" i="2" s="1"/>
  <c r="O345" i="2" s="1"/>
  <c r="F318" i="2"/>
  <c r="D345" i="2"/>
  <c r="N342" i="2" s="1"/>
  <c r="O342" i="2" s="1"/>
  <c r="F308" i="2"/>
  <c r="D361" i="2"/>
  <c r="F361" i="2" s="1"/>
  <c r="F324" i="2"/>
  <c r="D339" i="2"/>
  <c r="F302" i="2"/>
  <c r="R205" i="1"/>
  <c r="S208" i="1" s="1"/>
  <c r="L44" i="6" s="1"/>
  <c r="R190" i="1"/>
  <c r="S193" i="1" s="1"/>
  <c r="L43" i="6" s="1"/>
  <c r="F145" i="1"/>
  <c r="H145" i="1" s="1"/>
  <c r="T136" i="1" s="1"/>
  <c r="F115" i="1"/>
  <c r="H115" i="1" s="1"/>
  <c r="T106" i="1" s="1"/>
  <c r="D359" i="2"/>
  <c r="D507" i="2"/>
  <c r="F507" i="2" s="1"/>
  <c r="D494" i="2"/>
  <c r="F494" i="2" s="1"/>
  <c r="D344" i="2"/>
  <c r="D483" i="2"/>
  <c r="F483" i="2" s="1"/>
  <c r="D479" i="2"/>
  <c r="F479" i="2" s="1"/>
  <c r="E130" i="1"/>
  <c r="F130" i="1" s="1"/>
  <c r="D313" i="2"/>
  <c r="F313" i="2" s="1"/>
  <c r="N305" i="2"/>
  <c r="O305" i="2" s="1"/>
  <c r="N309" i="2"/>
  <c r="O309" i="2" s="1"/>
  <c r="D328" i="2"/>
  <c r="F328" i="2" s="1"/>
  <c r="N310" i="2"/>
  <c r="O310" i="2" s="1"/>
  <c r="M78" i="1"/>
  <c r="D334" i="2"/>
  <c r="F334" i="2" s="1"/>
  <c r="N304" i="2"/>
  <c r="O304" i="2" s="1"/>
  <c r="N308" i="2"/>
  <c r="O308" i="2" s="1"/>
  <c r="D306" i="2"/>
  <c r="F306" i="2" s="1"/>
  <c r="N302" i="2"/>
  <c r="O302" i="2" s="1"/>
  <c r="D311" i="2"/>
  <c r="F311" i="2" s="1"/>
  <c r="D462" i="2"/>
  <c r="F462" i="2" s="1"/>
  <c r="D209" i="2"/>
  <c r="F209" i="2" s="1"/>
  <c r="D242" i="2"/>
  <c r="F242" i="2" s="1"/>
  <c r="N443" i="2"/>
  <c r="O443" i="2" s="1"/>
  <c r="N442" i="2"/>
  <c r="O442" i="2" s="1"/>
  <c r="D455" i="2"/>
  <c r="F455" i="2" s="1"/>
  <c r="D241" i="2"/>
  <c r="F241" i="2" s="1"/>
  <c r="E210" i="2"/>
  <c r="G210" i="2" s="1"/>
  <c r="E211" i="2"/>
  <c r="G211" i="2" s="1"/>
  <c r="E212" i="2"/>
  <c r="G212" i="2" s="1"/>
  <c r="E12" i="7"/>
  <c r="E10" i="7"/>
  <c r="E26" i="7"/>
  <c r="E24" i="7"/>
  <c r="E23" i="7"/>
  <c r="E22" i="7"/>
  <c r="E20" i="7"/>
  <c r="E19" i="7"/>
  <c r="E18" i="7"/>
  <c r="E16" i="7"/>
  <c r="E15" i="7"/>
  <c r="E14" i="7"/>
  <c r="E8" i="7"/>
  <c r="E7" i="7"/>
  <c r="E6" i="7"/>
  <c r="E4" i="7"/>
  <c r="E3" i="7"/>
  <c r="E2" i="7"/>
  <c r="E11" i="7"/>
  <c r="B30" i="7"/>
  <c r="B31" i="7"/>
  <c r="B32" i="7"/>
  <c r="B33" i="7"/>
  <c r="B34" i="7"/>
  <c r="B35" i="7"/>
  <c r="B36" i="7"/>
  <c r="B37" i="7"/>
  <c r="B38" i="7"/>
  <c r="B39" i="7"/>
  <c r="B40" i="7"/>
  <c r="B29" i="7"/>
  <c r="F26" i="7"/>
  <c r="C26" i="7"/>
  <c r="H26" i="7" s="1"/>
  <c r="B26" i="7"/>
  <c r="G26" i="7" s="1"/>
  <c r="B23" i="7"/>
  <c r="C23" i="7"/>
  <c r="B24" i="7"/>
  <c r="C24" i="7"/>
  <c r="C22" i="7"/>
  <c r="B22" i="7"/>
  <c r="B19" i="7"/>
  <c r="C19" i="7"/>
  <c r="B20" i="7"/>
  <c r="C20" i="7"/>
  <c r="C18" i="7"/>
  <c r="B18" i="7"/>
  <c r="B15" i="7"/>
  <c r="C15" i="7"/>
  <c r="B16" i="7"/>
  <c r="C16" i="7"/>
  <c r="C14" i="7"/>
  <c r="B14" i="7"/>
  <c r="B11" i="7"/>
  <c r="C11" i="7"/>
  <c r="B12" i="7"/>
  <c r="C12" i="7"/>
  <c r="C10" i="7"/>
  <c r="B10" i="7"/>
  <c r="C7" i="7"/>
  <c r="C8" i="7"/>
  <c r="C6" i="7"/>
  <c r="B7" i="7"/>
  <c r="B8" i="7"/>
  <c r="B6" i="7"/>
  <c r="C4" i="7"/>
  <c r="B4" i="7"/>
  <c r="C3" i="7"/>
  <c r="B3" i="7"/>
  <c r="C2" i="7"/>
  <c r="B2" i="7"/>
  <c r="J131" i="1" l="1"/>
  <c r="F207" i="2"/>
  <c r="F197" i="2"/>
  <c r="M63" i="1" s="1"/>
  <c r="O63" i="1" s="1"/>
  <c r="Q63" i="1" s="1"/>
  <c r="J116" i="1"/>
  <c r="D283" i="2"/>
  <c r="F271" i="2"/>
  <c r="M93" i="1" s="1"/>
  <c r="D398" i="2"/>
  <c r="D402" i="2" s="1"/>
  <c r="F402" i="2" s="1"/>
  <c r="D365" i="2"/>
  <c r="F365" i="2" s="1"/>
  <c r="N347" i="2"/>
  <c r="O347" i="2" s="1"/>
  <c r="F212" i="2"/>
  <c r="K197" i="2"/>
  <c r="M197" i="2" s="1"/>
  <c r="O197" i="2" s="1"/>
  <c r="F210" i="2"/>
  <c r="F211" i="2"/>
  <c r="F309" i="2"/>
  <c r="M108" i="1" s="1"/>
  <c r="D396" i="2"/>
  <c r="F359" i="2"/>
  <c r="D392" i="2"/>
  <c r="F355" i="2"/>
  <c r="F244" i="2"/>
  <c r="D382" i="2"/>
  <c r="F345" i="2"/>
  <c r="D381" i="2"/>
  <c r="F381" i="2" s="1"/>
  <c r="F344" i="2"/>
  <c r="F398" i="2"/>
  <c r="D376" i="2"/>
  <c r="F339" i="2"/>
  <c r="D343" i="2"/>
  <c r="F343" i="2" s="1"/>
  <c r="D348" i="2"/>
  <c r="N339" i="2"/>
  <c r="O339" i="2" s="1"/>
  <c r="S209" i="1"/>
  <c r="S207" i="1"/>
  <c r="K44" i="6" s="1"/>
  <c r="S192" i="1"/>
  <c r="K43" i="6" s="1"/>
  <c r="S194" i="1"/>
  <c r="D371" i="2"/>
  <c r="F371" i="2" s="1"/>
  <c r="N341" i="2"/>
  <c r="O341" i="2" s="1"/>
  <c r="N346" i="2"/>
  <c r="O346" i="2" s="1"/>
  <c r="N480" i="2"/>
  <c r="O480" i="2" s="1"/>
  <c r="D499" i="2"/>
  <c r="F499" i="2" s="1"/>
  <c r="H130" i="1"/>
  <c r="T121" i="1" s="1"/>
  <c r="D350" i="2"/>
  <c r="F350" i="2" s="1"/>
  <c r="D316" i="2"/>
  <c r="F316" i="2" s="1"/>
  <c r="N448" i="2"/>
  <c r="O448" i="2" s="1"/>
  <c r="O517" i="2"/>
  <c r="M168" i="1"/>
  <c r="I23" i="7"/>
  <c r="N445" i="2"/>
  <c r="O445" i="2" s="1"/>
  <c r="D215" i="2"/>
  <c r="F215" i="2" s="1"/>
  <c r="D248" i="2"/>
  <c r="F248" i="2" s="1"/>
  <c r="N232" i="2"/>
  <c r="O232" i="2" s="1"/>
  <c r="I3" i="7"/>
  <c r="I10" i="7"/>
  <c r="I20" i="7"/>
  <c r="I14" i="7"/>
  <c r="D460" i="2"/>
  <c r="F460" i="2" s="1"/>
  <c r="I8" i="7"/>
  <c r="D246" i="2"/>
  <c r="F246" i="2" s="1"/>
  <c r="I22" i="7"/>
  <c r="I24" i="7"/>
  <c r="I26" i="7"/>
  <c r="J26" i="7" s="1"/>
  <c r="I16" i="7"/>
  <c r="I7" i="7"/>
  <c r="I11" i="7"/>
  <c r="I2" i="7"/>
  <c r="I6" i="7"/>
  <c r="I4" i="7"/>
  <c r="I18" i="7"/>
  <c r="I12" i="7"/>
  <c r="I19" i="7"/>
  <c r="AC20" i="7"/>
  <c r="AC19" i="7"/>
  <c r="AC18" i="7"/>
  <c r="AC17" i="7"/>
  <c r="AC16" i="7"/>
  <c r="AC15" i="7"/>
  <c r="AD11" i="7"/>
  <c r="AD10" i="7"/>
  <c r="AD9" i="7"/>
  <c r="Z6" i="7"/>
  <c r="AA17" i="7"/>
  <c r="Z4" i="7"/>
  <c r="AA4" i="7" s="1"/>
  <c r="Z5" i="7"/>
  <c r="AA5" i="7" s="1"/>
  <c r="Z7" i="7"/>
  <c r="AA7" i="7" s="1"/>
  <c r="AB7" i="7" s="1"/>
  <c r="Z8" i="7"/>
  <c r="AA8" i="7" s="1"/>
  <c r="AB8" i="7" s="1"/>
  <c r="Z9" i="7"/>
  <c r="AA9" i="7" s="1"/>
  <c r="Z10" i="7"/>
  <c r="AA10" i="7" s="1"/>
  <c r="Z11" i="7"/>
  <c r="AA11" i="7" s="1"/>
  <c r="Z12" i="7"/>
  <c r="AA12" i="7" s="1"/>
  <c r="Z13" i="7"/>
  <c r="AA13" i="7" s="1"/>
  <c r="Z14" i="7"/>
  <c r="Z15" i="7"/>
  <c r="AA15" i="7" s="1"/>
  <c r="Z16" i="7"/>
  <c r="AA16" i="7" s="1"/>
  <c r="Z17" i="7"/>
  <c r="Z18" i="7"/>
  <c r="AB18" i="7" s="1"/>
  <c r="Z19" i="7"/>
  <c r="AB19" i="7" s="1"/>
  <c r="Z20" i="7"/>
  <c r="AB20" i="7" s="1"/>
  <c r="Z3" i="7"/>
  <c r="AA3" i="7" s="1"/>
  <c r="I15" i="7"/>
  <c r="N384" i="2" l="1"/>
  <c r="O384" i="2" s="1"/>
  <c r="D408" i="2"/>
  <c r="F408" i="2" s="1"/>
  <c r="D289" i="2"/>
  <c r="F283" i="2"/>
  <c r="F213" i="2"/>
  <c r="N378" i="2"/>
  <c r="O378" i="2" s="1"/>
  <c r="F346" i="2"/>
  <c r="AB13" i="7"/>
  <c r="AB12" i="7"/>
  <c r="AB11" i="7"/>
  <c r="AB10" i="7"/>
  <c r="AB9" i="7"/>
  <c r="AA14" i="7"/>
  <c r="AB14" i="7" s="1"/>
  <c r="F250" i="2"/>
  <c r="M81" i="1" s="1"/>
  <c r="N383" i="2"/>
  <c r="O383" i="2" s="1"/>
  <c r="F396" i="2"/>
  <c r="F392" i="2"/>
  <c r="N382" i="2"/>
  <c r="O382" i="2" s="1"/>
  <c r="F382" i="2"/>
  <c r="N379" i="2"/>
  <c r="O379" i="2" s="1"/>
  <c r="F348" i="2"/>
  <c r="D353" i="2"/>
  <c r="F376" i="2"/>
  <c r="D380" i="2"/>
  <c r="F380" i="2" s="1"/>
  <c r="N376" i="2"/>
  <c r="O376" i="2" s="1"/>
  <c r="D385" i="2"/>
  <c r="M66" i="1"/>
  <c r="M123" i="1"/>
  <c r="N485" i="2"/>
  <c r="O485" i="2" s="1"/>
  <c r="D387" i="2"/>
  <c r="F387" i="2" s="1"/>
  <c r="O108" i="1"/>
  <c r="Q108" i="1" s="1"/>
  <c r="R108" i="1"/>
  <c r="D321" i="2"/>
  <c r="F321" i="2" s="1"/>
  <c r="O168" i="1"/>
  <c r="R63" i="1"/>
  <c r="D221" i="2"/>
  <c r="F221" i="2" s="1"/>
  <c r="D447" i="2"/>
  <c r="F447" i="2" s="1"/>
  <c r="D254" i="2"/>
  <c r="D465" i="2"/>
  <c r="F465" i="2" s="1"/>
  <c r="N447" i="2"/>
  <c r="O447" i="2" s="1"/>
  <c r="M80" i="1"/>
  <c r="D252" i="2"/>
  <c r="F252" i="2" s="1"/>
  <c r="M65" i="1"/>
  <c r="R65" i="1" s="1"/>
  <c r="R78" i="1"/>
  <c r="O78" i="1"/>
  <c r="Q78" i="1" s="1"/>
  <c r="E217" i="2"/>
  <c r="G217" i="2" s="1"/>
  <c r="E218" i="2"/>
  <c r="G218" i="2" s="1"/>
  <c r="E216" i="2"/>
  <c r="G216" i="2" s="1"/>
  <c r="AA6" i="7"/>
  <c r="AB6" i="7" s="1"/>
  <c r="G22" i="7"/>
  <c r="H24" i="7"/>
  <c r="G24" i="7"/>
  <c r="G23" i="7"/>
  <c r="H20" i="7"/>
  <c r="G20" i="7"/>
  <c r="G19" i="7"/>
  <c r="H18" i="7"/>
  <c r="G18" i="7"/>
  <c r="G16" i="7"/>
  <c r="G15" i="7"/>
  <c r="H14" i="7"/>
  <c r="G14" i="7"/>
  <c r="H12" i="7"/>
  <c r="H11" i="7"/>
  <c r="H10" i="7"/>
  <c r="G12" i="7"/>
  <c r="G11" i="7"/>
  <c r="G10" i="7"/>
  <c r="H7" i="7"/>
  <c r="H8" i="7"/>
  <c r="G7" i="7"/>
  <c r="G8" i="7"/>
  <c r="H6" i="7"/>
  <c r="G6" i="7"/>
  <c r="J6" i="7" s="1"/>
  <c r="H3" i="7"/>
  <c r="H4" i="7"/>
  <c r="G3" i="7"/>
  <c r="G4" i="7"/>
  <c r="H2" i="7"/>
  <c r="H23" i="7"/>
  <c r="H22" i="7"/>
  <c r="H19" i="7"/>
  <c r="H16" i="7"/>
  <c r="H15" i="7"/>
  <c r="G2" i="7"/>
  <c r="F254" i="2" l="1"/>
  <c r="R93" i="1" s="1"/>
  <c r="D291" i="2"/>
  <c r="F291" i="2" s="1"/>
  <c r="D279" i="2"/>
  <c r="D295" i="2"/>
  <c r="F295" i="2" s="1"/>
  <c r="F297" i="2" s="1"/>
  <c r="M98" i="1" s="1"/>
  <c r="F289" i="2"/>
  <c r="O93" i="1"/>
  <c r="Q93" i="1" s="1"/>
  <c r="F216" i="2"/>
  <c r="F217" i="2"/>
  <c r="F383" i="2"/>
  <c r="J18" i="7"/>
  <c r="F385" i="2"/>
  <c r="D390" i="2"/>
  <c r="F353" i="2"/>
  <c r="D358" i="2"/>
  <c r="O123" i="1"/>
  <c r="Q123" i="1" s="1"/>
  <c r="R123" i="1"/>
  <c r="F449" i="2"/>
  <c r="M138" i="1" s="1"/>
  <c r="O138" i="1" s="1"/>
  <c r="Q138" i="1" s="1"/>
  <c r="D484" i="2"/>
  <c r="F484" i="2" s="1"/>
  <c r="F486" i="2" s="1"/>
  <c r="J16" i="7"/>
  <c r="J3" i="7"/>
  <c r="J15" i="7"/>
  <c r="D317" i="2"/>
  <c r="F317" i="2" s="1"/>
  <c r="F319" i="2" s="1"/>
  <c r="D327" i="2"/>
  <c r="F327" i="2" s="1"/>
  <c r="J4" i="7"/>
  <c r="J14" i="7"/>
  <c r="K195" i="2"/>
  <c r="M195" i="2" s="1"/>
  <c r="O195" i="2" s="1"/>
  <c r="R168" i="1"/>
  <c r="Q168" i="1"/>
  <c r="J24" i="7"/>
  <c r="J7" i="7"/>
  <c r="J10" i="7"/>
  <c r="J20" i="7"/>
  <c r="J23" i="7"/>
  <c r="J2" i="7"/>
  <c r="J19" i="7"/>
  <c r="J22" i="7"/>
  <c r="J8" i="7"/>
  <c r="J12" i="7"/>
  <c r="J11" i="7"/>
  <c r="D456" i="2"/>
  <c r="O65" i="1"/>
  <c r="Q65" i="1" s="1"/>
  <c r="D258" i="2"/>
  <c r="F258" i="2" s="1"/>
  <c r="F260" i="2" s="1"/>
  <c r="R66" i="1"/>
  <c r="O66" i="1"/>
  <c r="Q66" i="1" s="1"/>
  <c r="K194" i="2"/>
  <c r="M194" i="2" s="1"/>
  <c r="B8" i="4"/>
  <c r="R98" i="1" l="1"/>
  <c r="O98" i="1"/>
  <c r="Q98" i="1" s="1"/>
  <c r="D285" i="2"/>
  <c r="F285" i="2" s="1"/>
  <c r="F287" i="2" s="1"/>
  <c r="M96" i="1" s="1"/>
  <c r="N269" i="2"/>
  <c r="O269" i="2" s="1"/>
  <c r="F279" i="2"/>
  <c r="F281" i="2" s="1"/>
  <c r="M95" i="1" s="1"/>
  <c r="F456" i="2"/>
  <c r="F458" i="2" s="1"/>
  <c r="M140" i="1" s="1"/>
  <c r="O140" i="1" s="1"/>
  <c r="Q140" i="1" s="1"/>
  <c r="F358" i="2"/>
  <c r="D364" i="2"/>
  <c r="F390" i="2"/>
  <c r="D395" i="2"/>
  <c r="D493" i="2"/>
  <c r="M153" i="1"/>
  <c r="D333" i="2"/>
  <c r="F333" i="2" s="1"/>
  <c r="F335" i="2" s="1"/>
  <c r="D323" i="2"/>
  <c r="F323" i="2" s="1"/>
  <c r="F325" i="2" s="1"/>
  <c r="N307" i="2"/>
  <c r="O307" i="2" s="1"/>
  <c r="O167" i="1"/>
  <c r="M83" i="1"/>
  <c r="N446" i="2"/>
  <c r="O446" i="2" s="1"/>
  <c r="D471" i="2"/>
  <c r="R138" i="1"/>
  <c r="K198" i="2"/>
  <c r="M198" i="2" s="1"/>
  <c r="O198" i="2" s="1"/>
  <c r="E222" i="2"/>
  <c r="G222" i="2" s="1"/>
  <c r="R96" i="1" l="1"/>
  <c r="O96" i="1"/>
  <c r="Q96" i="1" s="1"/>
  <c r="R95" i="1"/>
  <c r="O95" i="1"/>
  <c r="Q95" i="1" s="1"/>
  <c r="F222" i="2"/>
  <c r="F223" i="2" s="1"/>
  <c r="F493" i="2"/>
  <c r="F495" i="2" s="1"/>
  <c r="M155" i="1" s="1"/>
  <c r="F471" i="2"/>
  <c r="F473" i="2" s="1"/>
  <c r="D413" i="2"/>
  <c r="F413" i="2" s="1"/>
  <c r="F395" i="2"/>
  <c r="D401" i="2"/>
  <c r="F364" i="2"/>
  <c r="D370" i="2"/>
  <c r="F370" i="2" s="1"/>
  <c r="F372" i="2" s="1"/>
  <c r="M128" i="1" s="1"/>
  <c r="O128" i="1" s="1"/>
  <c r="Q128" i="1" s="1"/>
  <c r="R153" i="1"/>
  <c r="O153" i="1"/>
  <c r="Q153" i="1" s="1"/>
  <c r="M113" i="1"/>
  <c r="D508" i="2"/>
  <c r="F508" i="2" s="1"/>
  <c r="F510" i="2" s="1"/>
  <c r="N483" i="2"/>
  <c r="O483" i="2" s="1"/>
  <c r="M110" i="1"/>
  <c r="R110" i="1" s="1"/>
  <c r="D329" i="2"/>
  <c r="F329" i="2" s="1"/>
  <c r="R167" i="1"/>
  <c r="Q167" i="1"/>
  <c r="R83" i="1"/>
  <c r="O83" i="1"/>
  <c r="Q83" i="1" s="1"/>
  <c r="R140" i="1"/>
  <c r="K190" i="2"/>
  <c r="M190" i="2" s="1"/>
  <c r="O190" i="2" s="1"/>
  <c r="E36" i="2"/>
  <c r="E32" i="2"/>
  <c r="E26" i="2"/>
  <c r="E21" i="2"/>
  <c r="E15" i="2"/>
  <c r="E10" i="2"/>
  <c r="E5" i="2"/>
  <c r="E148" i="2"/>
  <c r="E144" i="2"/>
  <c r="E138" i="2"/>
  <c r="E133" i="2"/>
  <c r="E127" i="2"/>
  <c r="O155" i="1" l="1"/>
  <c r="Q155" i="1" s="1"/>
  <c r="R155" i="1"/>
  <c r="R128" i="1"/>
  <c r="F401" i="2"/>
  <c r="D407" i="2"/>
  <c r="F407" i="2" s="1"/>
  <c r="F409" i="2" s="1"/>
  <c r="R113" i="1"/>
  <c r="O113" i="1"/>
  <c r="Q113" i="1" s="1"/>
  <c r="M158" i="1"/>
  <c r="M111" i="1"/>
  <c r="O110" i="1"/>
  <c r="Q110" i="1" s="1"/>
  <c r="D354" i="2"/>
  <c r="F354" i="2" s="1"/>
  <c r="F356" i="2" s="1"/>
  <c r="M143" i="1"/>
  <c r="O143" i="1" s="1"/>
  <c r="R143" i="1" s="1"/>
  <c r="O170" i="1"/>
  <c r="M68" i="1"/>
  <c r="O68" i="1" s="1"/>
  <c r="Q68" i="1" s="1"/>
  <c r="K192" i="2"/>
  <c r="M192" i="2" s="1"/>
  <c r="O192" i="2" s="1"/>
  <c r="I4" i="1"/>
  <c r="J4" i="1" s="1"/>
  <c r="I5" i="1"/>
  <c r="J5" i="1" s="1"/>
  <c r="I6" i="1"/>
  <c r="I7" i="1"/>
  <c r="I8" i="1"/>
  <c r="I9" i="1"/>
  <c r="I3" i="1"/>
  <c r="J3" i="1" s="1"/>
  <c r="D3" i="2"/>
  <c r="F3" i="2" s="1"/>
  <c r="D4" i="2"/>
  <c r="D116" i="2" s="1"/>
  <c r="D8" i="2"/>
  <c r="D120" i="2" s="1"/>
  <c r="D9" i="2"/>
  <c r="D121" i="2" s="1"/>
  <c r="D14" i="2"/>
  <c r="D126" i="2" s="1"/>
  <c r="D19" i="2"/>
  <c r="D131" i="2" s="1"/>
  <c r="D158" i="2" l="1"/>
  <c r="F158" i="2" s="1"/>
  <c r="D157" i="2"/>
  <c r="F157" i="2" s="1"/>
  <c r="D153" i="2"/>
  <c r="F153" i="2" s="1"/>
  <c r="D168" i="2"/>
  <c r="F168" i="2" s="1"/>
  <c r="R158" i="1"/>
  <c r="O158" i="1"/>
  <c r="Q158" i="1" s="1"/>
  <c r="N157" i="2"/>
  <c r="O157" i="2" s="1"/>
  <c r="L17" i="2"/>
  <c r="N17" i="2" s="1"/>
  <c r="D115" i="2"/>
  <c r="F115" i="2" s="1"/>
  <c r="D162" i="2"/>
  <c r="F162" i="2" s="1"/>
  <c r="N155" i="2"/>
  <c r="O155" i="2" s="1"/>
  <c r="N154" i="2"/>
  <c r="O154" i="2" s="1"/>
  <c r="D167" i="2"/>
  <c r="F167" i="2" s="1"/>
  <c r="N344" i="2"/>
  <c r="O344" i="2" s="1"/>
  <c r="D360" i="2"/>
  <c r="Q143" i="1"/>
  <c r="R170" i="1"/>
  <c r="Q170" i="1"/>
  <c r="D51" i="2"/>
  <c r="F51" i="2" s="1"/>
  <c r="D46" i="2"/>
  <c r="F46" i="2" s="1"/>
  <c r="D40" i="2"/>
  <c r="F40" i="2" s="1"/>
  <c r="D56" i="2"/>
  <c r="F56" i="2" s="1"/>
  <c r="D200" i="2"/>
  <c r="F200" i="2" s="1"/>
  <c r="F202" i="2" s="1"/>
  <c r="D45" i="2"/>
  <c r="F45" i="2" s="1"/>
  <c r="D191" i="2"/>
  <c r="F191" i="2" s="1"/>
  <c r="F192" i="2" s="1"/>
  <c r="D41" i="2"/>
  <c r="F41" i="2" s="1"/>
  <c r="R68" i="1"/>
  <c r="R80" i="1"/>
  <c r="O80" i="1"/>
  <c r="Q80" i="1" s="1"/>
  <c r="I34" i="1"/>
  <c r="I35" i="1"/>
  <c r="I36" i="1"/>
  <c r="I37" i="1"/>
  <c r="I38" i="1"/>
  <c r="I39" i="1"/>
  <c r="I33" i="1"/>
  <c r="D25" i="2"/>
  <c r="D20" i="2"/>
  <c r="D132" i="2" s="1"/>
  <c r="D179" i="2" l="1"/>
  <c r="F179" i="2" s="1"/>
  <c r="F42" i="2"/>
  <c r="M18" i="1" s="1"/>
  <c r="N153" i="2"/>
  <c r="O153" i="2" s="1"/>
  <c r="D169" i="2"/>
  <c r="F169" i="2" s="1"/>
  <c r="D366" i="2"/>
  <c r="F366" i="2" s="1"/>
  <c r="F360" i="2"/>
  <c r="F362" i="2" s="1"/>
  <c r="D152" i="2"/>
  <c r="F152" i="2" s="1"/>
  <c r="F154" i="2" s="1"/>
  <c r="M47" i="1" s="1"/>
  <c r="L18" i="2"/>
  <c r="N18" i="2" s="1"/>
  <c r="N20" i="2" s="1"/>
  <c r="M33" i="10" s="1"/>
  <c r="J37" i="10" s="1"/>
  <c r="D137" i="2"/>
  <c r="N158" i="2"/>
  <c r="O158" i="2" s="1"/>
  <c r="D173" i="2"/>
  <c r="F173" i="2" s="1"/>
  <c r="I23" i="1"/>
  <c r="J23" i="1" s="1"/>
  <c r="I52" i="1"/>
  <c r="J52" i="1" s="1"/>
  <c r="I22" i="1"/>
  <c r="J22" i="1" s="1"/>
  <c r="I51" i="1"/>
  <c r="J51" i="1" s="1"/>
  <c r="I20" i="1"/>
  <c r="J20" i="1" s="1"/>
  <c r="I49" i="1"/>
  <c r="J49" i="1" s="1"/>
  <c r="I19" i="1"/>
  <c r="J19" i="1" s="1"/>
  <c r="I48" i="1"/>
  <c r="J48" i="1" s="1"/>
  <c r="I21" i="1"/>
  <c r="J21" i="1" s="1"/>
  <c r="I50" i="1"/>
  <c r="J50" i="1" s="1"/>
  <c r="I24" i="1"/>
  <c r="J24" i="1" s="1"/>
  <c r="I53" i="1"/>
  <c r="J53" i="1" s="1"/>
  <c r="M125" i="1"/>
  <c r="N43" i="2"/>
  <c r="O43" i="2" s="1"/>
  <c r="D93" i="2"/>
  <c r="D82" i="2"/>
  <c r="D77" i="2"/>
  <c r="F77" i="2" s="1"/>
  <c r="D83" i="2"/>
  <c r="D88" i="2"/>
  <c r="D78" i="2"/>
  <c r="F78" i="2" s="1"/>
  <c r="D218" i="2"/>
  <c r="F218" i="2" s="1"/>
  <c r="F219" i="2" s="1"/>
  <c r="D44" i="2"/>
  <c r="F44" i="2" s="1"/>
  <c r="F47" i="2" s="1"/>
  <c r="D72" i="2"/>
  <c r="F72" i="2" s="1"/>
  <c r="N44" i="2"/>
  <c r="O44" i="2" s="1"/>
  <c r="N194" i="2"/>
  <c r="O194" i="2" s="1"/>
  <c r="D67" i="2"/>
  <c r="F67" i="2" s="1"/>
  <c r="N45" i="2"/>
  <c r="O45" i="2" s="1"/>
  <c r="D62" i="2"/>
  <c r="F62" i="2" s="1"/>
  <c r="D57" i="2"/>
  <c r="F57" i="2" s="1"/>
  <c r="D50" i="2"/>
  <c r="F50" i="2" s="1"/>
  <c r="D237" i="2"/>
  <c r="D228" i="2"/>
  <c r="M62" i="1"/>
  <c r="D49" i="2"/>
  <c r="F49" i="2" s="1"/>
  <c r="N40" i="2"/>
  <c r="O40" i="2" s="1"/>
  <c r="N191" i="2"/>
  <c r="O191" i="2" s="1"/>
  <c r="N42" i="2"/>
  <c r="O42" i="2" s="1"/>
  <c r="D55" i="2"/>
  <c r="F55" i="2" s="1"/>
  <c r="N41" i="2"/>
  <c r="O41" i="2" s="1"/>
  <c r="M64" i="1"/>
  <c r="O64" i="1" s="1"/>
  <c r="Q64" i="1" s="1"/>
  <c r="I18" i="1"/>
  <c r="C12" i="4"/>
  <c r="D161" i="2" l="1"/>
  <c r="F161" i="2" s="1"/>
  <c r="N152" i="2"/>
  <c r="O152" i="2" s="1"/>
  <c r="D156" i="2"/>
  <c r="F156" i="2" s="1"/>
  <c r="F159" i="2" s="1"/>
  <c r="M48" i="1" s="1"/>
  <c r="F228" i="2"/>
  <c r="F229" i="2" s="1"/>
  <c r="D265" i="2"/>
  <c r="F237" i="2"/>
  <c r="F239" i="2" s="1"/>
  <c r="D274" i="2"/>
  <c r="F52" i="2"/>
  <c r="M20" i="1" s="1"/>
  <c r="F79" i="2"/>
  <c r="D174" i="2"/>
  <c r="F174" i="2" s="1"/>
  <c r="D166" i="2"/>
  <c r="F166" i="2" s="1"/>
  <c r="F170" i="2" s="1"/>
  <c r="N159" i="2"/>
  <c r="O159" i="2" s="1"/>
  <c r="D178" i="2"/>
  <c r="F178" i="2" s="1"/>
  <c r="L40" i="10"/>
  <c r="L41" i="10" s="1"/>
  <c r="J39" i="10" s="1"/>
  <c r="P34" i="10"/>
  <c r="O33" i="10"/>
  <c r="J18" i="1"/>
  <c r="J27" i="1" s="1"/>
  <c r="I47" i="1"/>
  <c r="J47" i="1" s="1"/>
  <c r="J56" i="1" s="1"/>
  <c r="O125" i="1"/>
  <c r="Q125" i="1" s="1"/>
  <c r="R125" i="1"/>
  <c r="M126" i="1"/>
  <c r="D391" i="2"/>
  <c r="F391" i="2" s="1"/>
  <c r="F393" i="2" s="1"/>
  <c r="D303" i="2"/>
  <c r="D312" i="2"/>
  <c r="M19" i="1"/>
  <c r="R19" i="1" s="1"/>
  <c r="D54" i="2"/>
  <c r="F54" i="2" s="1"/>
  <c r="F58" i="2" s="1"/>
  <c r="N81" i="2"/>
  <c r="D109" i="2"/>
  <c r="D87" i="2"/>
  <c r="N80" i="2"/>
  <c r="D86" i="2"/>
  <c r="D81" i="2"/>
  <c r="N77" i="2"/>
  <c r="D94" i="2"/>
  <c r="D99" i="2"/>
  <c r="N79" i="2"/>
  <c r="D92" i="2"/>
  <c r="N78" i="2"/>
  <c r="O78" i="2" s="1"/>
  <c r="D104" i="2"/>
  <c r="N82" i="2"/>
  <c r="D16" i="4"/>
  <c r="D15" i="4"/>
  <c r="O199" i="2"/>
  <c r="N47" i="2"/>
  <c r="O47" i="2" s="1"/>
  <c r="N46" i="2"/>
  <c r="O46" i="2" s="1"/>
  <c r="D61" i="2"/>
  <c r="F61" i="2" s="1"/>
  <c r="N228" i="2"/>
  <c r="O228" i="2" s="1"/>
  <c r="D441" i="2"/>
  <c r="F441" i="2" s="1"/>
  <c r="D452" i="2"/>
  <c r="F452" i="2" s="1"/>
  <c r="N231" i="2"/>
  <c r="O231" i="2" s="1"/>
  <c r="D255" i="2"/>
  <c r="O62" i="1"/>
  <c r="Q62" i="1" s="1"/>
  <c r="R62" i="1"/>
  <c r="D466" i="2"/>
  <c r="F466" i="2" s="1"/>
  <c r="R64" i="1"/>
  <c r="R81" i="1"/>
  <c r="O81" i="1"/>
  <c r="Q81" i="1" s="1"/>
  <c r="J34" i="1"/>
  <c r="F35" i="1"/>
  <c r="F36" i="1"/>
  <c r="J37" i="1"/>
  <c r="F38" i="1"/>
  <c r="F39" i="1"/>
  <c r="E146" i="2" s="1"/>
  <c r="G146" i="2" s="1"/>
  <c r="J33" i="1"/>
  <c r="F42" i="1"/>
  <c r="H39" i="1"/>
  <c r="L39" i="1" s="1"/>
  <c r="H38" i="1"/>
  <c r="L38" i="1" s="1"/>
  <c r="H37" i="1"/>
  <c r="L37" i="1" s="1"/>
  <c r="H36" i="1"/>
  <c r="L36" i="1" s="1"/>
  <c r="H35" i="1"/>
  <c r="L35" i="1" s="1"/>
  <c r="H34" i="1"/>
  <c r="L34" i="1" s="1"/>
  <c r="H33" i="1"/>
  <c r="L33" i="1" s="1"/>
  <c r="N268" i="2" l="1"/>
  <c r="O268" i="2" s="1"/>
  <c r="F274" i="2"/>
  <c r="F276" i="2" s="1"/>
  <c r="M94" i="1" s="1"/>
  <c r="F255" i="2"/>
  <c r="F256" i="2" s="1"/>
  <c r="D292" i="2"/>
  <c r="F292" i="2" s="1"/>
  <c r="F293" i="2" s="1"/>
  <c r="M97" i="1" s="1"/>
  <c r="N265" i="2"/>
  <c r="O265" i="2" s="1"/>
  <c r="O273" i="2" s="1"/>
  <c r="F265" i="2"/>
  <c r="F266" i="2" s="1"/>
  <c r="M92" i="1" s="1"/>
  <c r="O92" i="1" s="1"/>
  <c r="D349" i="2"/>
  <c r="F349" i="2" s="1"/>
  <c r="F351" i="2" s="1"/>
  <c r="F312" i="2"/>
  <c r="F314" i="2" s="1"/>
  <c r="D340" i="2"/>
  <c r="F303" i="2"/>
  <c r="F304" i="2" s="1"/>
  <c r="R48" i="1"/>
  <c r="O48" i="1"/>
  <c r="Q48" i="1" s="1"/>
  <c r="D172" i="2"/>
  <c r="F172" i="2" s="1"/>
  <c r="F175" i="2" s="1"/>
  <c r="M50" i="1"/>
  <c r="D60" i="2"/>
  <c r="F60" i="2" s="1"/>
  <c r="F63" i="2" s="1"/>
  <c r="J40" i="10"/>
  <c r="M77" i="1"/>
  <c r="M79" i="1"/>
  <c r="F453" i="2"/>
  <c r="M139" i="1" s="1"/>
  <c r="O139" i="1" s="1"/>
  <c r="D489" i="2"/>
  <c r="F443" i="2"/>
  <c r="M137" i="1" s="1"/>
  <c r="O137" i="1" s="1"/>
  <c r="D478" i="2"/>
  <c r="F467" i="2"/>
  <c r="D503" i="2"/>
  <c r="F503" i="2" s="1"/>
  <c r="F504" i="2" s="1"/>
  <c r="N381" i="2"/>
  <c r="O381" i="2" s="1"/>
  <c r="D397" i="2"/>
  <c r="N340" i="2"/>
  <c r="O340" i="2" s="1"/>
  <c r="N343" i="2"/>
  <c r="O343" i="2" s="1"/>
  <c r="R126" i="1"/>
  <c r="O126" i="1"/>
  <c r="Q126" i="1" s="1"/>
  <c r="D330" i="2"/>
  <c r="F330" i="2" s="1"/>
  <c r="F331" i="2" s="1"/>
  <c r="N306" i="2"/>
  <c r="O306" i="2" s="1"/>
  <c r="N303" i="2"/>
  <c r="O303" i="2" s="1"/>
  <c r="O236" i="2"/>
  <c r="M67" i="1"/>
  <c r="N84" i="2"/>
  <c r="D91" i="2"/>
  <c r="M172" i="1"/>
  <c r="D66" i="2"/>
  <c r="F66" i="2" s="1"/>
  <c r="N83" i="2"/>
  <c r="D98" i="2"/>
  <c r="O49" i="2"/>
  <c r="D461" i="2"/>
  <c r="M82" i="1"/>
  <c r="N441" i="2"/>
  <c r="O441" i="2" s="1"/>
  <c r="O449" i="2" s="1"/>
  <c r="J39" i="1"/>
  <c r="J35" i="1"/>
  <c r="J38" i="1"/>
  <c r="J36" i="1"/>
  <c r="J5" i="4"/>
  <c r="J9" i="4" s="1"/>
  <c r="D367" i="2" l="1"/>
  <c r="F367" i="2" s="1"/>
  <c r="F368" i="2" s="1"/>
  <c r="R92" i="1"/>
  <c r="Q92" i="1"/>
  <c r="D386" i="2"/>
  <c r="F386" i="2" s="1"/>
  <c r="F388" i="2" s="1"/>
  <c r="O94" i="1"/>
  <c r="Q94" i="1" s="1"/>
  <c r="R94" i="1"/>
  <c r="R97" i="1"/>
  <c r="O97" i="1"/>
  <c r="Q97" i="1" s="1"/>
  <c r="L101" i="1"/>
  <c r="D414" i="2"/>
  <c r="F414" i="2" s="1"/>
  <c r="F397" i="2"/>
  <c r="F399" i="2" s="1"/>
  <c r="F489" i="2"/>
  <c r="F490" i="2" s="1"/>
  <c r="M154" i="1" s="1"/>
  <c r="F461" i="2"/>
  <c r="F463" i="2" s="1"/>
  <c r="M141" i="1" s="1"/>
  <c r="F478" i="2"/>
  <c r="F480" i="2" s="1"/>
  <c r="M152" i="1" s="1"/>
  <c r="D377" i="2"/>
  <c r="F340" i="2"/>
  <c r="F341" i="2" s="1"/>
  <c r="M122" i="1" s="1"/>
  <c r="M22" i="1"/>
  <c r="D65" i="2"/>
  <c r="D177" i="2"/>
  <c r="F177" i="2" s="1"/>
  <c r="F181" i="2" s="1"/>
  <c r="M51" i="1"/>
  <c r="R79" i="1"/>
  <c r="O79" i="1"/>
  <c r="Q79" i="1" s="1"/>
  <c r="O77" i="1"/>
  <c r="Q77" i="1" s="1"/>
  <c r="R77" i="1"/>
  <c r="M157" i="1"/>
  <c r="M124" i="1"/>
  <c r="M127" i="1"/>
  <c r="M109" i="1"/>
  <c r="R109" i="1" s="1"/>
  <c r="M107" i="1"/>
  <c r="M112" i="1"/>
  <c r="M21" i="1"/>
  <c r="N478" i="2"/>
  <c r="O478" i="2" s="1"/>
  <c r="O486" i="2" s="1"/>
  <c r="D498" i="2"/>
  <c r="F498" i="2" s="1"/>
  <c r="F500" i="2" s="1"/>
  <c r="O311" i="2"/>
  <c r="D403" i="2"/>
  <c r="F403" i="2" s="1"/>
  <c r="O348" i="2"/>
  <c r="R111" i="1"/>
  <c r="O111" i="1"/>
  <c r="Q111" i="1" s="1"/>
  <c r="O67" i="1"/>
  <c r="Q67" i="1" s="1"/>
  <c r="T66" i="1" s="1"/>
  <c r="R67" i="1"/>
  <c r="M71" i="1" s="1"/>
  <c r="D103" i="2"/>
  <c r="D97" i="2"/>
  <c r="M142" i="1"/>
  <c r="O142" i="1" s="1"/>
  <c r="Q142" i="1" s="1"/>
  <c r="R82" i="1"/>
  <c r="O82" i="1"/>
  <c r="Q82" i="1" s="1"/>
  <c r="L86" i="1"/>
  <c r="R137" i="1"/>
  <c r="Q137" i="1"/>
  <c r="Q139" i="1"/>
  <c r="R139" i="1"/>
  <c r="J6" i="1"/>
  <c r="J7" i="1"/>
  <c r="J8" i="1"/>
  <c r="J9" i="1"/>
  <c r="N380" i="2" l="1"/>
  <c r="O380" i="2" s="1"/>
  <c r="T96" i="1"/>
  <c r="D404" i="2"/>
  <c r="F404" i="2" s="1"/>
  <c r="F405" i="2" s="1"/>
  <c r="D421" i="2"/>
  <c r="F421" i="2" s="1"/>
  <c r="M101" i="1"/>
  <c r="D415" i="2"/>
  <c r="F415" i="2" s="1"/>
  <c r="F65" i="2"/>
  <c r="F69" i="2" s="1"/>
  <c r="M23" i="1" s="1"/>
  <c r="D71" i="2"/>
  <c r="F71" i="2" s="1"/>
  <c r="F73" i="2" s="1"/>
  <c r="M24" i="1" s="1"/>
  <c r="O152" i="1"/>
  <c r="Q152" i="1" s="1"/>
  <c r="R152" i="1"/>
  <c r="R154" i="1"/>
  <c r="O154" i="1"/>
  <c r="Q154" i="1" s="1"/>
  <c r="F377" i="2"/>
  <c r="F378" i="2" s="1"/>
  <c r="N377" i="2"/>
  <c r="O377" i="2" s="1"/>
  <c r="O385" i="2" s="1"/>
  <c r="O22" i="1"/>
  <c r="Q22" i="1" s="1"/>
  <c r="R22" i="1"/>
  <c r="R157" i="1"/>
  <c r="O157" i="1"/>
  <c r="Q157" i="1" s="1"/>
  <c r="D183" i="2"/>
  <c r="F183" i="2" s="1"/>
  <c r="M52" i="1"/>
  <c r="M86" i="1"/>
  <c r="L90" i="1" s="1"/>
  <c r="T81" i="1"/>
  <c r="O107" i="1"/>
  <c r="Q107" i="1" s="1"/>
  <c r="R107" i="1"/>
  <c r="L116" i="1"/>
  <c r="O127" i="1"/>
  <c r="Q127" i="1" s="1"/>
  <c r="R127" i="1"/>
  <c r="O122" i="1"/>
  <c r="Q122" i="1" s="1"/>
  <c r="R122" i="1"/>
  <c r="L131" i="1"/>
  <c r="R112" i="1"/>
  <c r="O112" i="1"/>
  <c r="Q112" i="1" s="1"/>
  <c r="O124" i="1"/>
  <c r="Q124" i="1" s="1"/>
  <c r="R124" i="1"/>
  <c r="O109" i="1"/>
  <c r="Q109" i="1" s="1"/>
  <c r="M156" i="1"/>
  <c r="D420" i="2"/>
  <c r="F420" i="2" s="1"/>
  <c r="L74" i="1"/>
  <c r="L73" i="1"/>
  <c r="D102" i="2"/>
  <c r="R142" i="1"/>
  <c r="O169" i="1"/>
  <c r="O141" i="1"/>
  <c r="L146" i="1"/>
  <c r="E7" i="2"/>
  <c r="G7" i="2" s="1"/>
  <c r="D29" i="4"/>
  <c r="D31" i="4" s="1"/>
  <c r="D22" i="4"/>
  <c r="I22" i="4" s="1"/>
  <c r="D23" i="4"/>
  <c r="I23" i="4" s="1"/>
  <c r="D24" i="4"/>
  <c r="E24" i="4" s="1"/>
  <c r="D25" i="4"/>
  <c r="E25" i="4" s="1"/>
  <c r="D26" i="4"/>
  <c r="I26" i="4" s="1"/>
  <c r="D27" i="4"/>
  <c r="E27" i="4" s="1"/>
  <c r="I21" i="4"/>
  <c r="R100" i="1" l="1"/>
  <c r="T100" i="1" s="1"/>
  <c r="V100" i="1" s="1"/>
  <c r="N102" i="1"/>
  <c r="P102" i="1" s="1"/>
  <c r="L103" i="1"/>
  <c r="L104" i="1"/>
  <c r="R23" i="1"/>
  <c r="O23" i="1"/>
  <c r="Q23" i="1" s="1"/>
  <c r="R156" i="1"/>
  <c r="M161" i="1" s="1"/>
  <c r="O156" i="1"/>
  <c r="Q156" i="1" s="1"/>
  <c r="T156" i="1" s="1"/>
  <c r="L161" i="1"/>
  <c r="R85" i="1"/>
  <c r="M116" i="1"/>
  <c r="L119" i="1" s="1"/>
  <c r="L88" i="1"/>
  <c r="M131" i="1"/>
  <c r="L133" i="1" s="1"/>
  <c r="T111" i="1"/>
  <c r="R47" i="1"/>
  <c r="O47" i="1"/>
  <c r="Q47" i="1" s="1"/>
  <c r="T126" i="1"/>
  <c r="F422" i="2"/>
  <c r="M20" i="10" s="1"/>
  <c r="F416" i="2"/>
  <c r="M19" i="10" s="1"/>
  <c r="D108" i="2"/>
  <c r="M173" i="1"/>
  <c r="O520" i="2"/>
  <c r="O523" i="2" s="1"/>
  <c r="R169" i="1"/>
  <c r="Q169" i="1"/>
  <c r="E81" i="2"/>
  <c r="E22" i="4"/>
  <c r="E23" i="4"/>
  <c r="R141" i="1"/>
  <c r="M146" i="1" s="1"/>
  <c r="Q141" i="1"/>
  <c r="T141" i="1" s="1"/>
  <c r="O24" i="1"/>
  <c r="Q24" i="1" s="1"/>
  <c r="R24" i="1"/>
  <c r="E8" i="2"/>
  <c r="G8" i="2" s="1"/>
  <c r="E9" i="2"/>
  <c r="I24" i="4"/>
  <c r="E26" i="4"/>
  <c r="I27" i="4"/>
  <c r="E21" i="4"/>
  <c r="I25" i="4"/>
  <c r="F12" i="1"/>
  <c r="F11" i="11" s="1"/>
  <c r="S87" i="1" l="1"/>
  <c r="K37" i="6" s="1"/>
  <c r="S89" i="1"/>
  <c r="F9" i="2"/>
  <c r="G9" i="2"/>
  <c r="R103" i="1"/>
  <c r="S102" i="1"/>
  <c r="S103" i="1"/>
  <c r="L38" i="6" s="1"/>
  <c r="S104" i="1"/>
  <c r="K38" i="6"/>
  <c r="R115" i="1"/>
  <c r="R118" i="1" s="1"/>
  <c r="L35" i="6" s="1"/>
  <c r="G81" i="2"/>
  <c r="F81" i="2"/>
  <c r="R130" i="1"/>
  <c r="S132" i="1" s="1"/>
  <c r="K39" i="6" s="1"/>
  <c r="F8" i="2"/>
  <c r="L134" i="1"/>
  <c r="R160" i="1"/>
  <c r="L163" i="1"/>
  <c r="L164" i="1"/>
  <c r="L118" i="1"/>
  <c r="S90" i="1"/>
  <c r="R88" i="1"/>
  <c r="L37" i="6" s="1"/>
  <c r="S88" i="1"/>
  <c r="O20" i="10"/>
  <c r="Q20" i="10" s="1"/>
  <c r="R20" i="10"/>
  <c r="R19" i="10"/>
  <c r="L25" i="10"/>
  <c r="O19" i="10"/>
  <c r="Q19" i="10" s="1"/>
  <c r="R145" i="1"/>
  <c r="L176" i="1"/>
  <c r="O173" i="1"/>
  <c r="E82" i="2"/>
  <c r="E83" i="2"/>
  <c r="G83" i="2" s="1"/>
  <c r="L147" i="1"/>
  <c r="L165" i="1"/>
  <c r="I28" i="4"/>
  <c r="D32" i="4" s="1"/>
  <c r="F32" i="4" s="1"/>
  <c r="J26" i="4"/>
  <c r="G15" i="5"/>
  <c r="E16" i="5"/>
  <c r="G16" i="5" s="1"/>
  <c r="E14" i="5"/>
  <c r="G14" i="5" s="1"/>
  <c r="S118" i="1" l="1"/>
  <c r="S117" i="1"/>
  <c r="K35" i="6" s="1"/>
  <c r="S119" i="1"/>
  <c r="G82" i="2"/>
  <c r="F82" i="2"/>
  <c r="F83" i="2"/>
  <c r="R133" i="1"/>
  <c r="L39" i="6" s="1"/>
  <c r="S133" i="1"/>
  <c r="S134" i="1"/>
  <c r="S164" i="1"/>
  <c r="S163" i="1"/>
  <c r="S162" i="1"/>
  <c r="K41" i="6" s="1"/>
  <c r="T19" i="10"/>
  <c r="T20" i="10" s="1"/>
  <c r="M25" i="10"/>
  <c r="L28" i="10" s="1"/>
  <c r="S149" i="1"/>
  <c r="S148" i="1"/>
  <c r="S147" i="1"/>
  <c r="R165" i="1"/>
  <c r="L40" i="6" s="1"/>
  <c r="R173" i="1"/>
  <c r="Q173" i="1"/>
  <c r="G17" i="5"/>
  <c r="E119" i="2"/>
  <c r="G119" i="2" s="1"/>
  <c r="F84" i="2" l="1"/>
  <c r="L27" i="10"/>
  <c r="R24" i="10"/>
  <c r="S27" i="10" s="1"/>
  <c r="L45" i="6" s="1"/>
  <c r="L41" i="6"/>
  <c r="K40" i="6"/>
  <c r="O17" i="4"/>
  <c r="D4" i="4"/>
  <c r="F4" i="4" s="1"/>
  <c r="D3" i="4"/>
  <c r="F3" i="4" s="1"/>
  <c r="D7" i="4"/>
  <c r="D5" i="4"/>
  <c r="F5" i="4" s="1"/>
  <c r="D6" i="4"/>
  <c r="F6" i="4" s="1"/>
  <c r="D8" i="4"/>
  <c r="F8" i="4" s="1"/>
  <c r="S26" i="10" l="1"/>
  <c r="K45" i="6" s="1"/>
  <c r="S28" i="10"/>
  <c r="G7" i="4"/>
  <c r="F7" i="4"/>
  <c r="F9" i="4" s="1"/>
  <c r="D12" i="4" s="1"/>
  <c r="D17" i="4" s="1"/>
  <c r="D9" i="4"/>
  <c r="H5" i="4"/>
  <c r="N6" i="2" l="1"/>
  <c r="G13" i="4" l="1"/>
  <c r="F14" i="4"/>
  <c r="H9" i="1"/>
  <c r="H8" i="1"/>
  <c r="H7" i="1"/>
  <c r="H6" i="1"/>
  <c r="H5" i="1"/>
  <c r="H4" i="1"/>
  <c r="H3" i="1"/>
  <c r="A26" i="3"/>
  <c r="A25" i="3"/>
  <c r="A24" i="3"/>
  <c r="A23" i="3"/>
  <c r="A22" i="3"/>
  <c r="A21" i="3"/>
  <c r="A20" i="3"/>
  <c r="N123" i="2"/>
  <c r="J123" i="2"/>
  <c r="N122" i="2"/>
  <c r="J122" i="2"/>
  <c r="N121" i="2"/>
  <c r="J121" i="2"/>
  <c r="N120" i="2"/>
  <c r="J120" i="2"/>
  <c r="N119" i="2"/>
  <c r="J119" i="2"/>
  <c r="N118" i="2"/>
  <c r="J118" i="2"/>
  <c r="N117" i="2"/>
  <c r="J117" i="2"/>
  <c r="N116" i="2"/>
  <c r="J116" i="2"/>
  <c r="N115" i="2"/>
  <c r="J115" i="2"/>
  <c r="E124" i="2"/>
  <c r="G124" i="2" s="1"/>
  <c r="E129" i="2"/>
  <c r="G129" i="2" s="1"/>
  <c r="E135" i="2"/>
  <c r="G135" i="2" s="1"/>
  <c r="E140" i="2"/>
  <c r="G140" i="2" s="1"/>
  <c r="D147" i="2"/>
  <c r="A147" i="2"/>
  <c r="D142" i="2"/>
  <c r="A142" i="2"/>
  <c r="A141" i="2"/>
  <c r="D136" i="2"/>
  <c r="D130" i="2"/>
  <c r="A130" i="2"/>
  <c r="D125" i="2"/>
  <c r="A125" i="2"/>
  <c r="D124" i="2"/>
  <c r="E122" i="2"/>
  <c r="D119" i="2"/>
  <c r="F119" i="2" s="1"/>
  <c r="A119" i="2"/>
  <c r="A124" i="2" s="1"/>
  <c r="A129" i="2" s="1"/>
  <c r="A135" i="2" s="1"/>
  <c r="A140" i="2" s="1"/>
  <c r="A146" i="2" s="1"/>
  <c r="E117" i="2"/>
  <c r="F124" i="2" l="1"/>
  <c r="D141" i="2"/>
  <c r="D163" i="2"/>
  <c r="N156" i="2" s="1"/>
  <c r="O156" i="2" s="1"/>
  <c r="O161" i="2" s="1"/>
  <c r="D129" i="2"/>
  <c r="F129" i="2" s="1"/>
  <c r="J42" i="1"/>
  <c r="E132" i="2"/>
  <c r="G132" i="2" s="1"/>
  <c r="E131" i="2"/>
  <c r="E141" i="2"/>
  <c r="G141" i="2" s="1"/>
  <c r="E142" i="2"/>
  <c r="G142" i="2" s="1"/>
  <c r="E143" i="2"/>
  <c r="G143" i="2" s="1"/>
  <c r="E136" i="2"/>
  <c r="G136" i="2" s="1"/>
  <c r="E125" i="2"/>
  <c r="G125" i="2" s="1"/>
  <c r="E137" i="2"/>
  <c r="G137" i="2" s="1"/>
  <c r="E120" i="2"/>
  <c r="E126" i="2"/>
  <c r="G126" i="2" s="1"/>
  <c r="E121" i="2"/>
  <c r="G121" i="2" s="1"/>
  <c r="E147" i="2"/>
  <c r="G147" i="2" s="1"/>
  <c r="F136" i="2" l="1"/>
  <c r="F126" i="2"/>
  <c r="F141" i="2"/>
  <c r="G120" i="2"/>
  <c r="F120" i="2"/>
  <c r="G131" i="2"/>
  <c r="F131" i="2"/>
  <c r="F132" i="2"/>
  <c r="F137" i="2"/>
  <c r="F125" i="2"/>
  <c r="F121" i="2"/>
  <c r="F142" i="2"/>
  <c r="F143" i="2"/>
  <c r="F147" i="2"/>
  <c r="D184" i="2"/>
  <c r="F184" i="2" s="1"/>
  <c r="F185" i="2" s="1"/>
  <c r="M53" i="1" s="1"/>
  <c r="F163" i="2"/>
  <c r="F164" i="2" s="1"/>
  <c r="M49" i="1" s="1"/>
  <c r="D135" i="2"/>
  <c r="F135" i="2" s="1"/>
  <c r="O19" i="1"/>
  <c r="Q19" i="1" s="1"/>
  <c r="L27" i="1"/>
  <c r="O18" i="1"/>
  <c r="Q18" i="1" s="1"/>
  <c r="R18" i="1"/>
  <c r="R20" i="1"/>
  <c r="O20" i="1"/>
  <c r="Q20" i="1" s="1"/>
  <c r="O21" i="1"/>
  <c r="Q21" i="1" s="1"/>
  <c r="R21" i="1"/>
  <c r="E116" i="2"/>
  <c r="G116" i="2" s="1"/>
  <c r="E130" i="2"/>
  <c r="F127" i="2" l="1"/>
  <c r="F122" i="2"/>
  <c r="F116" i="2"/>
  <c r="F117" i="2" s="1"/>
  <c r="F138" i="2"/>
  <c r="M37" i="1" s="1"/>
  <c r="O37" i="1" s="1"/>
  <c r="Q37" i="1" s="1"/>
  <c r="G130" i="2"/>
  <c r="F130" i="2"/>
  <c r="F133" i="2" s="1"/>
  <c r="M36" i="1" s="1"/>
  <c r="R49" i="1"/>
  <c r="O49" i="1"/>
  <c r="Q49" i="1" s="1"/>
  <c r="D140" i="2"/>
  <c r="F140" i="2" s="1"/>
  <c r="F144" i="2" s="1"/>
  <c r="T22" i="1"/>
  <c r="M27" i="1"/>
  <c r="L71" i="1"/>
  <c r="R70" i="1" s="1"/>
  <c r="K119" i="2"/>
  <c r="M119" i="2" s="1"/>
  <c r="O119" i="2" s="1"/>
  <c r="K115" i="2"/>
  <c r="M115" i="2" s="1"/>
  <c r="O115" i="2" s="1"/>
  <c r="K117" i="2"/>
  <c r="M117" i="2" s="1"/>
  <c r="O117" i="2" s="1"/>
  <c r="K122" i="2"/>
  <c r="M122" i="2" s="1"/>
  <c r="O122" i="2" s="1"/>
  <c r="K121" i="2"/>
  <c r="M121" i="2" s="1"/>
  <c r="O121" i="2" s="1"/>
  <c r="K120" i="2"/>
  <c r="M120" i="2" s="1"/>
  <c r="O120" i="2" s="1"/>
  <c r="K123" i="2"/>
  <c r="M123" i="2" s="1"/>
  <c r="O123" i="2" s="1"/>
  <c r="K118" i="2"/>
  <c r="M118" i="2" s="1"/>
  <c r="O118" i="2" s="1"/>
  <c r="M35" i="1"/>
  <c r="M34" i="1"/>
  <c r="N3" i="2"/>
  <c r="A8" i="3"/>
  <c r="A7" i="3"/>
  <c r="A6" i="3"/>
  <c r="A5" i="3"/>
  <c r="A4" i="3"/>
  <c r="A3" i="3"/>
  <c r="A2" i="3"/>
  <c r="N11" i="2"/>
  <c r="N10" i="2"/>
  <c r="N9" i="2"/>
  <c r="N8" i="2"/>
  <c r="N7" i="2"/>
  <c r="N5" i="2"/>
  <c r="N4" i="2"/>
  <c r="J11" i="2"/>
  <c r="J10" i="2"/>
  <c r="J9" i="2"/>
  <c r="J8" i="2"/>
  <c r="J7" i="2"/>
  <c r="J6" i="2"/>
  <c r="J5" i="2"/>
  <c r="J4" i="2"/>
  <c r="J3" i="2"/>
  <c r="D35" i="2"/>
  <c r="D30" i="2"/>
  <c r="D24" i="2"/>
  <c r="D18" i="2"/>
  <c r="D13" i="2"/>
  <c r="D12" i="2"/>
  <c r="D7" i="2"/>
  <c r="F7" i="2" s="1"/>
  <c r="A35" i="2"/>
  <c r="A13" i="2"/>
  <c r="A18" i="2"/>
  <c r="A7" i="2"/>
  <c r="A12" i="2" s="1"/>
  <c r="A17" i="2" s="1"/>
  <c r="A23" i="2" s="1"/>
  <c r="L7" i="1"/>
  <c r="L6" i="1"/>
  <c r="L9" i="1"/>
  <c r="L3" i="1"/>
  <c r="L5" i="1"/>
  <c r="L8" i="1"/>
  <c r="L4" i="1"/>
  <c r="A30" i="2"/>
  <c r="A29" i="2"/>
  <c r="D146" i="2" l="1"/>
  <c r="M38" i="1"/>
  <c r="R38" i="1" s="1"/>
  <c r="M33" i="1"/>
  <c r="S74" i="1"/>
  <c r="S72" i="1"/>
  <c r="S73" i="1"/>
  <c r="R26" i="1"/>
  <c r="F10" i="2"/>
  <c r="L29" i="1"/>
  <c r="R37" i="1"/>
  <c r="O35" i="1"/>
  <c r="Q35" i="1" s="1"/>
  <c r="R35" i="1"/>
  <c r="R34" i="1"/>
  <c r="O34" i="1"/>
  <c r="Q34" i="1" s="1"/>
  <c r="R36" i="1"/>
  <c r="O36" i="1"/>
  <c r="Q36" i="1" s="1"/>
  <c r="D29" i="2"/>
  <c r="D17" i="2"/>
  <c r="K116" i="2"/>
  <c r="M116" i="2" s="1"/>
  <c r="O116" i="2" s="1"/>
  <c r="O124" i="2" s="1"/>
  <c r="E12" i="2"/>
  <c r="G12" i="2" s="1"/>
  <c r="A28" i="2"/>
  <c r="A34" i="2" s="1"/>
  <c r="F146" i="2" l="1"/>
  <c r="F148" i="2" s="1"/>
  <c r="M39" i="1" s="1"/>
  <c r="O38" i="1"/>
  <c r="Q38" i="1" s="1"/>
  <c r="F12" i="2"/>
  <c r="O33" i="1"/>
  <c r="Q33" i="1" s="1"/>
  <c r="S30" i="1"/>
  <c r="S29" i="1"/>
  <c r="L32" i="6" s="1"/>
  <c r="S28" i="1"/>
  <c r="K32" i="6" s="1"/>
  <c r="E86" i="2"/>
  <c r="L36" i="6"/>
  <c r="K36" i="6"/>
  <c r="R33" i="1"/>
  <c r="D23" i="2"/>
  <c r="E4" i="2"/>
  <c r="G4" i="2" s="1"/>
  <c r="D4" i="3"/>
  <c r="D22" i="3" s="1"/>
  <c r="F22" i="3" s="1"/>
  <c r="E14" i="2"/>
  <c r="E13" i="2"/>
  <c r="G13" i="2" s="1"/>
  <c r="D2" i="3"/>
  <c r="D20" i="3" s="1"/>
  <c r="F14" i="2" l="1"/>
  <c r="G14" i="2"/>
  <c r="G86" i="2"/>
  <c r="F86" i="2"/>
  <c r="R39" i="1"/>
  <c r="M42" i="1" s="1"/>
  <c r="O39" i="1"/>
  <c r="Q39" i="1" s="1"/>
  <c r="T37" i="1" s="1"/>
  <c r="L42" i="1"/>
  <c r="K4" i="2"/>
  <c r="F4" i="2"/>
  <c r="F5" i="2" s="1"/>
  <c r="F13" i="2"/>
  <c r="E87" i="2"/>
  <c r="E88" i="2"/>
  <c r="G88" i="2" s="1"/>
  <c r="D28" i="2"/>
  <c r="E17" i="2"/>
  <c r="G17" i="2" s="1"/>
  <c r="D3" i="3"/>
  <c r="D21" i="3" s="1"/>
  <c r="F88" i="2" l="1"/>
  <c r="G87" i="2"/>
  <c r="K80" i="2" s="1"/>
  <c r="M80" i="2" s="1"/>
  <c r="O80" i="2" s="1"/>
  <c r="F87" i="2"/>
  <c r="F17" i="2"/>
  <c r="F15" i="2"/>
  <c r="M5" i="1" s="1"/>
  <c r="R50" i="1"/>
  <c r="O50" i="1"/>
  <c r="Q50" i="1" s="1"/>
  <c r="E91" i="2"/>
  <c r="R41" i="1"/>
  <c r="L44" i="1"/>
  <c r="K6" i="2"/>
  <c r="M6" i="2" s="1"/>
  <c r="O6" i="2" s="1"/>
  <c r="D34" i="2"/>
  <c r="M4" i="2"/>
  <c r="O4" i="2" s="1"/>
  <c r="E23" i="2"/>
  <c r="G23" i="2" s="1"/>
  <c r="D5" i="3"/>
  <c r="D23" i="3" s="1"/>
  <c r="E19" i="2"/>
  <c r="G19" i="2" s="1"/>
  <c r="E18" i="2"/>
  <c r="G18" i="2" s="1"/>
  <c r="M3" i="1"/>
  <c r="R3" i="1" s="1"/>
  <c r="F89" i="2" l="1"/>
  <c r="G91" i="2"/>
  <c r="F91" i="2"/>
  <c r="F19" i="2"/>
  <c r="F23" i="2"/>
  <c r="K5" i="2"/>
  <c r="M5" i="2" s="1"/>
  <c r="O5" i="2" s="1"/>
  <c r="F18" i="2"/>
  <c r="S45" i="1"/>
  <c r="S44" i="1"/>
  <c r="L31" i="6" s="1"/>
  <c r="S43" i="1"/>
  <c r="K31" i="6" s="1"/>
  <c r="E97" i="2"/>
  <c r="E92" i="2"/>
  <c r="E93" i="2"/>
  <c r="M4" i="1"/>
  <c r="E34" i="2"/>
  <c r="G34" i="2" s="1"/>
  <c r="E28" i="2"/>
  <c r="G28" i="2" s="1"/>
  <c r="E20" i="2"/>
  <c r="E24" i="2"/>
  <c r="G24" i="2" s="1"/>
  <c r="D6" i="3"/>
  <c r="D24" i="3" s="1"/>
  <c r="O5" i="1"/>
  <c r="Q5" i="1" s="1"/>
  <c r="R5" i="1"/>
  <c r="O3" i="1"/>
  <c r="Q3" i="1" s="1"/>
  <c r="F20" i="2" l="1"/>
  <c r="F21" i="2" s="1"/>
  <c r="G20" i="2"/>
  <c r="G93" i="2"/>
  <c r="F93" i="2"/>
  <c r="G97" i="2"/>
  <c r="F97" i="2"/>
  <c r="G92" i="2"/>
  <c r="K79" i="2" s="1"/>
  <c r="M79" i="2" s="1"/>
  <c r="O79" i="2" s="1"/>
  <c r="F92" i="2"/>
  <c r="F24" i="2"/>
  <c r="F34" i="2"/>
  <c r="F28" i="2"/>
  <c r="R51" i="1"/>
  <c r="O51" i="1"/>
  <c r="Q51" i="1" s="1"/>
  <c r="E108" i="2"/>
  <c r="E94" i="2"/>
  <c r="G94" i="2" s="1"/>
  <c r="E98" i="2"/>
  <c r="E102" i="2"/>
  <c r="J12" i="1"/>
  <c r="E29" i="2"/>
  <c r="G29" i="2" s="1"/>
  <c r="E30" i="2"/>
  <c r="G30" i="2" s="1"/>
  <c r="D8" i="3"/>
  <c r="D26" i="3" s="1"/>
  <c r="E35" i="2"/>
  <c r="E25" i="2"/>
  <c r="O4" i="1"/>
  <c r="Q4" i="1" s="1"/>
  <c r="R4" i="1"/>
  <c r="F25" i="2" l="1"/>
  <c r="F26" i="2" s="1"/>
  <c r="G25" i="2"/>
  <c r="F35" i="2"/>
  <c r="G35" i="2"/>
  <c r="K7" i="2" s="1"/>
  <c r="G102" i="2"/>
  <c r="F102" i="2"/>
  <c r="F94" i="2"/>
  <c r="F95" i="2" s="1"/>
  <c r="G108" i="2"/>
  <c r="F108" i="2"/>
  <c r="G98" i="2"/>
  <c r="F98" i="2"/>
  <c r="K9" i="2"/>
  <c r="F29" i="2"/>
  <c r="F30" i="2"/>
  <c r="K8" i="2"/>
  <c r="R52" i="1"/>
  <c r="O52" i="1"/>
  <c r="Q52" i="1" s="1"/>
  <c r="L56" i="1"/>
  <c r="R53" i="1"/>
  <c r="O53" i="1"/>
  <c r="Q53" i="1" s="1"/>
  <c r="M6" i="1"/>
  <c r="K10" i="2"/>
  <c r="E104" i="2"/>
  <c r="E103" i="2"/>
  <c r="E99" i="2"/>
  <c r="G99" i="2" s="1"/>
  <c r="E109" i="2"/>
  <c r="G109" i="2" s="1"/>
  <c r="E31" i="2"/>
  <c r="K3" i="2"/>
  <c r="D7" i="3"/>
  <c r="D25" i="3" s="1"/>
  <c r="F31" i="2" l="1"/>
  <c r="G31" i="2"/>
  <c r="G104" i="2"/>
  <c r="F104" i="2"/>
  <c r="G103" i="2"/>
  <c r="F103" i="2"/>
  <c r="K81" i="2"/>
  <c r="M81" i="2" s="1"/>
  <c r="O81" i="2" s="1"/>
  <c r="F109" i="2"/>
  <c r="F110" i="2" s="1"/>
  <c r="K84" i="2"/>
  <c r="M84" i="2" s="1"/>
  <c r="O84" i="2" s="1"/>
  <c r="F99" i="2"/>
  <c r="F100" i="2" s="1"/>
  <c r="K83" i="2"/>
  <c r="M83" i="2" s="1"/>
  <c r="O83" i="2" s="1"/>
  <c r="K82" i="2"/>
  <c r="M82" i="2" s="1"/>
  <c r="O82" i="2" s="1"/>
  <c r="M56" i="1"/>
  <c r="L58" i="1" s="1"/>
  <c r="T51" i="1"/>
  <c r="R6" i="1"/>
  <c r="O6" i="1"/>
  <c r="Q6" i="1" s="1"/>
  <c r="F36" i="2"/>
  <c r="M9" i="1" s="1"/>
  <c r="M7" i="1"/>
  <c r="R7" i="1" s="1"/>
  <c r="K11" i="2"/>
  <c r="M11" i="2" s="1"/>
  <c r="O11" i="2" s="1"/>
  <c r="K77" i="2"/>
  <c r="M77" i="2" s="1"/>
  <c r="O77" i="2" s="1"/>
  <c r="E105" i="2"/>
  <c r="G105" i="2" s="1"/>
  <c r="M9" i="2"/>
  <c r="O9" i="2" s="1"/>
  <c r="M7" i="2"/>
  <c r="O7" i="2" s="1"/>
  <c r="M8" i="2"/>
  <c r="O8" i="2" s="1"/>
  <c r="M10" i="2"/>
  <c r="O10" i="2" s="1"/>
  <c r="M3" i="2"/>
  <c r="O3" i="2" s="1"/>
  <c r="F105" i="2" l="1"/>
  <c r="F106" i="2" s="1"/>
  <c r="R55" i="1"/>
  <c r="S59" i="1" s="1"/>
  <c r="O7" i="1"/>
  <c r="Q7" i="1" s="1"/>
  <c r="R9" i="1"/>
  <c r="O9" i="1"/>
  <c r="Q9" i="1" s="1"/>
  <c r="F32" i="2"/>
  <c r="M8" i="1" s="1"/>
  <c r="K85" i="2"/>
  <c r="M85" i="2" s="1"/>
  <c r="O85" i="2" s="1"/>
  <c r="O86" i="2" s="1"/>
  <c r="O12" i="2"/>
  <c r="S57" i="1" l="1"/>
  <c r="K33" i="6" s="1"/>
  <c r="S58" i="1"/>
  <c r="L33" i="6" s="1"/>
  <c r="R8" i="1"/>
  <c r="M12" i="1" s="1"/>
  <c r="L15" i="1" s="1"/>
  <c r="L12" i="1"/>
  <c r="O8" i="1"/>
  <c r="Q8" i="1" s="1"/>
  <c r="L14" i="1" l="1"/>
  <c r="T7" i="1"/>
  <c r="R11" i="1" s="1"/>
  <c r="S14" i="1" l="1"/>
  <c r="L30" i="6" s="1"/>
  <c r="S15" i="1"/>
  <c r="S13" i="1"/>
  <c r="K30" i="6" s="1"/>
  <c r="O172" i="1"/>
  <c r="R172" i="1" l="1"/>
  <c r="M176" i="1" s="1"/>
  <c r="Q172" i="1"/>
  <c r="T171" i="1" s="1"/>
  <c r="R175" i="1" l="1"/>
  <c r="S179" i="1" s="1"/>
  <c r="L177" i="1"/>
  <c r="S177" i="1" l="1"/>
  <c r="K42" i="6" s="1"/>
  <c r="S178" i="1"/>
  <c r="L42" i="6" s="1"/>
  <c r="K50" i="6" l="1"/>
  <c r="L50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<sst xmlns="http://schemas.openxmlformats.org/spreadsheetml/2006/main" count="2525" uniqueCount="415">
  <si>
    <t>Anathema Requirements</t>
  </si>
  <si>
    <t>Fusion Thruster</t>
  </si>
  <si>
    <t>Tesseract Capacitor Unit</t>
  </si>
  <si>
    <t>Radar Sensor Cluster</t>
  </si>
  <si>
    <t>Nanoelectrical Microprocessor</t>
  </si>
  <si>
    <t>Tungsten Carbide Armor Plate</t>
  </si>
  <si>
    <t>Antimatter Reactor Unit</t>
  </si>
  <si>
    <t>Linear Shield Emitter</t>
  </si>
  <si>
    <t>Tungsten Carbide</t>
  </si>
  <si>
    <t>Fermionic Condensates</t>
  </si>
  <si>
    <t>Phenolic Composites</t>
  </si>
  <si>
    <t>Ferrogel</t>
  </si>
  <si>
    <t>Sylramic Fibers</t>
  </si>
  <si>
    <t>Terahertz Meta Materials</t>
  </si>
  <si>
    <t>Nano Transistors</t>
  </si>
  <si>
    <t>Hypersynaptic Fibers</t>
  </si>
  <si>
    <t>Fullerides</t>
  </si>
  <si>
    <t>Have</t>
  </si>
  <si>
    <t>Need</t>
  </si>
  <si>
    <t>Runs</t>
  </si>
  <si>
    <t>Jita Buy Price</t>
  </si>
  <si>
    <t>Prices</t>
  </si>
  <si>
    <t>Total</t>
  </si>
  <si>
    <t>VS</t>
  </si>
  <si>
    <t>Total Needed to buy</t>
  </si>
  <si>
    <t>Item</t>
  </si>
  <si>
    <t>Price</t>
  </si>
  <si>
    <t>Qty Have</t>
  </si>
  <si>
    <t>Blueprint Job runs</t>
  </si>
  <si>
    <t>Anathema Runs</t>
  </si>
  <si>
    <t>Qty Needed</t>
  </si>
  <si>
    <t>Buy or Manufacture</t>
  </si>
  <si>
    <t>Manfacture</t>
  </si>
  <si>
    <t>Cost to Produce</t>
  </si>
  <si>
    <t>Total Purchase Price</t>
  </si>
  <si>
    <t>Qty Buy runs</t>
  </si>
  <si>
    <t>Comparitive Build Cost</t>
  </si>
  <si>
    <t xml:space="preserve"> Savings $</t>
  </si>
  <si>
    <t xml:space="preserve"> Savings %</t>
  </si>
  <si>
    <t>Anathema Info</t>
  </si>
  <si>
    <t>Heretic Info</t>
  </si>
  <si>
    <t>Heretic Requirements</t>
  </si>
  <si>
    <t>Heretic Runs</t>
  </si>
  <si>
    <t>Morphite</t>
  </si>
  <si>
    <t>Construction Blocks</t>
  </si>
  <si>
    <t>Margin</t>
  </si>
  <si>
    <t>required = max(runs, ceil(round(runs ∗ baseQuantity ∗ materialModifier, 2)))</t>
  </si>
  <si>
    <t>Actual Cost</t>
  </si>
  <si>
    <t>Sell Price</t>
  </si>
  <si>
    <t>Type</t>
  </si>
  <si>
    <t>Buy</t>
  </si>
  <si>
    <t>2019.04.27 18:21:40</t>
  </si>
  <si>
    <t>Planetary Import Tax</t>
  </si>
  <si>
    <t>[r] Planetary Import Tax: Certh Finley imported to Wuos VI</t>
  </si>
  <si>
    <t>Strontium</t>
  </si>
  <si>
    <t>Heavy Water</t>
  </si>
  <si>
    <t>2019.04.27 18:16:25</t>
  </si>
  <si>
    <t>Planetary Export Tax</t>
  </si>
  <si>
    <t>[r] Planetary Export Tax: Certh Finley exported from Wuos IX</t>
  </si>
  <si>
    <t>Liquid Ozone</t>
  </si>
  <si>
    <t>Nitrogen Isotopes</t>
  </si>
  <si>
    <t>2019.04.27 18:16:19</t>
  </si>
  <si>
    <t>[r] Planetary Export Tax: Certh Finley exported from Wuos VIII</t>
  </si>
  <si>
    <t>Mech Parts</t>
  </si>
  <si>
    <t>Coolant</t>
  </si>
  <si>
    <t>2019.04.27 18:16:10</t>
  </si>
  <si>
    <t>[r] Planetary Export Tax: Certh Finley exported from Wuos VII</t>
  </si>
  <si>
    <t>2019.04.27 18:16:03</t>
  </si>
  <si>
    <t>[r] Planetary Export Tax: Certh Finley exported from Wuos VI</t>
  </si>
  <si>
    <t>2019.04.27 18:15:56</t>
  </si>
  <si>
    <t>[r] Planetary Export Tax: Certh Finley exported from Wuos IV</t>
  </si>
  <si>
    <t>Manufacturing cost</t>
  </si>
  <si>
    <t>tax manu</t>
  </si>
  <si>
    <t>subtotal man</t>
  </si>
  <si>
    <t>2019.04.27 18:15:50</t>
  </si>
  <si>
    <t>[r] Planetary Export Tax: Certh Finley exported from Wuos III</t>
  </si>
  <si>
    <t>Less Brokerage Fee</t>
  </si>
  <si>
    <t>Sales Tax</t>
  </si>
  <si>
    <t>2019.04.26 02:27:05</t>
  </si>
  <si>
    <t>Transaction Tax</t>
  </si>
  <si>
    <t>Sales tax paid to the SCC</t>
  </si>
  <si>
    <t>Rough total profit less all costs</t>
  </si>
  <si>
    <t>Example Planetary</t>
  </si>
  <si>
    <t>Extended</t>
  </si>
  <si>
    <t>Decryptor</t>
  </si>
  <si>
    <t>Probability Multiplier (% from 100%)</t>
  </si>
  <si>
    <t>Material Efficiency Modifier</t>
  </si>
  <si>
    <t>Time Efficiency Modifier</t>
  </si>
  <si>
    <t>Accelerant</t>
  </si>
  <si>
    <t>Attainment</t>
  </si>
  <si>
    <t>Augmentation</t>
  </si>
  <si>
    <t>Optimized Attainment</t>
  </si>
  <si>
    <t>Optimized Augmentation</t>
  </si>
  <si>
    <t>Parity</t>
  </si>
  <si>
    <t>Process</t>
  </si>
  <si>
    <t>Symmetry</t>
  </si>
  <si>
    <t>xx</t>
  </si>
  <si>
    <t>Copies</t>
  </si>
  <si>
    <t>Required Components</t>
  </si>
  <si>
    <t>Optional</t>
  </si>
  <si>
    <t>Datacore - Ammarian</t>
  </si>
  <si>
    <t>Accelerant Decryptor</t>
  </si>
  <si>
    <t>Qty Req</t>
  </si>
  <si>
    <t>Base</t>
  </si>
  <si>
    <t>BP ME</t>
  </si>
  <si>
    <t>Interdiction Sphere Launcher</t>
  </si>
  <si>
    <t>runs</t>
  </si>
  <si>
    <t>Tritanium</t>
  </si>
  <si>
    <t>Mins</t>
  </si>
  <si>
    <t>Pyerite</t>
  </si>
  <si>
    <t>Mexallon</t>
  </si>
  <si>
    <t>Isogen</t>
  </si>
  <si>
    <t>Nocxium</t>
  </si>
  <si>
    <t>Zydrine</t>
  </si>
  <si>
    <t>Megacyte</t>
  </si>
  <si>
    <t>Manufacture vs Sell Mins</t>
  </si>
  <si>
    <t>Man</t>
  </si>
  <si>
    <t>Amarr</t>
  </si>
  <si>
    <t>Ore:</t>
  </si>
  <si>
    <t>Veldspar</t>
  </si>
  <si>
    <t>Concentrated Veldspar</t>
  </si>
  <si>
    <t>Dense Veldspar</t>
  </si>
  <si>
    <t>Scordite</t>
  </si>
  <si>
    <t>Condensed Scordite</t>
  </si>
  <si>
    <t>Massive Scordite</t>
  </si>
  <si>
    <t>Pyroxeres</t>
  </si>
  <si>
    <t>Solid Pyroxeres</t>
  </si>
  <si>
    <t>Viscous Pyroxeres</t>
  </si>
  <si>
    <t>Plagioclase</t>
  </si>
  <si>
    <t>Rich Plagioclase</t>
  </si>
  <si>
    <t>Azure Plagioclase</t>
  </si>
  <si>
    <t>Kernite</t>
  </si>
  <si>
    <t>Luminous Kernite</t>
  </si>
  <si>
    <t>Fiery Kernite</t>
  </si>
  <si>
    <t>Omber</t>
  </si>
  <si>
    <t>Silvery Omber</t>
  </si>
  <si>
    <t>Golden Omber</t>
  </si>
  <si>
    <t>Compressed Prices</t>
  </si>
  <si>
    <t>Qty</t>
  </si>
  <si>
    <t>Price Compressed</t>
  </si>
  <si>
    <t>Price as is</t>
  </si>
  <si>
    <t>Mineral Prices</t>
  </si>
  <si>
    <t>Conversion</t>
  </si>
  <si>
    <t>Best Reprocess</t>
  </si>
  <si>
    <t xml:space="preserve"> Qty Compressed</t>
  </si>
  <si>
    <t>Reprocess to Minerals</t>
  </si>
  <si>
    <t>Tax Rate</t>
  </si>
  <si>
    <t>BEST POSSIBLE</t>
  </si>
  <si>
    <t>White Glaze</t>
  </si>
  <si>
    <t>Ore Price</t>
  </si>
  <si>
    <t>Compressed Price</t>
  </si>
  <si>
    <t>Stronium Clathrates</t>
  </si>
  <si>
    <t>Stork Requirements</t>
  </si>
  <si>
    <t>Graviton Reactor Unit</t>
  </si>
  <si>
    <t>Sustained Shield Emitter</t>
  </si>
  <si>
    <t>Magpulse Thruster</t>
  </si>
  <si>
    <t>Gravimetric Sensor Cluster</t>
  </si>
  <si>
    <t>Scalar Capacitor Unit</t>
  </si>
  <si>
    <t>Quantum Microprocessor</t>
  </si>
  <si>
    <t>Titanium Diborite Armor Plate</t>
  </si>
  <si>
    <t>Caldari</t>
  </si>
  <si>
    <t>Stork</t>
  </si>
  <si>
    <t>Fermonic Condensates</t>
  </si>
  <si>
    <t>Titanium Carbide</t>
  </si>
  <si>
    <t>Nanotransistors</t>
  </si>
  <si>
    <t>Nonlinear MetaMaterials</t>
  </si>
  <si>
    <t>Nonlinear Metamaterials</t>
  </si>
  <si>
    <t>k</t>
  </si>
  <si>
    <t>l</t>
  </si>
  <si>
    <t>Manticore Requirements</t>
  </si>
  <si>
    <t>Manticore</t>
  </si>
  <si>
    <t>Data Core Cost</t>
  </si>
  <si>
    <t>Broker</t>
  </si>
  <si>
    <t>Misc Industry Tax</t>
  </si>
  <si>
    <t>Sabre Requirements</t>
  </si>
  <si>
    <t>Plasma Thruster</t>
  </si>
  <si>
    <t>Nanomechanical Microprocessor</t>
  </si>
  <si>
    <t>Fernite Carbide Composite AP</t>
  </si>
  <si>
    <t>Ladar Sensor Cluster</t>
  </si>
  <si>
    <t>Deflection Shield Emitter</t>
  </si>
  <si>
    <t>Nuclear Reactor Unit</t>
  </si>
  <si>
    <t>Electrolytic Capacitor Unit</t>
  </si>
  <si>
    <t>Minmatar</t>
  </si>
  <si>
    <t>Fernite Carbide</t>
  </si>
  <si>
    <t>Plasmonic MetaMaterials</t>
  </si>
  <si>
    <t>Sabre</t>
  </si>
  <si>
    <t>Purifier Requirements</t>
  </si>
  <si>
    <t>Purifier  Info</t>
  </si>
  <si>
    <t>Datacore - Nanite</t>
  </si>
  <si>
    <t>Purifier Runs</t>
  </si>
  <si>
    <t>Ships</t>
  </si>
  <si>
    <t>Anathema</t>
  </si>
  <si>
    <t>Heretic</t>
  </si>
  <si>
    <t>Purifier</t>
  </si>
  <si>
    <t>Gallente</t>
  </si>
  <si>
    <t>Manufacture</t>
  </si>
  <si>
    <t>Dashboard</t>
  </si>
  <si>
    <t>% Gain/Loss</t>
  </si>
  <si>
    <t>Isk Gain/Loss</t>
  </si>
  <si>
    <t>=MAX(E7,CEILING.MATH(ROUNDUP(E7*C7*((1-10%)*(1-1%)*(1-2%)),20)))</t>
  </si>
  <si>
    <t>Helium Isotopes</t>
  </si>
  <si>
    <t>Robotics</t>
  </si>
  <si>
    <t>Enriched Uranium</t>
  </si>
  <si>
    <t>Oxygen</t>
  </si>
  <si>
    <t>Helium Fuel Block</t>
  </si>
  <si>
    <t>Clear Icicle</t>
  </si>
  <si>
    <t>Compressed Clear</t>
  </si>
  <si>
    <t>Auto-Integrity Preservation Seal</t>
  </si>
  <si>
    <t>Bacteria</t>
  </si>
  <si>
    <t>Proteins</t>
  </si>
  <si>
    <t>Reinforced Carbon Fiber</t>
  </si>
  <si>
    <t>ME</t>
  </si>
  <si>
    <t>Less Costs</t>
  </si>
  <si>
    <t>Less Industry and Sales</t>
  </si>
  <si>
    <t>Total Margin</t>
  </si>
  <si>
    <t>Sense-Heuristic Neurolink Enhancer (Reaction)</t>
  </si>
  <si>
    <t>Azure Mykoserocin</t>
  </si>
  <si>
    <t>Vermillion Mykoserocin</t>
  </si>
  <si>
    <t>AV-Composite Molecular Condenser</t>
  </si>
  <si>
    <t>Hydrogen Fuel Block</t>
  </si>
  <si>
    <t xml:space="preserve">Sense-Heuristic Neurolink Enhancer </t>
  </si>
  <si>
    <t>Sense-Heuristic</t>
  </si>
  <si>
    <t>Input</t>
  </si>
  <si>
    <t>Price (1)</t>
  </si>
  <si>
    <t>Need (2 x Runs)</t>
  </si>
  <si>
    <t>Have (Given)</t>
  </si>
  <si>
    <t>Base (2) (Given)</t>
  </si>
  <si>
    <t>Cost to Acquire</t>
  </si>
  <si>
    <t>(Have - Need) * Price</t>
  </si>
  <si>
    <t>Selling Price</t>
  </si>
  <si>
    <t>Completed?</t>
  </si>
  <si>
    <t>Sense-Heuristic Neurolink Enhancer</t>
  </si>
  <si>
    <t>Quantity</t>
  </si>
  <si>
    <t>Profit ($)</t>
  </si>
  <si>
    <t>Date</t>
  </si>
  <si>
    <t>Costs (Built in)</t>
  </si>
  <si>
    <t>Purifer + Anathema</t>
  </si>
  <si>
    <t>Purifier + Anathema Runs</t>
  </si>
  <si>
    <t>Prospect</t>
  </si>
  <si>
    <t>Prospect Requirements</t>
  </si>
  <si>
    <t>Ion Thruster</t>
  </si>
  <si>
    <t>Crystalline Carbonide</t>
  </si>
  <si>
    <t>Fusion Reactor Unit</t>
  </si>
  <si>
    <t>Oscillator Capacitor</t>
  </si>
  <si>
    <t>Photon Microprocessor</t>
  </si>
  <si>
    <t>Pulse Shield Emitter</t>
  </si>
  <si>
    <t>Magnetometric Sensor Cluster</t>
  </si>
  <si>
    <t>Crystalline Carbonide Armor Plate</t>
  </si>
  <si>
    <t>Caldari Specific</t>
  </si>
  <si>
    <t>Minmatar Specfic</t>
  </si>
  <si>
    <t>Gallente Specific</t>
  </si>
  <si>
    <t>Photonic Metamaterials</t>
  </si>
  <si>
    <t>Amarr Specific</t>
  </si>
  <si>
    <t>Base - used in all 4</t>
  </si>
  <si>
    <t>Prospect Runs</t>
  </si>
  <si>
    <t>Y</t>
  </si>
  <si>
    <t>Tech 2</t>
  </si>
  <si>
    <t>Tech 1 and others</t>
  </si>
  <si>
    <t>Pressurized Oxidizers</t>
  </si>
  <si>
    <t>Carbon Polymer</t>
  </si>
  <si>
    <t>Sulfuric Acid</t>
  </si>
  <si>
    <t>Oxy-Organic Solvents</t>
  </si>
  <si>
    <t>Hydrocarbons</t>
  </si>
  <si>
    <t>Silicates</t>
  </si>
  <si>
    <t>Atmospheric Gases</t>
  </si>
  <si>
    <t>Evaporite Deposits</t>
  </si>
  <si>
    <t>Nitrogen Fuel Block</t>
  </si>
  <si>
    <t>Oxygen Fuel Block</t>
  </si>
  <si>
    <t>Cost</t>
  </si>
  <si>
    <t>Comparison</t>
  </si>
  <si>
    <t>Buy and make Savings:</t>
  </si>
  <si>
    <t>Make &amp; Make Savings:</t>
  </si>
  <si>
    <t>Make &amp; Make Costs</t>
  </si>
  <si>
    <t>Reinforced Carbon Fiber Reaction</t>
  </si>
  <si>
    <t>Carbon Fiber</t>
  </si>
  <si>
    <t>Thermosetting Polymer</t>
  </si>
  <si>
    <t>Overall Buy</t>
  </si>
  <si>
    <t>Overall Buy &amp; Make</t>
  </si>
  <si>
    <t>Overall Make &amp; Make</t>
  </si>
  <si>
    <t>Profit Margin (%)</t>
  </si>
  <si>
    <t>Flycatcher</t>
  </si>
  <si>
    <t>Curator II</t>
  </si>
  <si>
    <t>Guidance Systems</t>
  </si>
  <si>
    <t>Laser Focusing Crystals</t>
  </si>
  <si>
    <t>Curator I</t>
  </si>
  <si>
    <t>Curator</t>
  </si>
  <si>
    <t>Flycatcher Requirements</t>
  </si>
  <si>
    <t>OCTOBER TOTALS</t>
  </si>
  <si>
    <t>y</t>
  </si>
  <si>
    <t>Morphite Cost</t>
  </si>
  <si>
    <t>Raptor Requirements</t>
  </si>
  <si>
    <t>Raptor</t>
  </si>
  <si>
    <t>Raptor + Flycatcher</t>
  </si>
  <si>
    <t>Flycatcher Runs</t>
  </si>
  <si>
    <t>Raptor Runs</t>
  </si>
  <si>
    <t>Flycatcher+Raptor Runs</t>
  </si>
  <si>
    <t>Broker Fees</t>
  </si>
  <si>
    <t>FOR MARKET ORDERS</t>
  </si>
  <si>
    <t>Helios Requirements</t>
  </si>
  <si>
    <t>Helios</t>
  </si>
  <si>
    <t>Nemesis Requirements</t>
  </si>
  <si>
    <t>Nemesis</t>
  </si>
  <si>
    <t>Hound</t>
  </si>
  <si>
    <t>a</t>
  </si>
  <si>
    <t>BP Ready</t>
  </si>
  <si>
    <t>NOVEMBER TOTALS</t>
  </si>
  <si>
    <t>Covert Ops Cloaking Device II</t>
  </si>
  <si>
    <t>Amarr Curator Sentry Drone</t>
  </si>
  <si>
    <t>Transmitter</t>
  </si>
  <si>
    <t>Graviton Pulse Generator</t>
  </si>
  <si>
    <t>ProtoType cloaking Device I</t>
  </si>
  <si>
    <t>Miniature Electronics</t>
  </si>
  <si>
    <t>Supercomputers</t>
  </si>
  <si>
    <t>Hermetic Membranes</t>
  </si>
  <si>
    <t>RAM Electronics</t>
  </si>
  <si>
    <t>Ubiquitous Moon Mining Crystal Type A</t>
  </si>
  <si>
    <t>Ubiquitous Moon Mining Crystal Type A Tech 2</t>
  </si>
  <si>
    <t>Total Across</t>
  </si>
  <si>
    <t>(Plug)</t>
  </si>
  <si>
    <t>Purchase</t>
  </si>
  <si>
    <t>vs</t>
  </si>
  <si>
    <t>Make</t>
  </si>
  <si>
    <t>[depends]</t>
  </si>
  <si>
    <t>Total Cost</t>
  </si>
  <si>
    <t>Manufacturing tax</t>
  </si>
  <si>
    <t>Approximate Total Cost</t>
  </si>
  <si>
    <t>Datacore Cost</t>
  </si>
  <si>
    <t>Datacores:</t>
  </si>
  <si>
    <t>High Energy Physics</t>
  </si>
  <si>
    <t>Laser Physics</t>
  </si>
  <si>
    <t>Probability</t>
  </si>
  <si>
    <t>Parity Decrypter</t>
  </si>
  <si>
    <t>TC per run</t>
  </si>
  <si>
    <t>x</t>
  </si>
  <si>
    <t>Retribution</t>
  </si>
  <si>
    <t>Retribution Requirements</t>
  </si>
  <si>
    <t>Rens</t>
  </si>
  <si>
    <t>Jita</t>
  </si>
  <si>
    <t>Qty per Run</t>
  </si>
  <si>
    <t># of Runs</t>
  </si>
  <si>
    <t>Manufacturing Tax</t>
  </si>
  <si>
    <t>Total Costs</t>
  </si>
  <si>
    <t>Sales Revenue</t>
  </si>
  <si>
    <t>Input Material</t>
  </si>
  <si>
    <t>Net Profit</t>
  </si>
  <si>
    <t>For Market Orders</t>
  </si>
  <si>
    <t>Qty produced</t>
  </si>
  <si>
    <t>Dodixie</t>
  </si>
  <si>
    <t>jita</t>
  </si>
  <si>
    <t>DECEMBER TOTALS</t>
  </si>
  <si>
    <t>JANUARY TOTAL TOTALS</t>
  </si>
  <si>
    <t>FEBRUARY TOTAL TOTALS</t>
  </si>
  <si>
    <t>MARCH TOTAL TOTALS</t>
  </si>
  <si>
    <t>Retribution + Anathema</t>
  </si>
  <si>
    <t>Amarr^</t>
  </si>
  <si>
    <t>Gallente V</t>
  </si>
  <si>
    <t>Own Expenses</t>
  </si>
  <si>
    <t>Appraisal</t>
  </si>
  <si>
    <t>Total cost &amp; profit</t>
  </si>
  <si>
    <t>Price / Fuel Block</t>
  </si>
  <si>
    <t>Pricing</t>
  </si>
  <si>
    <t>If sold directly</t>
  </si>
  <si>
    <t>Cost Total</t>
  </si>
  <si>
    <t>Made</t>
  </si>
  <si>
    <t>Break-even</t>
  </si>
  <si>
    <t>Hound  Requirements</t>
  </si>
  <si>
    <t>Glistening Coesite</t>
  </si>
  <si>
    <t>Glistening Sylvite</t>
  </si>
  <si>
    <t>PI Now 8/23/22</t>
  </si>
  <si>
    <t>Gamis</t>
  </si>
  <si>
    <t>Plasma</t>
  </si>
  <si>
    <t>Heavy Metals</t>
  </si>
  <si>
    <t>Noble Metals</t>
  </si>
  <si>
    <t>Nieril</t>
  </si>
  <si>
    <t>Lava</t>
  </si>
  <si>
    <t>Non-CS Crystals</t>
  </si>
  <si>
    <t>Felsic Magma</t>
  </si>
  <si>
    <t>Barren</t>
  </si>
  <si>
    <t>Base Metals</t>
  </si>
  <si>
    <t>Bekirdod</t>
  </si>
  <si>
    <t>Storm</t>
  </si>
  <si>
    <t>Noble Gas</t>
  </si>
  <si>
    <t>Ionic Solutions</t>
  </si>
  <si>
    <t>Aqueous Liquid</t>
  </si>
  <si>
    <t>Proposed</t>
  </si>
  <si>
    <t>System/Planet</t>
  </si>
  <si>
    <t>Planet Type</t>
  </si>
  <si>
    <t>Resoucres</t>
  </si>
  <si>
    <t>%</t>
  </si>
  <si>
    <t>Carbon Compounds</t>
  </si>
  <si>
    <t>Suspended Plasma</t>
  </si>
  <si>
    <t>Aqueous Liquids</t>
  </si>
  <si>
    <t>Gas</t>
  </si>
  <si>
    <t>Reactive Gas</t>
  </si>
  <si>
    <t>Ice</t>
  </si>
  <si>
    <t>Plamltoc Colonies</t>
  </si>
  <si>
    <t>Temperate</t>
  </si>
  <si>
    <t>Autotrophs</t>
  </si>
  <si>
    <t>Advanced Facilities</t>
  </si>
  <si>
    <t>Sifilar 3</t>
  </si>
  <si>
    <t>Oyeman 6</t>
  </si>
  <si>
    <t>Oyeman 4</t>
  </si>
  <si>
    <t>Oyeman 8</t>
  </si>
  <si>
    <t>Oyeman 12</t>
  </si>
  <si>
    <t>Oyeman 3</t>
  </si>
  <si>
    <t>Alliance Syndicate</t>
  </si>
  <si>
    <t>Pashanai P5M12 Civic Court</t>
  </si>
  <si>
    <t>250/m3</t>
  </si>
  <si>
    <t>or 5m2 MINIMUM</t>
  </si>
  <si>
    <t>Yu-Lin Mei</t>
  </si>
  <si>
    <t>Compressed Clear Icicle</t>
  </si>
  <si>
    <t>Harpy Requirements</t>
  </si>
  <si>
    <t>Harpy</t>
  </si>
  <si>
    <t>AMARR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</si>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</sst>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_(* #,##0.000_);_(* \(#,##0.000\);_(* &quot;-&quot;??_);_(@_)"/>
    <numFmt numFmtId="166" formatCode="0.000%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 val="singleAccounting"/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u/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2">
    <xf numFmtId="0" fontId="0" fillId="0" borderId="0" xfId="0"/>
    <xf numFmtId="0" fontId="0" fillId="0" borderId="0" xfId="0" applyAlignment="1">
      <alignment horizontal="right"/>
    </xf>
    <xf numFmtId="43" fontId="0" fillId="0" borderId="0" xfId="1" applyFont="1"/>
    <xf numFmtId="164" fontId="0" fillId="0" borderId="0" xfId="1" applyNumberFormat="1" applyFont="1"/>
    <xf numFmtId="43" fontId="0" fillId="0" borderId="0" xfId="0" applyNumberFormat="1"/>
    <xf numFmtId="0" fontId="0" fillId="2" borderId="0" xfId="0" applyFill="1"/>
    <xf numFmtId="164" fontId="2" fillId="0" borderId="0" xfId="1" applyNumberFormat="1" applyFont="1"/>
    <xf numFmtId="0" fontId="0" fillId="0" borderId="0" xfId="1" applyNumberFormat="1" applyFont="1"/>
    <xf numFmtId="10" fontId="0" fillId="0" borderId="0" xfId="2" applyNumberFormat="1" applyFont="1"/>
    <xf numFmtId="0" fontId="0" fillId="0" borderId="0" xfId="0" applyAlignment="1">
      <alignment horizontal="left"/>
    </xf>
    <xf numFmtId="0" fontId="0" fillId="0" borderId="0" xfId="0" quotePrefix="1"/>
    <xf numFmtId="43" fontId="3" fillId="0" borderId="0" xfId="1" applyFont="1"/>
    <xf numFmtId="44" fontId="0" fillId="0" borderId="0" xfId="0" applyNumberFormat="1"/>
    <xf numFmtId="44" fontId="0" fillId="0" borderId="0" xfId="1" applyNumberFormat="1" applyFont="1"/>
    <xf numFmtId="9" fontId="0" fillId="0" borderId="0" xfId="2" applyFont="1"/>
    <xf numFmtId="2" fontId="0" fillId="0" borderId="0" xfId="0" applyNumberFormat="1"/>
    <xf numFmtId="164" fontId="0" fillId="0" borderId="0" xfId="0" applyNumberFormat="1"/>
    <xf numFmtId="0" fontId="0" fillId="3" borderId="0" xfId="0" applyFill="1"/>
    <xf numFmtId="164" fontId="0" fillId="3" borderId="0" xfId="1" applyNumberFormat="1" applyFont="1" applyFill="1"/>
    <xf numFmtId="10" fontId="0" fillId="3" borderId="0" xfId="2" applyNumberFormat="1" applyFont="1" applyFill="1"/>
    <xf numFmtId="164" fontId="0" fillId="2" borderId="0" xfId="1" applyNumberFormat="1" applyFont="1" applyFill="1"/>
    <xf numFmtId="0" fontId="0" fillId="0" borderId="0" xfId="0" applyAlignment="1">
      <alignment horizontal="center"/>
    </xf>
    <xf numFmtId="43" fontId="0" fillId="2" borderId="0" xfId="1" applyFont="1" applyFill="1"/>
    <xf numFmtId="0" fontId="0" fillId="4" borderId="0" xfId="0" applyFill="1"/>
    <xf numFmtId="3" fontId="0" fillId="0" borderId="0" xfId="0" applyNumberFormat="1"/>
    <xf numFmtId="10" fontId="0" fillId="0" borderId="0" xfId="0" applyNumberFormat="1"/>
    <xf numFmtId="43" fontId="0" fillId="0" borderId="1" xfId="0" applyNumberFormat="1" applyBorder="1"/>
    <xf numFmtId="0" fontId="2" fillId="0" borderId="0" xfId="0" applyFont="1"/>
    <xf numFmtId="43" fontId="0" fillId="0" borderId="1" xfId="1" applyFont="1" applyBorder="1"/>
    <xf numFmtId="9" fontId="0" fillId="0" borderId="0" xfId="0" applyNumberFormat="1"/>
    <xf numFmtId="43" fontId="0" fillId="3" borderId="0" xfId="1" applyFont="1" applyFill="1"/>
    <xf numFmtId="9" fontId="0" fillId="2" borderId="0" xfId="0" applyNumberFormat="1" applyFill="1"/>
    <xf numFmtId="0" fontId="2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5" fillId="0" borderId="0" xfId="0" applyFont="1"/>
    <xf numFmtId="43" fontId="0" fillId="0" borderId="0" xfId="1" applyFont="1" applyFill="1"/>
    <xf numFmtId="44" fontId="3" fillId="0" borderId="0" xfId="0" applyNumberFormat="1" applyFont="1"/>
    <xf numFmtId="3" fontId="0" fillId="2" borderId="0" xfId="0" applyNumberFormat="1" applyFill="1"/>
    <xf numFmtId="43" fontId="0" fillId="2" borderId="0" xfId="0" applyNumberFormat="1" applyFill="1"/>
    <xf numFmtId="43" fontId="0" fillId="0" borderId="0" xfId="1" applyFont="1" applyBorder="1"/>
    <xf numFmtId="164" fontId="0" fillId="0" borderId="0" xfId="1" applyNumberFormat="1" applyFont="1" applyFill="1"/>
    <xf numFmtId="164" fontId="0" fillId="0" borderId="1" xfId="1" applyNumberFormat="1" applyFont="1" applyFill="1" applyBorder="1"/>
    <xf numFmtId="164" fontId="0" fillId="0" borderId="1" xfId="0" applyNumberFormat="1" applyBorder="1"/>
    <xf numFmtId="10" fontId="0" fillId="0" borderId="0" xfId="2" applyNumberFormat="1" applyFont="1" applyFill="1"/>
    <xf numFmtId="164" fontId="0" fillId="0" borderId="0" xfId="1" applyNumberFormat="1" applyFont="1" applyAlignment="1">
      <alignment horizontal="center"/>
    </xf>
    <xf numFmtId="14" fontId="0" fillId="0" borderId="0" xfId="0" applyNumberFormat="1"/>
    <xf numFmtId="0" fontId="6" fillId="3" borderId="0" xfId="0" applyFont="1" applyFill="1"/>
    <xf numFmtId="43" fontId="0" fillId="0" borderId="0" xfId="1" applyFont="1" applyFill="1" applyBorder="1"/>
    <xf numFmtId="165" fontId="0" fillId="0" borderId="0" xfId="0" applyNumberFormat="1"/>
    <xf numFmtId="164" fontId="0" fillId="0" borderId="1" xfId="1" applyNumberFormat="1" applyFont="1" applyBorder="1"/>
    <xf numFmtId="43" fontId="0" fillId="0" borderId="0" xfId="2" applyNumberFormat="1" applyFont="1"/>
    <xf numFmtId="0" fontId="0" fillId="3" borderId="0" xfId="0" quotePrefix="1" applyFill="1"/>
    <xf numFmtId="43" fontId="0" fillId="3" borderId="0" xfId="0" applyNumberFormat="1" applyFill="1"/>
    <xf numFmtId="0" fontId="0" fillId="3" borderId="0" xfId="0" applyFill="1" applyAlignment="1">
      <alignment horizontal="right"/>
    </xf>
    <xf numFmtId="9" fontId="0" fillId="3" borderId="0" xfId="0" applyNumberFormat="1" applyFill="1"/>
    <xf numFmtId="0" fontId="7" fillId="0" borderId="0" xfId="0" applyFont="1"/>
    <xf numFmtId="44" fontId="0" fillId="0" borderId="1" xfId="0" applyNumberFormat="1" applyBorder="1"/>
    <xf numFmtId="10" fontId="0" fillId="0" borderId="0" xfId="2" applyNumberFormat="1" applyFont="1" applyFill="1" applyBorder="1"/>
    <xf numFmtId="164" fontId="0" fillId="0" borderId="0" xfId="1" applyNumberFormat="1" applyFont="1" applyFill="1" applyBorder="1"/>
    <xf numFmtId="0" fontId="0" fillId="5" borderId="0" xfId="0" applyFill="1"/>
    <xf numFmtId="43" fontId="0" fillId="3" borderId="0" xfId="1" applyFont="1" applyFill="1" applyBorder="1"/>
    <xf numFmtId="43" fontId="8" fillId="0" borderId="0" xfId="0" applyNumberFormat="1" applyFont="1"/>
    <xf numFmtId="0" fontId="8" fillId="0" borderId="0" xfId="0" applyFont="1"/>
    <xf numFmtId="164" fontId="0" fillId="2" borderId="0" xfId="0" applyNumberFormat="1" applyFill="1"/>
    <xf numFmtId="164" fontId="1" fillId="0" borderId="0" xfId="1" applyNumberFormat="1" applyFont="1"/>
    <xf numFmtId="0" fontId="0" fillId="0" borderId="1" xfId="0" applyBorder="1" applyAlignment="1">
      <alignment horizontal="center"/>
    </xf>
    <xf numFmtId="166" fontId="0" fillId="0" borderId="0" xfId="2" applyNumberFormat="1" applyFont="1"/>
    <xf numFmtId="0" fontId="9" fillId="0" borderId="0" xfId="0" applyFont="1"/>
    <xf numFmtId="9" fontId="2" fillId="0" borderId="0" xfId="0" applyNumberFormat="1" applyFont="1"/>
    <xf numFmtId="164" fontId="9" fillId="0" borderId="0" xfId="1" applyNumberFormat="1" applyFont="1"/>
  </cellXfs>
  <cellStyles count="3">
    <cellStyle name="Comma" xfId="1" builtinId="3"/>
    <cellStyle name="Normal" xfId="0" builtinId="0"/>
    <cellStyle name="Percent" xfId="2" builtinId="5"/>
  </cellStyles>
  <dxfs count="6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B414D-6797-42FB-95DE-3C130D8373AD}">
  <sheetPr>
    <tabColor rgb="FF00B050"/>
  </sheetPr>
  <dimension ref="A1:P343"/>
  <sheetViews>
    <sheetView zoomScaleNormal="100" workbookViewId="0">
      <pane ySplit="1" topLeftCell="A325" activePane="bottomLeft" state="frozen"/>
      <selection pane="bottomLeft" activeCell="D328" sqref="D328"/>
    </sheetView>
  </sheetViews>
  <sheetFormatPr defaultRowHeight="15" x14ac:dyDescent="0.25"/>
  <cols>
    <col min="1" max="1" width="10.7109375" bestFit="1" customWidth="1"/>
    <col min="2" max="2" width="33.42578125" bestFit="1" customWidth="1"/>
    <col min="3" max="3" width="15.140625" style="3" bestFit="1" customWidth="1"/>
    <col min="4" max="4" width="12.5703125" style="3" bestFit="1" customWidth="1"/>
    <col min="5" max="5" width="22.7109375" style="3" bestFit="1" customWidth="1"/>
    <col min="6" max="6" width="14.28515625" style="3" bestFit="1" customWidth="1"/>
    <col min="7" max="7" width="16.140625" bestFit="1" customWidth="1"/>
    <col min="8" max="8" width="11.85546875" bestFit="1" customWidth="1"/>
    <col min="9" max="9" width="10" bestFit="1" customWidth="1"/>
    <col min="10" max="10" width="12" bestFit="1" customWidth="1"/>
    <col min="11" max="11" width="18" customWidth="1"/>
    <col min="12" max="12" width="10" customWidth="1"/>
    <col min="13" max="13" width="15.7109375" customWidth="1"/>
    <col min="14" max="14" width="14.28515625" bestFit="1" customWidth="1"/>
    <col min="15" max="15" width="13.28515625" bestFit="1" customWidth="1"/>
  </cols>
  <sheetData>
    <row r="1" spans="1:11" x14ac:dyDescent="0.25">
      <c r="A1" t="s">
        <v>234</v>
      </c>
      <c r="B1" s="21" t="s">
        <v>25</v>
      </c>
      <c r="C1" s="46" t="s">
        <v>229</v>
      </c>
      <c r="D1" s="46" t="s">
        <v>232</v>
      </c>
      <c r="E1" s="46" t="s">
        <v>235</v>
      </c>
      <c r="F1" s="46" t="s">
        <v>233</v>
      </c>
      <c r="G1" s="21" t="s">
        <v>279</v>
      </c>
      <c r="H1" s="21" t="s">
        <v>230</v>
      </c>
      <c r="J1" t="s">
        <v>77</v>
      </c>
      <c r="K1" s="25">
        <v>3.5999999999999997E-2</v>
      </c>
    </row>
    <row r="2" spans="1:11" x14ac:dyDescent="0.25">
      <c r="A2" s="47">
        <v>44478</v>
      </c>
      <c r="B2" t="s">
        <v>231</v>
      </c>
      <c r="C2" s="3">
        <v>128900</v>
      </c>
      <c r="D2" s="3">
        <v>1000</v>
      </c>
      <c r="E2" s="3">
        <f>139602500-3000000</f>
        <v>136602500</v>
      </c>
      <c r="F2" s="3">
        <f>(C2*D2)-E2</f>
        <v>-7702500</v>
      </c>
      <c r="G2" s="8">
        <f>F2/E2</f>
        <v>-5.6386230120239383E-2</v>
      </c>
      <c r="H2" t="s">
        <v>255</v>
      </c>
      <c r="J2" t="s">
        <v>296</v>
      </c>
      <c r="K2" s="25">
        <v>1.44E-2</v>
      </c>
    </row>
    <row r="3" spans="1:11" x14ac:dyDescent="0.25">
      <c r="A3" s="47">
        <v>44478</v>
      </c>
      <c r="B3" t="s">
        <v>193</v>
      </c>
      <c r="C3" s="3">
        <v>24250000</v>
      </c>
      <c r="D3" s="3">
        <v>2</v>
      </c>
      <c r="E3" s="3">
        <v>39429986.946000002</v>
      </c>
      <c r="F3" s="3">
        <f>(C3*D3)-E3</f>
        <v>9070013.0539999977</v>
      </c>
      <c r="G3" s="8">
        <f>F3/(E3+F3)</f>
        <v>0.18701057843298965</v>
      </c>
      <c r="H3" t="s">
        <v>255</v>
      </c>
    </row>
    <row r="4" spans="1:11" x14ac:dyDescent="0.25">
      <c r="A4" s="47">
        <v>44481</v>
      </c>
      <c r="B4" t="s">
        <v>193</v>
      </c>
      <c r="C4" s="3">
        <v>23910000</v>
      </c>
      <c r="D4" s="3">
        <v>1</v>
      </c>
      <c r="E4" s="3">
        <f>ROUND(39690848.868,0)/2</f>
        <v>19845424.5</v>
      </c>
      <c r="F4" s="3">
        <f>(C4*D4)-E4</f>
        <v>4064575.5</v>
      </c>
      <c r="G4" s="8">
        <f t="shared" ref="G4:G16" si="0">F4/(E4+F4)</f>
        <v>0.16999479297365119</v>
      </c>
      <c r="H4" t="s">
        <v>255</v>
      </c>
    </row>
    <row r="5" spans="1:11" x14ac:dyDescent="0.25">
      <c r="A5" s="47">
        <v>44481</v>
      </c>
      <c r="B5" t="s">
        <v>193</v>
      </c>
      <c r="C5" s="3">
        <v>24230000</v>
      </c>
      <c r="D5" s="3">
        <v>1</v>
      </c>
      <c r="E5" s="3">
        <f>ROUND(39690848.868,0)/2</f>
        <v>19845424.5</v>
      </c>
      <c r="F5" s="3">
        <f>(C5*D5)-E5</f>
        <v>4384575.5</v>
      </c>
      <c r="G5" s="8">
        <f t="shared" si="0"/>
        <v>0.18095647957078004</v>
      </c>
      <c r="H5" t="s">
        <v>255</v>
      </c>
    </row>
    <row r="6" spans="1:11" x14ac:dyDescent="0.25">
      <c r="A6" s="47">
        <v>44485</v>
      </c>
      <c r="B6" t="s">
        <v>231</v>
      </c>
      <c r="C6" s="3">
        <v>128900</v>
      </c>
      <c r="D6" s="3">
        <v>1000</v>
      </c>
      <c r="E6" s="3">
        <v>115385000</v>
      </c>
      <c r="F6" s="3">
        <f>(C6*D6)-E6</f>
        <v>13515000</v>
      </c>
      <c r="G6" s="8">
        <f t="shared" si="0"/>
        <v>0.10484871993793639</v>
      </c>
      <c r="H6" t="s">
        <v>255</v>
      </c>
    </row>
    <row r="7" spans="1:11" x14ac:dyDescent="0.25">
      <c r="A7" s="47">
        <v>44489</v>
      </c>
      <c r="B7" t="s">
        <v>193</v>
      </c>
      <c r="C7" s="3">
        <f>23320000</f>
        <v>23320000</v>
      </c>
      <c r="D7" s="3">
        <v>2</v>
      </c>
      <c r="E7" s="3">
        <v>34206173.239</v>
      </c>
      <c r="F7" s="3">
        <f t="shared" ref="F7:F10" si="1">(C7*D7)-E7</f>
        <v>12433826.761</v>
      </c>
      <c r="G7" s="8">
        <f t="shared" si="0"/>
        <v>0.26659148286878215</v>
      </c>
      <c r="H7" t="s">
        <v>255</v>
      </c>
    </row>
    <row r="8" spans="1:11" x14ac:dyDescent="0.25">
      <c r="A8" s="47">
        <v>44490</v>
      </c>
      <c r="B8" t="s">
        <v>191</v>
      </c>
      <c r="C8" s="3">
        <v>25000000</v>
      </c>
      <c r="D8" s="3">
        <v>1</v>
      </c>
      <c r="E8" s="3">
        <f>32507852.104/2</f>
        <v>16253926.051999999</v>
      </c>
      <c r="F8" s="3">
        <f t="shared" si="1"/>
        <v>8746073.9480000008</v>
      </c>
      <c r="G8" s="8">
        <f t="shared" si="0"/>
        <v>0.34984295792000003</v>
      </c>
      <c r="H8" t="s">
        <v>255</v>
      </c>
    </row>
    <row r="9" spans="1:11" x14ac:dyDescent="0.25">
      <c r="A9" s="47">
        <v>44490</v>
      </c>
      <c r="B9" t="s">
        <v>191</v>
      </c>
      <c r="C9" s="3">
        <v>22310000</v>
      </c>
      <c r="D9" s="3">
        <v>1</v>
      </c>
      <c r="E9" s="3">
        <f>32507852.104/2</f>
        <v>16253926.051999999</v>
      </c>
      <c r="F9" s="3">
        <f t="shared" ref="F9" si="2">(C9*D9)-E9</f>
        <v>6056073.9480000008</v>
      </c>
      <c r="G9" s="8">
        <f t="shared" si="0"/>
        <v>0.27145109583146576</v>
      </c>
      <c r="H9" t="s">
        <v>255</v>
      </c>
    </row>
    <row r="10" spans="1:11" x14ac:dyDescent="0.25">
      <c r="A10" s="47">
        <v>44491</v>
      </c>
      <c r="B10" t="s">
        <v>204</v>
      </c>
      <c r="C10" s="3">
        <v>20000</v>
      </c>
      <c r="D10" s="3">
        <v>4000</v>
      </c>
      <c r="E10" s="3">
        <v>71608508.319999993</v>
      </c>
      <c r="F10" s="3">
        <f t="shared" si="1"/>
        <v>8391491.6800000072</v>
      </c>
      <c r="G10" s="8">
        <f t="shared" si="0"/>
        <v>0.10489364600000009</v>
      </c>
      <c r="H10" t="s">
        <v>255</v>
      </c>
    </row>
    <row r="11" spans="1:11" x14ac:dyDescent="0.25">
      <c r="A11" s="47">
        <v>44493</v>
      </c>
      <c r="B11" t="s">
        <v>193</v>
      </c>
      <c r="C11" s="3">
        <v>23770000</v>
      </c>
      <c r="D11" s="3">
        <v>2</v>
      </c>
      <c r="E11" s="3">
        <f>107903489.24126*(2/6)</f>
        <v>35967829.747086667</v>
      </c>
      <c r="F11" s="3">
        <f t="shared" ref="F11:F16" si="3">(C11*D11)-E11</f>
        <v>11572170.252913333</v>
      </c>
      <c r="G11" s="8">
        <f t="shared" si="0"/>
        <v>0.24341965193338944</v>
      </c>
      <c r="H11" t="s">
        <v>255</v>
      </c>
    </row>
    <row r="12" spans="1:11" x14ac:dyDescent="0.25">
      <c r="A12" s="47">
        <v>44494</v>
      </c>
      <c r="B12" t="s">
        <v>204</v>
      </c>
      <c r="C12" s="3">
        <v>20000</v>
      </c>
      <c r="D12" s="3">
        <v>3000</v>
      </c>
      <c r="E12" s="3">
        <f>70072261.64*(3/4)</f>
        <v>52554196.230000004</v>
      </c>
      <c r="F12" s="3">
        <f t="shared" si="3"/>
        <v>7445803.7699999958</v>
      </c>
      <c r="G12" s="8">
        <f t="shared" si="0"/>
        <v>0.12409672949999993</v>
      </c>
      <c r="H12" t="s">
        <v>255</v>
      </c>
    </row>
    <row r="13" spans="1:11" x14ac:dyDescent="0.25">
      <c r="A13" s="47">
        <v>44494</v>
      </c>
      <c r="B13" t="s">
        <v>193</v>
      </c>
      <c r="C13" s="3">
        <v>23330000</v>
      </c>
      <c r="D13" s="3">
        <v>2</v>
      </c>
      <c r="E13" s="3">
        <f>107903489.24126*(2/6)</f>
        <v>35967829.747086667</v>
      </c>
      <c r="F13" s="3">
        <f t="shared" si="3"/>
        <v>10692170.252913333</v>
      </c>
      <c r="G13" s="8">
        <f t="shared" si="0"/>
        <v>0.22915066980097157</v>
      </c>
      <c r="H13" t="s">
        <v>255</v>
      </c>
    </row>
    <row r="14" spans="1:11" x14ac:dyDescent="0.25">
      <c r="A14" s="47">
        <v>44494</v>
      </c>
      <c r="B14" t="s">
        <v>193</v>
      </c>
      <c r="C14" s="3">
        <v>23320000</v>
      </c>
      <c r="D14" s="3">
        <v>1</v>
      </c>
      <c r="E14" s="3">
        <f>107903489.24126*(1/6)</f>
        <v>17983914.873543333</v>
      </c>
      <c r="F14" s="3">
        <f t="shared" si="3"/>
        <v>5336085.1264566667</v>
      </c>
      <c r="G14" s="8">
        <f t="shared" si="0"/>
        <v>0.22882011691495141</v>
      </c>
      <c r="H14" t="s">
        <v>255</v>
      </c>
    </row>
    <row r="15" spans="1:11" x14ac:dyDescent="0.25">
      <c r="A15" s="47">
        <v>44494</v>
      </c>
      <c r="B15" t="s">
        <v>193</v>
      </c>
      <c r="C15" s="3">
        <v>23260000</v>
      </c>
      <c r="D15" s="3">
        <v>1</v>
      </c>
      <c r="E15" s="3">
        <f>107903489.24126*(1/6)</f>
        <v>17983914.873543333</v>
      </c>
      <c r="F15" s="3">
        <f t="shared" si="3"/>
        <v>5276085.1264566667</v>
      </c>
      <c r="G15" s="8">
        <f t="shared" si="0"/>
        <v>0.22683083088807682</v>
      </c>
      <c r="H15" t="s">
        <v>255</v>
      </c>
    </row>
    <row r="16" spans="1:11" x14ac:dyDescent="0.25">
      <c r="A16" s="47">
        <v>44496</v>
      </c>
      <c r="B16" t="s">
        <v>204</v>
      </c>
      <c r="C16" s="3">
        <v>18200</v>
      </c>
      <c r="D16" s="3">
        <v>4000</v>
      </c>
      <c r="E16" s="3">
        <f>70072261.64*(4/4)</f>
        <v>70072261.640000001</v>
      </c>
      <c r="F16" s="3">
        <f t="shared" si="3"/>
        <v>2727738.3599999994</v>
      </c>
      <c r="G16" s="8">
        <f t="shared" si="0"/>
        <v>3.7468933516483512E-2</v>
      </c>
      <c r="H16" t="s">
        <v>255</v>
      </c>
    </row>
    <row r="17" spans="1:10" x14ac:dyDescent="0.25">
      <c r="A17" t="s">
        <v>287</v>
      </c>
      <c r="D17" s="3">
        <f>E17-F17</f>
        <v>597951633.44052005</v>
      </c>
      <c r="E17" s="3" cm="1">
        <f t="array" ref="E17">SUM(ABS(E2:E16))</f>
        <v>699960816.72026002</v>
      </c>
      <c r="F17" s="3">
        <f>SUM(F2:F16)</f>
        <v>102009183.27973999</v>
      </c>
      <c r="G17" s="8"/>
      <c r="J17" s="8">
        <f>F17/(F17+E17)</f>
        <v>0.12719825340067584</v>
      </c>
    </row>
    <row r="18" spans="1:10" x14ac:dyDescent="0.25">
      <c r="A18" s="47">
        <v>44502</v>
      </c>
      <c r="B18" t="s">
        <v>193</v>
      </c>
      <c r="C18" s="3">
        <v>25060000</v>
      </c>
      <c r="D18" s="3">
        <v>1</v>
      </c>
      <c r="E18" s="3">
        <f>103691377.57/(2*3)</f>
        <v>17281896.261666667</v>
      </c>
      <c r="F18" s="3">
        <f>(C18*D18)-E18</f>
        <v>7778103.7383333333</v>
      </c>
      <c r="G18" s="8">
        <f>F18/(E18+F18)</f>
        <v>0.31037923935887202</v>
      </c>
      <c r="H18" t="s">
        <v>288</v>
      </c>
    </row>
    <row r="19" spans="1:10" x14ac:dyDescent="0.25">
      <c r="A19" s="47">
        <v>44503</v>
      </c>
      <c r="B19" t="s">
        <v>193</v>
      </c>
      <c r="C19" s="3">
        <v>23300000</v>
      </c>
      <c r="D19" s="3">
        <v>2</v>
      </c>
      <c r="E19" s="3">
        <f>103691377.57*(2/(2*3))</f>
        <v>34563792.523333326</v>
      </c>
      <c r="F19" s="3">
        <f>(C19*D19)-E19</f>
        <v>12036207.476666674</v>
      </c>
      <c r="G19" s="8">
        <f t="shared" ref="G19:G29" si="4">F19/(E19+F19)</f>
        <v>0.25828771409155954</v>
      </c>
      <c r="H19" t="s">
        <v>288</v>
      </c>
    </row>
    <row r="20" spans="1:10" x14ac:dyDescent="0.25">
      <c r="A20" s="47">
        <v>44504</v>
      </c>
      <c r="B20" t="s">
        <v>193</v>
      </c>
      <c r="C20" s="3">
        <v>23290000</v>
      </c>
      <c r="D20" s="3">
        <v>1</v>
      </c>
      <c r="E20" s="3">
        <f>103691377.57/(2*3)</f>
        <v>17281896.261666667</v>
      </c>
      <c r="F20" s="3">
        <f>(C20*D20)-E20</f>
        <v>6008103.7383333333</v>
      </c>
      <c r="G20" s="8">
        <f t="shared" si="4"/>
        <v>0.25796924595677689</v>
      </c>
      <c r="H20" t="s">
        <v>288</v>
      </c>
    </row>
    <row r="21" spans="1:10" x14ac:dyDescent="0.25">
      <c r="A21" s="47">
        <v>44505</v>
      </c>
      <c r="B21" t="s">
        <v>191</v>
      </c>
      <c r="C21" s="3">
        <v>24080000</v>
      </c>
      <c r="D21" s="3">
        <v>1</v>
      </c>
      <c r="E21" s="3">
        <f>66823980.23/4</f>
        <v>16705995.057499999</v>
      </c>
      <c r="F21" s="3">
        <f>(C21*D21)-E21</f>
        <v>7374004.9425000008</v>
      </c>
      <c r="G21" s="8">
        <f t="shared" si="4"/>
        <v>0.30622944113372097</v>
      </c>
      <c r="H21" t="s">
        <v>288</v>
      </c>
    </row>
    <row r="22" spans="1:10" x14ac:dyDescent="0.25">
      <c r="A22" s="47">
        <v>44505</v>
      </c>
      <c r="B22" t="s">
        <v>191</v>
      </c>
      <c r="C22" s="3">
        <v>24070000</v>
      </c>
      <c r="D22" s="3">
        <v>1</v>
      </c>
      <c r="E22" s="3">
        <f>66823980.23/4</f>
        <v>16705995.057499999</v>
      </c>
      <c r="F22" s="3">
        <f>(C22*D22)-E22</f>
        <v>7364004.9425000008</v>
      </c>
      <c r="G22" s="8">
        <f t="shared" si="4"/>
        <v>0.30594121073950981</v>
      </c>
      <c r="H22" t="s">
        <v>288</v>
      </c>
    </row>
    <row r="23" spans="1:10" x14ac:dyDescent="0.25">
      <c r="A23" s="47">
        <v>44506</v>
      </c>
      <c r="B23" t="s">
        <v>191</v>
      </c>
      <c r="C23" s="3">
        <v>24010000</v>
      </c>
      <c r="D23" s="3">
        <v>1</v>
      </c>
      <c r="E23" s="3">
        <f>66823980.23/4</f>
        <v>16705995.057499999</v>
      </c>
      <c r="F23" s="3">
        <f t="shared" ref="F23:F24" si="5">(C23*D23)-E23</f>
        <v>7304004.9425000008</v>
      </c>
      <c r="G23" s="8">
        <f t="shared" si="4"/>
        <v>0.30420678644314875</v>
      </c>
      <c r="H23" t="s">
        <v>288</v>
      </c>
    </row>
    <row r="24" spans="1:10" x14ac:dyDescent="0.25">
      <c r="A24" s="47">
        <v>44506</v>
      </c>
      <c r="B24" t="s">
        <v>193</v>
      </c>
      <c r="C24" s="3">
        <v>23670000</v>
      </c>
      <c r="D24" s="3">
        <v>2</v>
      </c>
      <c r="E24" s="3">
        <f>103691377.57*(D24/SUM(D24,D18:D20))</f>
        <v>34563792.523333326</v>
      </c>
      <c r="F24" s="3">
        <f t="shared" si="5"/>
        <v>12776207.476666674</v>
      </c>
      <c r="G24" s="8">
        <f t="shared" si="4"/>
        <v>0.26988186473736109</v>
      </c>
      <c r="H24" t="s">
        <v>288</v>
      </c>
    </row>
    <row r="25" spans="1:10" x14ac:dyDescent="0.25">
      <c r="A25" s="47">
        <v>44506</v>
      </c>
      <c r="B25" t="s">
        <v>191</v>
      </c>
      <c r="C25" s="3">
        <v>24000000</v>
      </c>
      <c r="D25" s="3">
        <v>1</v>
      </c>
      <c r="E25" s="3">
        <f>66823980.23/4</f>
        <v>16705995.057499999</v>
      </c>
      <c r="F25" s="3">
        <f t="shared" ref="F25" si="6">(C25*D25)-E25</f>
        <v>7294004.9425000008</v>
      </c>
      <c r="G25" s="8">
        <f t="shared" si="4"/>
        <v>0.30391687260416672</v>
      </c>
      <c r="H25" t="s">
        <v>288</v>
      </c>
    </row>
    <row r="26" spans="1:10" x14ac:dyDescent="0.25">
      <c r="A26" s="47">
        <v>44506</v>
      </c>
      <c r="B26" t="s">
        <v>238</v>
      </c>
      <c r="C26" s="3">
        <v>20330000</v>
      </c>
      <c r="D26" s="3">
        <v>1</v>
      </c>
      <c r="E26" s="3">
        <f>46825748.76/4</f>
        <v>11706437.189999999</v>
      </c>
      <c r="F26" s="3">
        <f>(C26*D26)-E26</f>
        <v>8623562.8100000005</v>
      </c>
      <c r="G26" s="8">
        <f t="shared" si="4"/>
        <v>0.42417918396458437</v>
      </c>
      <c r="H26" t="s">
        <v>288</v>
      </c>
      <c r="J26" s="2"/>
    </row>
    <row r="27" spans="1:10" x14ac:dyDescent="0.25">
      <c r="A27" s="47">
        <v>44506</v>
      </c>
      <c r="B27" t="s">
        <v>238</v>
      </c>
      <c r="C27" s="3">
        <v>20320000</v>
      </c>
      <c r="D27" s="3">
        <v>1</v>
      </c>
      <c r="E27" s="3">
        <f t="shared" ref="E27:E29" si="7">46825748.76/4</f>
        <v>11706437.189999999</v>
      </c>
      <c r="F27" s="3">
        <f t="shared" ref="F27:F29" si="8">(C27*D27)-E27</f>
        <v>8613562.8100000005</v>
      </c>
      <c r="G27" s="8">
        <f t="shared" si="4"/>
        <v>0.42389580757874018</v>
      </c>
      <c r="H27" t="s">
        <v>288</v>
      </c>
    </row>
    <row r="28" spans="1:10" x14ac:dyDescent="0.25">
      <c r="A28" s="47">
        <v>44506</v>
      </c>
      <c r="B28" t="s">
        <v>238</v>
      </c>
      <c r="C28" s="3">
        <v>20310000</v>
      </c>
      <c r="D28" s="3">
        <v>1</v>
      </c>
      <c r="E28" s="3">
        <f t="shared" si="7"/>
        <v>11706437.189999999</v>
      </c>
      <c r="F28" s="3">
        <f t="shared" si="8"/>
        <v>8603562.8100000005</v>
      </c>
      <c r="G28" s="8">
        <f t="shared" si="4"/>
        <v>0.42361215214180209</v>
      </c>
      <c r="H28" t="s">
        <v>288</v>
      </c>
    </row>
    <row r="29" spans="1:10" x14ac:dyDescent="0.25">
      <c r="A29" s="47">
        <v>44506</v>
      </c>
      <c r="B29" t="s">
        <v>238</v>
      </c>
      <c r="C29" s="3">
        <v>20200000</v>
      </c>
      <c r="D29" s="3">
        <v>1</v>
      </c>
      <c r="E29" s="3">
        <f t="shared" si="7"/>
        <v>11706437.189999999</v>
      </c>
      <c r="F29" s="3">
        <f t="shared" si="8"/>
        <v>8493562.8100000005</v>
      </c>
      <c r="G29" s="8">
        <f t="shared" si="4"/>
        <v>0.42047340643564357</v>
      </c>
      <c r="H29" t="s">
        <v>288</v>
      </c>
    </row>
    <row r="30" spans="1:10" x14ac:dyDescent="0.25">
      <c r="A30" s="47">
        <v>44511</v>
      </c>
      <c r="B30" t="s">
        <v>191</v>
      </c>
      <c r="C30" s="3">
        <v>25530000</v>
      </c>
      <c r="D30" s="3">
        <v>1</v>
      </c>
      <c r="E30" s="3">
        <f>146552807.26/8</f>
        <v>18319100.907499999</v>
      </c>
      <c r="F30" s="3">
        <f t="shared" ref="F30:F35" si="9">(C30*D30)-E30</f>
        <v>7210899.0925000012</v>
      </c>
      <c r="G30" s="8">
        <f t="shared" ref="G30:G35" si="10">F30/(E30+F30)</f>
        <v>0.28244806472777129</v>
      </c>
      <c r="H30" t="s">
        <v>288</v>
      </c>
    </row>
    <row r="31" spans="1:10" x14ac:dyDescent="0.25">
      <c r="A31" s="47">
        <v>44511</v>
      </c>
      <c r="B31" t="s">
        <v>191</v>
      </c>
      <c r="C31" s="3">
        <v>25520000</v>
      </c>
      <c r="D31" s="3">
        <v>2</v>
      </c>
      <c r="E31" s="3">
        <f>146552807.26*(2/8)</f>
        <v>36638201.814999998</v>
      </c>
      <c r="F31" s="3">
        <f t="shared" si="9"/>
        <v>14401798.185000002</v>
      </c>
      <c r="G31" s="8">
        <f t="shared" si="10"/>
        <v>0.28216689233934172</v>
      </c>
      <c r="H31" t="s">
        <v>288</v>
      </c>
    </row>
    <row r="32" spans="1:10" x14ac:dyDescent="0.25">
      <c r="A32" s="47">
        <v>44511</v>
      </c>
      <c r="B32" t="s">
        <v>191</v>
      </c>
      <c r="C32" s="3">
        <v>25500000</v>
      </c>
      <c r="D32" s="3">
        <v>1</v>
      </c>
      <c r="E32" s="3">
        <f>146552807.26/8</f>
        <v>18319100.907499999</v>
      </c>
      <c r="F32" s="3">
        <f t="shared" si="9"/>
        <v>7180899.0925000012</v>
      </c>
      <c r="G32" s="8">
        <f t="shared" si="10"/>
        <v>0.28160388598039221</v>
      </c>
      <c r="H32" t="s">
        <v>288</v>
      </c>
    </row>
    <row r="33" spans="1:8" x14ac:dyDescent="0.25">
      <c r="A33" s="47">
        <v>44511</v>
      </c>
      <c r="B33" t="s">
        <v>191</v>
      </c>
      <c r="C33" s="3">
        <v>25420000</v>
      </c>
      <c r="D33" s="3">
        <v>1</v>
      </c>
      <c r="E33" s="3">
        <f>146552807.26/8</f>
        <v>18319100.907499999</v>
      </c>
      <c r="F33" s="3">
        <f t="shared" si="9"/>
        <v>7100899.0925000012</v>
      </c>
      <c r="G33" s="8">
        <f t="shared" si="10"/>
        <v>0.27934300127852091</v>
      </c>
      <c r="H33" t="s">
        <v>288</v>
      </c>
    </row>
    <row r="34" spans="1:8" x14ac:dyDescent="0.25">
      <c r="A34" s="47">
        <v>44511</v>
      </c>
      <c r="B34" t="s">
        <v>191</v>
      </c>
      <c r="C34" s="3">
        <v>24040000</v>
      </c>
      <c r="D34" s="3">
        <v>1</v>
      </c>
      <c r="E34" s="3">
        <f>146552807.26/8</f>
        <v>18319100.907499999</v>
      </c>
      <c r="F34" s="3">
        <f t="shared" si="9"/>
        <v>5720899.0925000012</v>
      </c>
      <c r="G34" s="8">
        <f t="shared" si="10"/>
        <v>0.2379741719009984</v>
      </c>
      <c r="H34" t="s">
        <v>288</v>
      </c>
    </row>
    <row r="35" spans="1:8" x14ac:dyDescent="0.25">
      <c r="A35" s="47">
        <v>44511</v>
      </c>
      <c r="B35" t="s">
        <v>191</v>
      </c>
      <c r="C35" s="3">
        <v>24000000</v>
      </c>
      <c r="D35" s="3">
        <v>2</v>
      </c>
      <c r="E35" s="3">
        <f>146552807.26*(2/8)</f>
        <v>36638201.814999998</v>
      </c>
      <c r="F35" s="3">
        <f t="shared" si="9"/>
        <v>11361798.185000002</v>
      </c>
      <c r="G35" s="8">
        <f t="shared" si="10"/>
        <v>0.23670412885416672</v>
      </c>
      <c r="H35" t="s">
        <v>288</v>
      </c>
    </row>
    <row r="36" spans="1:8" x14ac:dyDescent="0.25">
      <c r="A36" s="47">
        <v>44511</v>
      </c>
      <c r="B36" t="s">
        <v>238</v>
      </c>
      <c r="C36" s="3">
        <v>20290000</v>
      </c>
      <c r="D36" s="3">
        <v>3</v>
      </c>
      <c r="E36" s="3">
        <f>127273513.1*(3/10)</f>
        <v>38182053.93</v>
      </c>
      <c r="F36" s="3">
        <f t="shared" ref="F36:F39" si="11">(C36*D36)-E36</f>
        <v>22687946.07</v>
      </c>
      <c r="G36" s="8">
        <f t="shared" ref="G36:G39" si="12">F36/(E36+F36)</f>
        <v>0.37272788023656972</v>
      </c>
      <c r="H36" t="s">
        <v>288</v>
      </c>
    </row>
    <row r="37" spans="1:8" x14ac:dyDescent="0.25">
      <c r="A37" s="47">
        <v>44511</v>
      </c>
      <c r="B37" t="s">
        <v>238</v>
      </c>
      <c r="C37" s="3">
        <v>20200000</v>
      </c>
      <c r="D37" s="3">
        <v>4</v>
      </c>
      <c r="E37" s="3">
        <f>127273513.1*(4/10)</f>
        <v>50909405.240000002</v>
      </c>
      <c r="F37" s="3">
        <f t="shared" si="11"/>
        <v>29890594.759999998</v>
      </c>
      <c r="G37" s="8">
        <f t="shared" si="12"/>
        <v>0.36993310346534652</v>
      </c>
      <c r="H37" t="s">
        <v>288</v>
      </c>
    </row>
    <row r="38" spans="1:8" x14ac:dyDescent="0.25">
      <c r="A38" s="47">
        <v>44511</v>
      </c>
      <c r="B38" t="s">
        <v>238</v>
      </c>
      <c r="C38" s="3">
        <v>20250000</v>
      </c>
      <c r="D38" s="3">
        <v>1</v>
      </c>
      <c r="E38" s="3">
        <f>127273513.1*(1/10)</f>
        <v>12727351.310000001</v>
      </c>
      <c r="F38" s="3">
        <f t="shared" si="11"/>
        <v>7522648.6899999995</v>
      </c>
      <c r="G38" s="8">
        <f t="shared" si="12"/>
        <v>0.37148882419753082</v>
      </c>
      <c r="H38" t="s">
        <v>288</v>
      </c>
    </row>
    <row r="39" spans="1:8" x14ac:dyDescent="0.25">
      <c r="A39" s="47">
        <v>44511</v>
      </c>
      <c r="B39" t="s">
        <v>238</v>
      </c>
      <c r="C39" s="3">
        <v>20280000</v>
      </c>
      <c r="D39" s="3">
        <v>1</v>
      </c>
      <c r="E39" s="3">
        <f>127273513.1*(1/10)</f>
        <v>12727351.310000001</v>
      </c>
      <c r="F39" s="3">
        <f t="shared" si="11"/>
        <v>7552648.6899999995</v>
      </c>
      <c r="G39" s="8">
        <f t="shared" si="12"/>
        <v>0.37241857445759369</v>
      </c>
      <c r="H39" t="s">
        <v>288</v>
      </c>
    </row>
    <row r="40" spans="1:8" x14ac:dyDescent="0.25">
      <c r="A40" s="47">
        <v>44511</v>
      </c>
      <c r="B40" t="s">
        <v>238</v>
      </c>
      <c r="C40" s="3">
        <v>20130000</v>
      </c>
      <c r="D40" s="3">
        <v>1</v>
      </c>
      <c r="E40" s="3">
        <f>127273513.1*(1/10)</f>
        <v>12727351.310000001</v>
      </c>
      <c r="F40" s="3">
        <f t="shared" ref="F40" si="13">(C40*D40)-E40</f>
        <v>7402648.6899999995</v>
      </c>
      <c r="G40" s="8">
        <f t="shared" ref="G40" si="14">F40/(E40+F40)</f>
        <v>0.36774211077993041</v>
      </c>
      <c r="H40" t="s">
        <v>288</v>
      </c>
    </row>
    <row r="41" spans="1:8" x14ac:dyDescent="0.25">
      <c r="A41" s="47">
        <v>44512</v>
      </c>
      <c r="B41" t="s">
        <v>193</v>
      </c>
      <c r="C41" s="3">
        <v>24640000</v>
      </c>
      <c r="D41" s="3">
        <v>1</v>
      </c>
      <c r="E41" s="3">
        <f>124239965.62*(1/6)</f>
        <v>20706660.936666667</v>
      </c>
      <c r="F41" s="3">
        <f t="shared" ref="F41:F43" si="15">(C41*D41)-E41</f>
        <v>3933339.0633333325</v>
      </c>
      <c r="G41" s="8">
        <f t="shared" ref="G41:G43" si="16">F41/(E41+F41)</f>
        <v>0.15963226718073589</v>
      </c>
      <c r="H41" t="s">
        <v>288</v>
      </c>
    </row>
    <row r="42" spans="1:8" x14ac:dyDescent="0.25">
      <c r="A42" s="47">
        <v>44512</v>
      </c>
      <c r="B42" t="s">
        <v>193</v>
      </c>
      <c r="C42" s="3">
        <v>24540000</v>
      </c>
      <c r="D42" s="3">
        <v>2</v>
      </c>
      <c r="E42" s="3">
        <f>124239965.62*(D42/6)</f>
        <v>41413321.873333335</v>
      </c>
      <c r="F42" s="3">
        <f t="shared" si="15"/>
        <v>7666678.1266666651</v>
      </c>
      <c r="G42" s="8">
        <f t="shared" si="16"/>
        <v>0.15620778579190434</v>
      </c>
      <c r="H42" t="s">
        <v>288</v>
      </c>
    </row>
    <row r="43" spans="1:8" x14ac:dyDescent="0.25">
      <c r="A43" s="47">
        <v>44512</v>
      </c>
      <c r="B43" t="s">
        <v>193</v>
      </c>
      <c r="C43" s="3">
        <v>24010000</v>
      </c>
      <c r="D43" s="3">
        <v>3</v>
      </c>
      <c r="E43" s="3">
        <f>124239965.62*(D43/6)</f>
        <v>62119982.810000002</v>
      </c>
      <c r="F43" s="3">
        <f t="shared" si="15"/>
        <v>9910017.1899999976</v>
      </c>
      <c r="G43" s="8">
        <f t="shared" si="16"/>
        <v>0.13758180188810215</v>
      </c>
      <c r="H43" t="s">
        <v>288</v>
      </c>
    </row>
    <row r="44" spans="1:8" x14ac:dyDescent="0.25">
      <c r="A44" s="47">
        <v>44515</v>
      </c>
      <c r="B44" t="s">
        <v>193</v>
      </c>
      <c r="C44" s="3">
        <v>23450000</v>
      </c>
      <c r="D44" s="3">
        <v>2</v>
      </c>
      <c r="E44" s="3">
        <f>102282716.59*(D44/6)</f>
        <v>34094238.86333333</v>
      </c>
      <c r="F44" s="3">
        <f t="shared" ref="F44:F50" si="17">(C44*D44)-E44</f>
        <v>12805761.13666667</v>
      </c>
      <c r="G44" s="8">
        <f t="shared" ref="G44:G50" si="18">F44/(E44+F44)</f>
        <v>0.27304394747690131</v>
      </c>
      <c r="H44" t="s">
        <v>288</v>
      </c>
    </row>
    <row r="45" spans="1:8" x14ac:dyDescent="0.25">
      <c r="A45" s="47">
        <v>44515</v>
      </c>
      <c r="B45" t="s">
        <v>193</v>
      </c>
      <c r="C45" s="3">
        <v>23440000</v>
      </c>
      <c r="D45" s="3">
        <v>1</v>
      </c>
      <c r="E45" s="3">
        <f>102282716.59*(D45/6)</f>
        <v>17047119.431666665</v>
      </c>
      <c r="F45" s="3">
        <f t="shared" si="17"/>
        <v>6392880.5683333352</v>
      </c>
      <c r="G45" s="8">
        <f t="shared" si="18"/>
        <v>0.27273381264220714</v>
      </c>
      <c r="H45" t="s">
        <v>288</v>
      </c>
    </row>
    <row r="46" spans="1:8" x14ac:dyDescent="0.25">
      <c r="A46" s="47">
        <v>44515</v>
      </c>
      <c r="B46" t="s">
        <v>193</v>
      </c>
      <c r="C46" s="3">
        <v>23420000</v>
      </c>
      <c r="D46" s="3">
        <v>1</v>
      </c>
      <c r="E46" s="3">
        <f t="shared" ref="E46:E48" si="19">102282716.59*(D46/6)</f>
        <v>17047119.431666665</v>
      </c>
      <c r="F46" s="3">
        <f t="shared" si="17"/>
        <v>6372880.5683333352</v>
      </c>
      <c r="G46" s="8">
        <f t="shared" si="18"/>
        <v>0.27211274843438665</v>
      </c>
      <c r="H46" t="s">
        <v>288</v>
      </c>
    </row>
    <row r="47" spans="1:8" x14ac:dyDescent="0.25">
      <c r="A47" s="47">
        <v>44515</v>
      </c>
      <c r="B47" t="s">
        <v>193</v>
      </c>
      <c r="C47" s="3">
        <v>23400000</v>
      </c>
      <c r="D47" s="3">
        <v>1</v>
      </c>
      <c r="E47" s="3">
        <f t="shared" si="19"/>
        <v>17047119.431666665</v>
      </c>
      <c r="F47" s="3">
        <f t="shared" si="17"/>
        <v>6352880.5683333352</v>
      </c>
      <c r="G47" s="8">
        <f t="shared" si="18"/>
        <v>0.27149062257834766</v>
      </c>
      <c r="H47" t="s">
        <v>288</v>
      </c>
    </row>
    <row r="48" spans="1:8" x14ac:dyDescent="0.25">
      <c r="A48" s="47">
        <v>44515</v>
      </c>
      <c r="B48" t="s">
        <v>193</v>
      </c>
      <c r="C48" s="3">
        <v>23350000</v>
      </c>
      <c r="D48" s="3">
        <v>1</v>
      </c>
      <c r="E48" s="3">
        <f t="shared" si="19"/>
        <v>17047119.431666665</v>
      </c>
      <c r="F48" s="3">
        <f t="shared" si="17"/>
        <v>6302880.5683333352</v>
      </c>
      <c r="G48" s="8">
        <f t="shared" si="18"/>
        <v>0.26993064532476813</v>
      </c>
      <c r="H48" t="s">
        <v>288</v>
      </c>
    </row>
    <row r="49" spans="1:11" x14ac:dyDescent="0.25">
      <c r="A49" s="47">
        <v>44515</v>
      </c>
      <c r="B49" t="s">
        <v>238</v>
      </c>
      <c r="C49" s="3">
        <v>22020000</v>
      </c>
      <c r="D49" s="3">
        <v>8</v>
      </c>
      <c r="E49" s="3">
        <f>114828416.32*(D49/10)</f>
        <v>91862733.055999994</v>
      </c>
      <c r="F49" s="3">
        <f t="shared" si="17"/>
        <v>84297266.944000006</v>
      </c>
      <c r="G49" s="8">
        <f t="shared" si="18"/>
        <v>0.47852671970935517</v>
      </c>
      <c r="H49" t="s">
        <v>288</v>
      </c>
    </row>
    <row r="50" spans="1:11" x14ac:dyDescent="0.25">
      <c r="A50" s="47">
        <v>44515</v>
      </c>
      <c r="B50" t="s">
        <v>238</v>
      </c>
      <c r="C50" s="3">
        <v>22010000</v>
      </c>
      <c r="D50" s="3">
        <v>2</v>
      </c>
      <c r="E50" s="3">
        <f>114828416.32*(D50/10)</f>
        <v>22965683.263999999</v>
      </c>
      <c r="F50" s="3">
        <f t="shared" si="17"/>
        <v>21054316.736000001</v>
      </c>
      <c r="G50" s="8">
        <f t="shared" si="18"/>
        <v>0.47828979409359385</v>
      </c>
      <c r="H50" t="s">
        <v>288</v>
      </c>
    </row>
    <row r="51" spans="1:11" x14ac:dyDescent="0.25">
      <c r="A51" s="47">
        <v>44517</v>
      </c>
      <c r="B51" t="s">
        <v>191</v>
      </c>
      <c r="C51" s="3">
        <v>24000000</v>
      </c>
      <c r="D51" s="3">
        <v>1</v>
      </c>
      <c r="E51" s="3">
        <f>66555908.4*(D51/4)</f>
        <v>16638977.1</v>
      </c>
      <c r="F51" s="3">
        <f t="shared" ref="F51" si="20">(C51*D51)-E51</f>
        <v>7361022.9000000004</v>
      </c>
      <c r="G51" s="8">
        <f t="shared" ref="G51" si="21">F51/(E51+F51)</f>
        <v>0.30670928750000004</v>
      </c>
      <c r="H51" t="s">
        <v>288</v>
      </c>
    </row>
    <row r="52" spans="1:11" x14ac:dyDescent="0.25">
      <c r="A52" s="47">
        <v>44517</v>
      </c>
      <c r="B52" t="s">
        <v>191</v>
      </c>
      <c r="C52" s="3">
        <v>25000000</v>
      </c>
      <c r="D52" s="3">
        <v>1</v>
      </c>
      <c r="E52" s="3">
        <f>66555908.4*(D52/4)</f>
        <v>16638977.1</v>
      </c>
      <c r="F52" s="3">
        <f t="shared" ref="F52" si="22">(C52*D52)-E52</f>
        <v>8361022.9000000004</v>
      </c>
      <c r="G52" s="8">
        <f t="shared" ref="G52" si="23">F52/(E52+F52)</f>
        <v>0.33444091600000003</v>
      </c>
      <c r="H52" t="s">
        <v>288</v>
      </c>
    </row>
    <row r="53" spans="1:11" x14ac:dyDescent="0.25">
      <c r="A53" s="47">
        <v>44517</v>
      </c>
      <c r="B53" t="s">
        <v>191</v>
      </c>
      <c r="C53" s="3">
        <v>23030000</v>
      </c>
      <c r="D53" s="3">
        <v>1</v>
      </c>
      <c r="E53" s="3">
        <f t="shared" ref="E53:E54" si="24">66555908.4*(D53/4)</f>
        <v>16638977.1</v>
      </c>
      <c r="F53" s="3">
        <f t="shared" ref="F53:F55" si="25">(C53*D53)-E53</f>
        <v>6391022.9000000004</v>
      </c>
      <c r="G53" s="8">
        <f t="shared" ref="G53:G55" si="26">F53/(E53+F53)</f>
        <v>0.27750859313938342</v>
      </c>
      <c r="H53" t="s">
        <v>288</v>
      </c>
    </row>
    <row r="54" spans="1:11" x14ac:dyDescent="0.25">
      <c r="A54" s="47">
        <v>44517</v>
      </c>
      <c r="B54" t="s">
        <v>191</v>
      </c>
      <c r="C54" s="3">
        <v>23000000</v>
      </c>
      <c r="D54" s="3">
        <v>1</v>
      </c>
      <c r="E54" s="3">
        <f t="shared" si="24"/>
        <v>16638977.1</v>
      </c>
      <c r="F54" s="3">
        <f t="shared" si="25"/>
        <v>6361022.9000000004</v>
      </c>
      <c r="G54" s="8">
        <f t="shared" si="26"/>
        <v>0.27656621304347828</v>
      </c>
      <c r="H54" t="s">
        <v>288</v>
      </c>
    </row>
    <row r="55" spans="1:11" x14ac:dyDescent="0.25">
      <c r="A55" s="47">
        <v>44519</v>
      </c>
      <c r="B55" t="s">
        <v>193</v>
      </c>
      <c r="C55" s="3">
        <v>25160000</v>
      </c>
      <c r="D55" s="3">
        <v>3</v>
      </c>
      <c r="E55" s="3">
        <f>106945774.53*(D55/6)</f>
        <v>53472887.265000001</v>
      </c>
      <c r="F55" s="3">
        <f t="shared" si="25"/>
        <v>22007112.734999999</v>
      </c>
      <c r="G55" s="8">
        <f t="shared" si="26"/>
        <v>0.29156217189984102</v>
      </c>
      <c r="H55" t="s">
        <v>288</v>
      </c>
    </row>
    <row r="56" spans="1:11" x14ac:dyDescent="0.25">
      <c r="A56" s="47">
        <v>44519</v>
      </c>
      <c r="B56" t="s">
        <v>193</v>
      </c>
      <c r="C56" s="3">
        <v>25150000</v>
      </c>
      <c r="D56" s="3">
        <v>1</v>
      </c>
      <c r="E56" s="3">
        <f>106945774.53*(D56/6)</f>
        <v>17824295.754999999</v>
      </c>
      <c r="F56" s="3">
        <f t="shared" ref="F56" si="27">(C56*D56)-E56</f>
        <v>7325704.245000001</v>
      </c>
      <c r="G56" s="8">
        <f t="shared" ref="G56" si="28">F56/(E56+F56)</f>
        <v>0.29128048687872765</v>
      </c>
      <c r="H56" t="s">
        <v>288</v>
      </c>
    </row>
    <row r="57" spans="1:11" x14ac:dyDescent="0.25">
      <c r="A57" s="47">
        <v>44519</v>
      </c>
      <c r="B57" t="s">
        <v>193</v>
      </c>
      <c r="C57" s="3">
        <v>25120000</v>
      </c>
      <c r="D57" s="3">
        <v>2</v>
      </c>
      <c r="E57" s="3">
        <f>106945774.53*(D57/6)</f>
        <v>35648591.509999998</v>
      </c>
      <c r="F57" s="3">
        <f t="shared" ref="F57" si="29">(C57*D57)-E57</f>
        <v>14591408.490000002</v>
      </c>
      <c r="G57" s="8">
        <f>F57/(E57+F57)</f>
        <v>0.29043408618630578</v>
      </c>
      <c r="H57" t="s">
        <v>288</v>
      </c>
    </row>
    <row r="58" spans="1:11" x14ac:dyDescent="0.25">
      <c r="A58" s="47">
        <v>44521</v>
      </c>
      <c r="B58" t="s">
        <v>238</v>
      </c>
      <c r="C58" s="3">
        <v>20630000</v>
      </c>
      <c r="D58" s="3">
        <v>2</v>
      </c>
      <c r="E58" s="3">
        <f>75943660.16*(D58/6)</f>
        <v>25314553.386666663</v>
      </c>
      <c r="F58" s="3">
        <f t="shared" ref="F58" si="30">(C58*D58)-E58</f>
        <v>15945446.613333337</v>
      </c>
      <c r="G58" s="8">
        <f>F58/(E58+F58)</f>
        <v>0.38646259363386665</v>
      </c>
      <c r="H58" t="s">
        <v>288</v>
      </c>
    </row>
    <row r="59" spans="1:11" x14ac:dyDescent="0.25">
      <c r="A59" s="47">
        <v>44521</v>
      </c>
      <c r="B59" t="s">
        <v>238</v>
      </c>
      <c r="C59" s="3">
        <v>20610000</v>
      </c>
      <c r="D59" s="3">
        <v>2</v>
      </c>
      <c r="E59" s="3">
        <f>75943660.16*(D59/6)</f>
        <v>25314553.386666663</v>
      </c>
      <c r="F59" s="3">
        <f t="shared" ref="F59:F61" si="31">(C59*D59)-E59</f>
        <v>15905446.613333337</v>
      </c>
      <c r="G59" s="8">
        <f t="shared" ref="G59:G61" si="32">F59/(E59+F59)</f>
        <v>0.38586721526766948</v>
      </c>
      <c r="H59" t="s">
        <v>288</v>
      </c>
    </row>
    <row r="60" spans="1:11" x14ac:dyDescent="0.25">
      <c r="A60" s="47">
        <v>44521</v>
      </c>
      <c r="B60" t="s">
        <v>238</v>
      </c>
      <c r="C60" s="3">
        <v>20600000</v>
      </c>
      <c r="D60" s="3">
        <v>2</v>
      </c>
      <c r="E60" s="3">
        <f>75943660.16*(D60/6)</f>
        <v>25314553.386666663</v>
      </c>
      <c r="F60" s="3">
        <f t="shared" si="31"/>
        <v>15885446.613333337</v>
      </c>
      <c r="G60" s="8">
        <f t="shared" si="32"/>
        <v>0.38556909255663441</v>
      </c>
      <c r="H60" t="s">
        <v>288</v>
      </c>
    </row>
    <row r="61" spans="1:11" x14ac:dyDescent="0.25">
      <c r="A61" s="47">
        <v>44521</v>
      </c>
      <c r="B61" t="s">
        <v>291</v>
      </c>
      <c r="C61" s="3">
        <v>22000000</v>
      </c>
      <c r="D61" s="3">
        <v>3</v>
      </c>
      <c r="E61" s="3">
        <f>63897759.99*(D61/3)</f>
        <v>63897759.990000002</v>
      </c>
      <c r="F61" s="3">
        <f t="shared" si="31"/>
        <v>2102240.0099999979</v>
      </c>
      <c r="G61" s="8">
        <f t="shared" si="32"/>
        <v>3.1852121363636333E-2</v>
      </c>
      <c r="H61" t="s">
        <v>288</v>
      </c>
    </row>
    <row r="62" spans="1:11" x14ac:dyDescent="0.25">
      <c r="A62" s="47">
        <v>44523</v>
      </c>
      <c r="B62" t="s">
        <v>231</v>
      </c>
      <c r="C62" s="3">
        <v>127200</v>
      </c>
      <c r="D62" s="3">
        <v>420</v>
      </c>
      <c r="E62" s="3">
        <f>99788200*(D62/1000)+C62*K1</f>
        <v>41915623.200000003</v>
      </c>
      <c r="F62" s="3">
        <f t="shared" ref="F62:F65" si="33">(C62*D62)-E62</f>
        <v>11508376.799999997</v>
      </c>
      <c r="G62" s="8">
        <f t="shared" ref="G62:G65" si="34">F62/(E62+F62)</f>
        <v>0.21541585804132968</v>
      </c>
      <c r="H62" t="s">
        <v>288</v>
      </c>
    </row>
    <row r="63" spans="1:11" x14ac:dyDescent="0.25">
      <c r="A63" s="47">
        <v>44523</v>
      </c>
      <c r="B63" t="s">
        <v>231</v>
      </c>
      <c r="C63" s="3">
        <v>127100</v>
      </c>
      <c r="D63" s="3">
        <f>1000-D62</f>
        <v>580</v>
      </c>
      <c r="E63" s="3">
        <f>99788200*(D63/1000)+C63*$K$2</f>
        <v>57878986.239999995</v>
      </c>
      <c r="F63" s="3">
        <f t="shared" si="33"/>
        <v>15839013.760000005</v>
      </c>
      <c r="G63" s="8">
        <f t="shared" si="34"/>
        <v>0.21485951545077192</v>
      </c>
      <c r="H63" t="s">
        <v>288</v>
      </c>
    </row>
    <row r="64" spans="1:11" x14ac:dyDescent="0.25">
      <c r="A64" t="s">
        <v>305</v>
      </c>
      <c r="E64" s="3" cm="1">
        <f t="array" ref="E64">SUM(ABS(E18:E63))</f>
        <v>1245656237.9700003</v>
      </c>
      <c r="F64" s="3">
        <f>SUM(F18:F63)</f>
        <v>544975762.02999997</v>
      </c>
      <c r="G64" s="8"/>
      <c r="J64" s="8">
        <f>F64/(F64+E64)</f>
        <v>0.30434827593274322</v>
      </c>
      <c r="K64" s="3">
        <f>F64+E64</f>
        <v>1790632000.0000002</v>
      </c>
    </row>
    <row r="65" spans="1:11" x14ac:dyDescent="0.25">
      <c r="A65" s="47">
        <v>44531</v>
      </c>
      <c r="B65" t="s">
        <v>238</v>
      </c>
      <c r="C65" s="3">
        <v>20500000</v>
      </c>
      <c r="D65" s="3">
        <v>1</v>
      </c>
      <c r="E65" s="3">
        <f>26262819.94073*(D65/2)+(C65*$K$1)</f>
        <v>13869409.970365001</v>
      </c>
      <c r="F65" s="3">
        <f t="shared" si="33"/>
        <v>6630590.0296349991</v>
      </c>
      <c r="G65" s="8">
        <f t="shared" si="34"/>
        <v>0.32344341607975607</v>
      </c>
      <c r="H65" t="s">
        <v>255</v>
      </c>
    </row>
    <row r="66" spans="1:11" x14ac:dyDescent="0.25">
      <c r="A66" s="47">
        <v>44531</v>
      </c>
      <c r="B66" t="s">
        <v>238</v>
      </c>
      <c r="C66" s="3">
        <v>24000000</v>
      </c>
      <c r="D66" s="3">
        <v>1</v>
      </c>
      <c r="E66" s="3">
        <f>26262819.94073*(D66/2)+(C66*$K$1)</f>
        <v>13995409.970365001</v>
      </c>
      <c r="F66" s="3">
        <f t="shared" ref="F66" si="35">(C66*D66)-E66</f>
        <v>10004590.029634999</v>
      </c>
      <c r="G66" s="8">
        <f t="shared" ref="G66" si="36">F66/(E66+F66)</f>
        <v>0.41685791790145832</v>
      </c>
      <c r="H66" t="s">
        <v>255</v>
      </c>
    </row>
    <row r="67" spans="1:11" x14ac:dyDescent="0.25">
      <c r="A67" s="47">
        <v>44532</v>
      </c>
      <c r="B67" t="s">
        <v>191</v>
      </c>
      <c r="C67" s="3">
        <v>24140000</v>
      </c>
      <c r="D67" s="3">
        <v>2</v>
      </c>
      <c r="E67" s="3">
        <f>133781386.57*(D67/8)+(C67*$K$1)</f>
        <v>34314386.642499998</v>
      </c>
      <c r="F67" s="3">
        <f t="shared" ref="F67" si="37">(C67*D67)-E67</f>
        <v>13965613.357500002</v>
      </c>
      <c r="G67" s="8">
        <f t="shared" ref="G67" si="38">F67/(E67+F67)</f>
        <v>0.28926291129867443</v>
      </c>
      <c r="H67" t="s">
        <v>255</v>
      </c>
    </row>
    <row r="68" spans="1:11" x14ac:dyDescent="0.25">
      <c r="A68" s="47">
        <v>44532</v>
      </c>
      <c r="B68" t="s">
        <v>191</v>
      </c>
      <c r="C68" s="3">
        <v>24130000</v>
      </c>
      <c r="D68" s="3">
        <v>4</v>
      </c>
      <c r="E68" s="3">
        <f>133781386.57*(D68/8)+(C68*$K$1)</f>
        <v>67759373.284999996</v>
      </c>
      <c r="F68" s="3">
        <f t="shared" ref="F68:F71" si="39">(C68*D68)-E68</f>
        <v>28760626.715000004</v>
      </c>
      <c r="G68" s="8">
        <f t="shared" ref="G68:G72" si="40">F68/(E68+F68)</f>
        <v>0.29797582589100707</v>
      </c>
      <c r="H68" t="s">
        <v>255</v>
      </c>
    </row>
    <row r="69" spans="1:11" x14ac:dyDescent="0.25">
      <c r="A69" s="47">
        <v>44532</v>
      </c>
      <c r="B69" t="s">
        <v>191</v>
      </c>
      <c r="C69" s="3">
        <v>24100000</v>
      </c>
      <c r="D69" s="3">
        <v>1</v>
      </c>
      <c r="E69" s="3">
        <f>133781386.57*(D69/8)+(C69*$K$1)</f>
        <v>17590273.321249999</v>
      </c>
      <c r="F69" s="3">
        <f t="shared" si="39"/>
        <v>6509726.6787500009</v>
      </c>
      <c r="G69" s="8">
        <f t="shared" si="40"/>
        <v>0.27011314019709548</v>
      </c>
      <c r="H69" t="s">
        <v>255</v>
      </c>
    </row>
    <row r="70" spans="1:11" x14ac:dyDescent="0.25">
      <c r="A70" s="47">
        <v>44532</v>
      </c>
      <c r="B70" t="s">
        <v>191</v>
      </c>
      <c r="C70" s="3">
        <v>23770000</v>
      </c>
      <c r="D70" s="3">
        <v>1</v>
      </c>
      <c r="E70" s="3">
        <f>133781386.57*(D70/8)+(C70*$K$1)</f>
        <v>17578393.321249999</v>
      </c>
      <c r="F70" s="3">
        <f t="shared" si="39"/>
        <v>6191606.6787500009</v>
      </c>
      <c r="G70" s="8">
        <f t="shared" si="40"/>
        <v>0.26047987710349185</v>
      </c>
      <c r="H70" t="s">
        <v>255</v>
      </c>
    </row>
    <row r="71" spans="1:11" x14ac:dyDescent="0.25">
      <c r="A71" s="47">
        <v>44533</v>
      </c>
      <c r="B71" t="s">
        <v>280</v>
      </c>
      <c r="C71" s="3">
        <v>59870000</v>
      </c>
      <c r="D71" s="3">
        <v>3</v>
      </c>
      <c r="E71" s="3">
        <f>150428761.19*(D71/3)+(C71*$K$1)</f>
        <v>152584081.19</v>
      </c>
      <c r="F71" s="3">
        <f t="shared" si="39"/>
        <v>27025918.810000002</v>
      </c>
      <c r="G71" s="8">
        <f t="shared" si="40"/>
        <v>0.15047001174767552</v>
      </c>
      <c r="H71" t="s">
        <v>255</v>
      </c>
    </row>
    <row r="72" spans="1:11" x14ac:dyDescent="0.25">
      <c r="A72" s="47">
        <v>44538</v>
      </c>
      <c r="B72" t="s">
        <v>191</v>
      </c>
      <c r="C72" s="3">
        <v>23670000</v>
      </c>
      <c r="D72" s="3">
        <v>2</v>
      </c>
      <c r="E72" s="3">
        <f>197091757.81*(D72/12)+(C72*$K$1)</f>
        <v>33700746.301666662</v>
      </c>
      <c r="F72" s="3">
        <f>(C72*D72)-E72</f>
        <v>13639253.698333338</v>
      </c>
      <c r="G72" s="8">
        <f t="shared" si="40"/>
        <v>0.28811266789888756</v>
      </c>
      <c r="H72" t="s">
        <v>255</v>
      </c>
    </row>
    <row r="73" spans="1:11" x14ac:dyDescent="0.25">
      <c r="A73" s="47">
        <v>44538</v>
      </c>
      <c r="B73" t="s">
        <v>191</v>
      </c>
      <c r="C73" s="3">
        <v>23660000</v>
      </c>
      <c r="D73" s="3">
        <v>1</v>
      </c>
      <c r="E73" s="3">
        <f>197091757.81*(D73/12)+(C73*$K$1)</f>
        <v>17276073.150833331</v>
      </c>
      <c r="F73" s="3">
        <f t="shared" ref="F73:F76" si="41">(C73*D73)-E73</f>
        <v>6383926.849166669</v>
      </c>
      <c r="G73" s="8">
        <f t="shared" ref="G73:G76" si="42">F73/(E73+F73)</f>
        <v>0.26981939345590317</v>
      </c>
      <c r="H73" t="s">
        <v>255</v>
      </c>
    </row>
    <row r="74" spans="1:11" x14ac:dyDescent="0.25">
      <c r="A74" s="47">
        <v>44538</v>
      </c>
      <c r="B74" t="s">
        <v>191</v>
      </c>
      <c r="C74" s="3">
        <v>23070000</v>
      </c>
      <c r="D74" s="3">
        <v>3</v>
      </c>
      <c r="E74" s="3">
        <f>197091757.81*(D74/12)+(C74*$K$1)</f>
        <v>50103459.452500001</v>
      </c>
      <c r="F74" s="3">
        <f t="shared" si="41"/>
        <v>19106540.547499999</v>
      </c>
      <c r="G74" s="8">
        <f t="shared" si="42"/>
        <v>0.27606618331888455</v>
      </c>
      <c r="H74" t="s">
        <v>255</v>
      </c>
    </row>
    <row r="75" spans="1:11" x14ac:dyDescent="0.25">
      <c r="A75" s="47">
        <v>44538</v>
      </c>
      <c r="B75" t="s">
        <v>191</v>
      </c>
      <c r="C75" s="3">
        <v>23000000</v>
      </c>
      <c r="D75" s="3">
        <v>5</v>
      </c>
      <c r="E75" s="3">
        <f>197091757.81*(D75/12)+(C75*$K$1)</f>
        <v>82949565.754166678</v>
      </c>
      <c r="F75" s="3">
        <f t="shared" si="41"/>
        <v>32050434.245833322</v>
      </c>
      <c r="G75" s="8">
        <f t="shared" si="42"/>
        <v>0.27869942822463761</v>
      </c>
      <c r="H75" t="s">
        <v>255</v>
      </c>
    </row>
    <row r="76" spans="1:11" x14ac:dyDescent="0.25">
      <c r="A76" s="47">
        <v>44538</v>
      </c>
      <c r="B76" t="s">
        <v>191</v>
      </c>
      <c r="C76" s="3">
        <v>24060000</v>
      </c>
      <c r="D76" s="3">
        <v>1</v>
      </c>
      <c r="E76" s="3">
        <f>197091757.81*(D76/12)+(C76*$K$1)</f>
        <v>17290473.150833331</v>
      </c>
      <c r="F76" s="3">
        <f t="shared" si="41"/>
        <v>6769526.849166669</v>
      </c>
      <c r="G76" s="8">
        <f t="shared" si="42"/>
        <v>0.28136021816985324</v>
      </c>
      <c r="H76" t="s">
        <v>255</v>
      </c>
    </row>
    <row r="77" spans="1:11" x14ac:dyDescent="0.25">
      <c r="A77" s="47">
        <v>44561</v>
      </c>
      <c r="B77" t="s">
        <v>238</v>
      </c>
      <c r="C77" s="3">
        <v>20000000</v>
      </c>
      <c r="D77" s="3">
        <v>1</v>
      </c>
      <c r="E77" s="3">
        <v>17422551.300000001</v>
      </c>
      <c r="F77" s="3">
        <f t="shared" ref="F77" si="43">(C77*D77)-E77</f>
        <v>2577448.6999999993</v>
      </c>
      <c r="G77" s="8">
        <f t="shared" ref="G77" si="44">F77/(E77+F77)</f>
        <v>0.12887243499999995</v>
      </c>
      <c r="H77" t="s">
        <v>255</v>
      </c>
    </row>
    <row r="78" spans="1:11" x14ac:dyDescent="0.25">
      <c r="A78" s="47">
        <v>44561</v>
      </c>
      <c r="B78" t="s">
        <v>238</v>
      </c>
      <c r="C78" s="3">
        <v>20500000</v>
      </c>
      <c r="D78" s="3">
        <v>7</v>
      </c>
      <c r="E78" s="3">
        <f>243915718.17*(D78/14)</f>
        <v>121957859.08499999</v>
      </c>
      <c r="F78" s="3">
        <f t="shared" ref="F78:F79" si="45">(C78*D78)-E78</f>
        <v>21542140.915000007</v>
      </c>
      <c r="G78" s="8">
        <f t="shared" ref="G78:G79" si="46">F78/(E78+F78)</f>
        <v>0.15011944888501746</v>
      </c>
      <c r="H78" t="s">
        <v>255</v>
      </c>
    </row>
    <row r="79" spans="1:11" x14ac:dyDescent="0.25">
      <c r="A79" s="47">
        <v>44561</v>
      </c>
      <c r="B79" t="s">
        <v>238</v>
      </c>
      <c r="C79" s="3">
        <v>20400000</v>
      </c>
      <c r="D79" s="3">
        <v>6</v>
      </c>
      <c r="E79" s="3">
        <f>243915718.17*(D79/14)</f>
        <v>104535307.78714284</v>
      </c>
      <c r="F79" s="3">
        <f t="shared" si="45"/>
        <v>17864692.212857157</v>
      </c>
      <c r="G79" s="8">
        <f t="shared" si="46"/>
        <v>0.14595336775210097</v>
      </c>
      <c r="H79" t="s">
        <v>255</v>
      </c>
    </row>
    <row r="80" spans="1:11" x14ac:dyDescent="0.25">
      <c r="A80" t="s">
        <v>349</v>
      </c>
      <c r="E80" s="3" cm="1">
        <f t="array" ref="E80">SUM(ABS(E65:E79))</f>
        <v>762927363.68287277</v>
      </c>
      <c r="F80" s="3">
        <f>SUM(F65:F79)</f>
        <v>219022636.31712714</v>
      </c>
      <c r="G80" s="8"/>
      <c r="J80" s="8">
        <f>F80/(F80+E80)</f>
        <v>0.22304866471523718</v>
      </c>
      <c r="K80" s="3">
        <f>F80+E80</f>
        <v>981949999.99999988</v>
      </c>
    </row>
    <row r="81" spans="1:8" x14ac:dyDescent="0.25">
      <c r="A81" s="47">
        <v>44566</v>
      </c>
      <c r="B81" t="s">
        <v>191</v>
      </c>
      <c r="C81" s="3">
        <v>21860000</v>
      </c>
      <c r="D81" s="3">
        <v>1</v>
      </c>
      <c r="E81" s="3">
        <f>271298883.52*(D81/16)+(C81*$K$1)</f>
        <v>17743140.219999999</v>
      </c>
      <c r="F81" s="3">
        <f>(C81*D81)-E81</f>
        <v>4116859.7800000012</v>
      </c>
      <c r="G81" s="8">
        <f t="shared" ref="G81:G82" si="47">F81/(E81+F81)</f>
        <v>0.18832844373284544</v>
      </c>
      <c r="H81" t="s">
        <v>255</v>
      </c>
    </row>
    <row r="82" spans="1:8" x14ac:dyDescent="0.25">
      <c r="A82" s="47">
        <v>44566</v>
      </c>
      <c r="B82" t="s">
        <v>191</v>
      </c>
      <c r="C82" s="3">
        <v>21850000</v>
      </c>
      <c r="D82" s="3">
        <v>1</v>
      </c>
      <c r="E82" s="3">
        <f>271298883.52*(D82/16)+(C82*$K$1)</f>
        <v>17742780.219999999</v>
      </c>
      <c r="F82" s="3">
        <f t="shared" ref="F82" si="48">(C82*D82)-E82</f>
        <v>4107219.7800000012</v>
      </c>
      <c r="G82" s="8">
        <f t="shared" si="47"/>
        <v>0.18797344530892454</v>
      </c>
      <c r="H82" t="s">
        <v>255</v>
      </c>
    </row>
    <row r="83" spans="1:8" x14ac:dyDescent="0.25">
      <c r="A83" s="47">
        <v>44566</v>
      </c>
      <c r="B83" t="s">
        <v>238</v>
      </c>
      <c r="C83" s="3">
        <v>19080000</v>
      </c>
      <c r="D83" s="3">
        <v>1</v>
      </c>
      <c r="E83" s="3">
        <f>65756186.26*(D83/4)+(C83*$K$1)</f>
        <v>17125926.564999998</v>
      </c>
      <c r="F83" s="3">
        <f t="shared" ref="F83" si="49">(C83*D83)-E83</f>
        <v>1954073.4350000024</v>
      </c>
      <c r="G83" s="8">
        <f t="shared" ref="G83" si="50">F83/(E83+F83)</f>
        <v>0.10241475026205463</v>
      </c>
      <c r="H83" t="s">
        <v>255</v>
      </c>
    </row>
    <row r="84" spans="1:8" x14ac:dyDescent="0.25">
      <c r="A84" s="47">
        <v>44566</v>
      </c>
      <c r="B84" t="s">
        <v>238</v>
      </c>
      <c r="C84" s="3">
        <v>19070000</v>
      </c>
      <c r="D84" s="3">
        <v>2</v>
      </c>
      <c r="E84" s="3">
        <f>65756186.26*(D84/4)+(C84*$K$1)</f>
        <v>33564613.129999995</v>
      </c>
      <c r="F84" s="3">
        <f t="shared" ref="F84" si="51">(C84*D84)-E84</f>
        <v>4575386.8700000048</v>
      </c>
      <c r="G84" s="8">
        <f t="shared" ref="G84" si="52">F84/(E84+F84)</f>
        <v>0.11996294887257485</v>
      </c>
      <c r="H84" t="s">
        <v>255</v>
      </c>
    </row>
    <row r="85" spans="1:8" x14ac:dyDescent="0.25">
      <c r="A85" s="47">
        <v>44566</v>
      </c>
      <c r="B85" t="s">
        <v>238</v>
      </c>
      <c r="C85" s="3">
        <v>18690000</v>
      </c>
      <c r="D85" s="3">
        <v>1</v>
      </c>
      <c r="E85" s="3">
        <f>65756186.26*(D85/4)+(C85*$K$1)</f>
        <v>17111886.564999998</v>
      </c>
      <c r="F85" s="3">
        <f t="shared" ref="F85:F86" si="53">(C85*D85)-E85</f>
        <v>1578113.4350000024</v>
      </c>
      <c r="G85" s="8">
        <f t="shared" ref="G85:G86" si="54">F85/(E85+F85)</f>
        <v>8.4436245853397665E-2</v>
      </c>
      <c r="H85" t="s">
        <v>255</v>
      </c>
    </row>
    <row r="86" spans="1:8" x14ac:dyDescent="0.25">
      <c r="A86" s="47">
        <v>44566</v>
      </c>
      <c r="B86" t="s">
        <v>191</v>
      </c>
      <c r="C86" s="3">
        <v>20680000</v>
      </c>
      <c r="D86" s="3">
        <v>1</v>
      </c>
      <c r="E86" s="3">
        <f>271298883.52*(D86/16)+(C86*$K$1)</f>
        <v>17700660.219999999</v>
      </c>
      <c r="F86" s="3">
        <f t="shared" si="53"/>
        <v>2979339.7800000012</v>
      </c>
      <c r="G86" s="8">
        <f t="shared" si="54"/>
        <v>0.1440686547388782</v>
      </c>
      <c r="H86" t="s">
        <v>255</v>
      </c>
    </row>
    <row r="87" spans="1:8" x14ac:dyDescent="0.25">
      <c r="A87" s="47">
        <v>44566</v>
      </c>
      <c r="B87" t="s">
        <v>191</v>
      </c>
      <c r="C87" s="3">
        <v>20670000</v>
      </c>
      <c r="D87" s="3">
        <v>1</v>
      </c>
      <c r="E87" s="3">
        <f t="shared" ref="E87:E88" si="55">271298883.52*(D87/16)+(C87*$K$1)</f>
        <v>17700300.219999999</v>
      </c>
      <c r="F87" s="3">
        <f t="shared" ref="F87:F88" si="56">(C87*D87)-E87</f>
        <v>2969699.7800000012</v>
      </c>
      <c r="G87" s="8">
        <f t="shared" ref="G87:G88" si="57">F87/(E87+F87)</f>
        <v>0.14367197774552498</v>
      </c>
      <c r="H87" t="s">
        <v>255</v>
      </c>
    </row>
    <row r="88" spans="1:8" x14ac:dyDescent="0.25">
      <c r="A88" s="47">
        <v>44566</v>
      </c>
      <c r="B88" t="s">
        <v>191</v>
      </c>
      <c r="C88" s="3">
        <v>20650000</v>
      </c>
      <c r="D88" s="3">
        <v>1</v>
      </c>
      <c r="E88" s="3">
        <f t="shared" si="55"/>
        <v>17699580.219999999</v>
      </c>
      <c r="F88" s="3">
        <f t="shared" si="56"/>
        <v>2950419.7800000012</v>
      </c>
      <c r="G88" s="8">
        <f t="shared" si="57"/>
        <v>0.14287747118644073</v>
      </c>
      <c r="H88" t="s">
        <v>255</v>
      </c>
    </row>
    <row r="89" spans="1:8" x14ac:dyDescent="0.25">
      <c r="A89" s="47">
        <v>44566</v>
      </c>
      <c r="B89" t="s">
        <v>191</v>
      </c>
      <c r="C89" s="3">
        <v>20750000</v>
      </c>
      <c r="D89" s="3">
        <v>1</v>
      </c>
      <c r="E89" s="3">
        <f t="shared" ref="E89" si="58">271298883.52*(D89/16)+(C89*$K$1)</f>
        <v>17703180.219999999</v>
      </c>
      <c r="F89" s="3">
        <f t="shared" ref="F89" si="59">(C89*D89)-E89</f>
        <v>3046819.7800000012</v>
      </c>
      <c r="G89" s="8">
        <f t="shared" ref="G89" si="60">F89/(E89+F89)</f>
        <v>0.14683468819277115</v>
      </c>
      <c r="H89" t="s">
        <v>255</v>
      </c>
    </row>
    <row r="90" spans="1:8" x14ac:dyDescent="0.25">
      <c r="A90" s="47">
        <v>44566</v>
      </c>
      <c r="B90" t="s">
        <v>191</v>
      </c>
      <c r="C90" s="3">
        <v>20470000</v>
      </c>
      <c r="D90" s="3">
        <v>4</v>
      </c>
      <c r="E90" s="3">
        <f>271298883.52*(D90/16)+(C90*$K$1)</f>
        <v>68561640.879999995</v>
      </c>
      <c r="F90" s="3">
        <f t="shared" ref="F90" si="61">(C90*D90)-E90</f>
        <v>13318359.120000005</v>
      </c>
      <c r="G90" s="8">
        <f t="shared" ref="G90" si="62">F90/(E90+F90)</f>
        <v>0.16265704836345879</v>
      </c>
      <c r="H90" t="s">
        <v>255</v>
      </c>
    </row>
    <row r="91" spans="1:8" x14ac:dyDescent="0.25">
      <c r="A91" s="47">
        <v>44566</v>
      </c>
      <c r="B91" t="s">
        <v>191</v>
      </c>
      <c r="C91" s="3">
        <v>20670000</v>
      </c>
      <c r="D91" s="3">
        <v>2</v>
      </c>
      <c r="E91" s="3">
        <f>(271298883.52*(D91/16))+(C91*D91*4.48%)</f>
        <v>35764392.439999998</v>
      </c>
      <c r="F91" s="3">
        <f t="shared" ref="F91:F92" si="63">(C91*D91)-E91</f>
        <v>5575607.5600000024</v>
      </c>
      <c r="G91" s="8">
        <f t="shared" ref="G91:G93" si="64">F91/(E91+F91)</f>
        <v>0.13487197774552498</v>
      </c>
      <c r="H91" t="s">
        <v>255</v>
      </c>
    </row>
    <row r="92" spans="1:8" x14ac:dyDescent="0.25">
      <c r="A92" s="47">
        <v>44566</v>
      </c>
      <c r="B92" t="s">
        <v>204</v>
      </c>
      <c r="C92" s="3">
        <v>16700</v>
      </c>
      <c r="D92" s="3">
        <v>12560</v>
      </c>
      <c r="E92" s="3">
        <f>169553603.9+(C92*D92*$K$1)</f>
        <v>177104675.90000001</v>
      </c>
      <c r="F92" s="3">
        <f t="shared" si="63"/>
        <v>32647324.099999994</v>
      </c>
      <c r="G92" s="8">
        <f t="shared" si="64"/>
        <v>0.1556472600976391</v>
      </c>
      <c r="H92" t="s">
        <v>255</v>
      </c>
    </row>
    <row r="93" spans="1:8" x14ac:dyDescent="0.25">
      <c r="A93" s="47">
        <v>44574</v>
      </c>
      <c r="B93" t="s">
        <v>204</v>
      </c>
      <c r="C93" s="3">
        <v>16920</v>
      </c>
      <c r="D93" s="3">
        <v>2262</v>
      </c>
      <c r="E93" s="3">
        <f>83436250.8*(D93/6000)+((C93*D93)*$K$1)</f>
        <v>32833295.991599999</v>
      </c>
      <c r="F93" s="3">
        <f t="shared" ref="F93:F100" si="65">(C93*D93)-E93</f>
        <v>5439744.0084000006</v>
      </c>
      <c r="G93" s="8">
        <f t="shared" si="64"/>
        <v>0.14212991725768323</v>
      </c>
      <c r="H93" t="s">
        <v>255</v>
      </c>
    </row>
    <row r="94" spans="1:8" x14ac:dyDescent="0.25">
      <c r="A94" s="47">
        <v>44574</v>
      </c>
      <c r="B94" t="s">
        <v>204</v>
      </c>
      <c r="C94" s="3">
        <v>16840</v>
      </c>
      <c r="D94" s="3">
        <v>1338</v>
      </c>
      <c r="E94" s="3">
        <f>83436250.8*(D94/6000)+((C94*D94)*$K$1)</f>
        <v>19417433.0484</v>
      </c>
      <c r="F94" s="3">
        <f t="shared" si="65"/>
        <v>3114486.9516000003</v>
      </c>
      <c r="G94" s="8">
        <f t="shared" ref="G94" si="66">F94/(E94+F94)</f>
        <v>0.13822554631828979</v>
      </c>
      <c r="H94" t="s">
        <v>255</v>
      </c>
    </row>
    <row r="95" spans="1:8" x14ac:dyDescent="0.25">
      <c r="A95" s="47">
        <v>44574</v>
      </c>
      <c r="B95" t="s">
        <v>231</v>
      </c>
      <c r="C95" s="3">
        <v>206300</v>
      </c>
      <c r="D95" s="3">
        <v>660</v>
      </c>
      <c r="E95" s="3">
        <f>128769150*(D95/1000)+((C95*D95)*$K$1)</f>
        <v>89889327</v>
      </c>
      <c r="F95" s="3">
        <f t="shared" si="65"/>
        <v>46268673</v>
      </c>
      <c r="G95" s="8">
        <f t="shared" ref="G95" si="67">F95/(E95+F95)</f>
        <v>0.33981604459524961</v>
      </c>
      <c r="H95" t="s">
        <v>255</v>
      </c>
    </row>
    <row r="96" spans="1:8" x14ac:dyDescent="0.25">
      <c r="A96" s="47">
        <v>44574</v>
      </c>
      <c r="B96" t="s">
        <v>231</v>
      </c>
      <c r="C96" s="3">
        <v>206200</v>
      </c>
      <c r="D96" s="3">
        <v>244</v>
      </c>
      <c r="E96" s="3">
        <f t="shared" ref="E96:E98" si="68">128769150*(D96/1000)+((C96*D96)*$K$1)</f>
        <v>33230933.399999999</v>
      </c>
      <c r="F96" s="3">
        <f t="shared" si="65"/>
        <v>17081866.600000001</v>
      </c>
      <c r="G96" s="8">
        <f t="shared" ref="G96" si="69">F96/(E96+F96)</f>
        <v>0.33951333656644039</v>
      </c>
      <c r="H96" t="s">
        <v>255</v>
      </c>
    </row>
    <row r="97" spans="1:11" x14ac:dyDescent="0.25">
      <c r="A97" s="47">
        <v>44574</v>
      </c>
      <c r="B97" t="s">
        <v>231</v>
      </c>
      <c r="C97" s="3">
        <v>206100</v>
      </c>
      <c r="D97" s="3">
        <v>93</v>
      </c>
      <c r="E97" s="3">
        <f t="shared" si="68"/>
        <v>12665553.75</v>
      </c>
      <c r="F97" s="3">
        <f t="shared" si="65"/>
        <v>6501746.25</v>
      </c>
      <c r="G97" s="8">
        <f t="shared" ref="G97" si="70">F97/(E97+F97)</f>
        <v>0.33921033478893742</v>
      </c>
      <c r="H97" t="s">
        <v>255</v>
      </c>
    </row>
    <row r="98" spans="1:11" x14ac:dyDescent="0.25">
      <c r="A98" s="47">
        <v>44574</v>
      </c>
      <c r="B98" t="s">
        <v>231</v>
      </c>
      <c r="C98" s="3">
        <v>206000</v>
      </c>
      <c r="D98" s="3">
        <v>3</v>
      </c>
      <c r="E98" s="3">
        <f t="shared" si="68"/>
        <v>408555.45</v>
      </c>
      <c r="F98" s="3">
        <f t="shared" si="65"/>
        <v>209444.55</v>
      </c>
      <c r="G98" s="8">
        <f t="shared" ref="G98:G100" si="71">F98/(E98+F98)</f>
        <v>0.33890703883495144</v>
      </c>
      <c r="H98" t="s">
        <v>255</v>
      </c>
    </row>
    <row r="99" spans="1:11" x14ac:dyDescent="0.25">
      <c r="A99" s="47">
        <v>44580</v>
      </c>
      <c r="B99" t="s">
        <v>231</v>
      </c>
      <c r="C99" s="3">
        <v>230500</v>
      </c>
      <c r="D99" s="3">
        <v>36</v>
      </c>
      <c r="E99" s="3">
        <f>124125350*(D99/1000)+((C99*D99)*$K$1)</f>
        <v>4767240.5999999996</v>
      </c>
      <c r="F99" s="3">
        <f t="shared" si="65"/>
        <v>3530759.4000000004</v>
      </c>
      <c r="G99" s="8">
        <f t="shared" si="71"/>
        <v>0.42549522776572674</v>
      </c>
      <c r="H99" t="s">
        <v>255</v>
      </c>
    </row>
    <row r="100" spans="1:11" x14ac:dyDescent="0.25">
      <c r="A100" s="47">
        <v>44580</v>
      </c>
      <c r="B100" t="s">
        <v>231</v>
      </c>
      <c r="C100" s="3">
        <v>230100</v>
      </c>
      <c r="D100" s="3">
        <v>250</v>
      </c>
      <c r="E100" s="3">
        <f>124125350*(D100/1000)+((C100*D100)*$K$1)</f>
        <v>33102237.5</v>
      </c>
      <c r="F100" s="3">
        <f t="shared" si="65"/>
        <v>24422762.5</v>
      </c>
      <c r="G100" s="8">
        <f t="shared" si="71"/>
        <v>0.42455910473707081</v>
      </c>
      <c r="H100" t="s">
        <v>255</v>
      </c>
    </row>
    <row r="101" spans="1:11" x14ac:dyDescent="0.25">
      <c r="A101" s="47">
        <v>44580</v>
      </c>
      <c r="B101" t="s">
        <v>231</v>
      </c>
      <c r="C101" s="3">
        <v>228700</v>
      </c>
      <c r="D101" s="3">
        <v>36</v>
      </c>
      <c r="E101" s="3">
        <f>124125350*(D101/1000)+((C101*D101)*$K$1)</f>
        <v>4764907.8</v>
      </c>
      <c r="F101" s="3">
        <f t="shared" ref="F101" si="72">(C101*D101)-E101</f>
        <v>3468292.2</v>
      </c>
      <c r="G101" s="8">
        <f t="shared" ref="G101" si="73">F101/(E101+F101)</f>
        <v>0.42125688675120249</v>
      </c>
      <c r="H101" t="s">
        <v>255</v>
      </c>
    </row>
    <row r="102" spans="1:11" x14ac:dyDescent="0.25">
      <c r="A102" s="47">
        <v>44580</v>
      </c>
      <c r="B102" t="s">
        <v>231</v>
      </c>
      <c r="C102" s="3">
        <v>156400</v>
      </c>
      <c r="D102" s="3">
        <v>419</v>
      </c>
      <c r="E102" s="3">
        <f>124125350*(D102/1000)+((C102*D102)*$K$1)</f>
        <v>54367659.25</v>
      </c>
      <c r="F102" s="3">
        <f t="shared" ref="F102" si="74">(C102*D102)-E102</f>
        <v>11163940.75</v>
      </c>
      <c r="G102" s="8">
        <f t="shared" ref="G102" si="75">F102/(E102+F102)</f>
        <v>0.17035965473145781</v>
      </c>
      <c r="H102" t="s">
        <v>255</v>
      </c>
    </row>
    <row r="103" spans="1:11" x14ac:dyDescent="0.25">
      <c r="A103" s="47">
        <v>44580</v>
      </c>
      <c r="B103" t="s">
        <v>231</v>
      </c>
      <c r="C103" s="3">
        <v>156300</v>
      </c>
      <c r="D103" s="3">
        <v>128</v>
      </c>
      <c r="E103" s="3">
        <f>124125350*(D103/1000)+((C103*D103)*$K$1)</f>
        <v>16608275.200000001</v>
      </c>
      <c r="F103" s="3">
        <f t="shared" ref="F103:F107" si="76">(C103*D103)-E103</f>
        <v>3398124.7999999989</v>
      </c>
      <c r="G103" s="8">
        <f t="shared" ref="G103:G107" si="77">F103/(E103+F103)</f>
        <v>0.16985188739603321</v>
      </c>
      <c r="H103" t="s">
        <v>255</v>
      </c>
    </row>
    <row r="104" spans="1:11" x14ac:dyDescent="0.25">
      <c r="A104" s="47">
        <v>44583</v>
      </c>
      <c r="B104" t="s">
        <v>281</v>
      </c>
      <c r="C104" s="3">
        <v>1152000</v>
      </c>
      <c r="D104" s="3">
        <v>94</v>
      </c>
      <c r="E104" s="3">
        <f>110697312.2</f>
        <v>110697312.2</v>
      </c>
      <c r="F104" s="3">
        <f t="shared" si="76"/>
        <v>-2409312.200000003</v>
      </c>
      <c r="G104" s="8">
        <f t="shared" si="77"/>
        <v>-2.2249115322104048E-2</v>
      </c>
      <c r="H104" t="s">
        <v>255</v>
      </c>
    </row>
    <row r="105" spans="1:11" x14ac:dyDescent="0.25">
      <c r="A105" s="47">
        <v>44583</v>
      </c>
      <c r="B105" t="s">
        <v>204</v>
      </c>
      <c r="C105" s="3">
        <v>16550</v>
      </c>
      <c r="D105" s="3">
        <v>6000</v>
      </c>
      <c r="E105" s="3">
        <f>87715829+(C105*D105*$K$1)</f>
        <v>91290629</v>
      </c>
      <c r="F105" s="3">
        <f t="shared" si="76"/>
        <v>8009371</v>
      </c>
      <c r="G105" s="8">
        <f t="shared" si="77"/>
        <v>8.0658318227593145E-2</v>
      </c>
      <c r="H105" t="s">
        <v>255</v>
      </c>
      <c r="J105">
        <v>75068443.439999998</v>
      </c>
      <c r="K105">
        <v>6000</v>
      </c>
    </row>
    <row r="106" spans="1:11" x14ac:dyDescent="0.25">
      <c r="A106" t="s">
        <v>350</v>
      </c>
      <c r="E106" s="3" cm="1">
        <f t="array" ref="E106">SUM(ABS(E81:E105))</f>
        <v>959566136.99000001</v>
      </c>
      <c r="F106" s="3">
        <f>SUM(F81:F105)</f>
        <v>210019123.01000005</v>
      </c>
      <c r="G106" s="8"/>
      <c r="J106" s="8">
        <f>F106/(F106+E106)</f>
        <v>0.17956717666739408</v>
      </c>
      <c r="K106" s="3">
        <f>F106+E106</f>
        <v>1169585260</v>
      </c>
    </row>
    <row r="107" spans="1:11" x14ac:dyDescent="0.25">
      <c r="A107" s="47">
        <v>44619</v>
      </c>
      <c r="B107" t="s">
        <v>204</v>
      </c>
      <c r="C107" s="3">
        <v>15110</v>
      </c>
      <c r="D107" s="3">
        <v>1000</v>
      </c>
      <c r="E107" s="3">
        <f>75068443.44*(D107/6000)</f>
        <v>12511407.239999998</v>
      </c>
      <c r="F107" s="3">
        <f t="shared" si="76"/>
        <v>2598592.7600000016</v>
      </c>
      <c r="G107" s="8">
        <f t="shared" si="77"/>
        <v>0.17197834281932506</v>
      </c>
      <c r="H107" t="s">
        <v>255</v>
      </c>
    </row>
    <row r="108" spans="1:11" x14ac:dyDescent="0.25">
      <c r="A108" s="47">
        <v>44619</v>
      </c>
      <c r="B108" t="s">
        <v>204</v>
      </c>
      <c r="C108" s="3">
        <v>15100</v>
      </c>
      <c r="D108" s="3">
        <v>1000</v>
      </c>
      <c r="E108" s="3">
        <f>75068443.44*(D108/6000)</f>
        <v>12511407.239999998</v>
      </c>
      <c r="F108" s="3">
        <f t="shared" ref="F108" si="78">(C108*D108)-E108</f>
        <v>2588592.7600000016</v>
      </c>
      <c r="G108" s="8">
        <f t="shared" ref="G108" si="79">F108/(E108+F108)</f>
        <v>0.17142998410596039</v>
      </c>
      <c r="H108" t="s">
        <v>255</v>
      </c>
    </row>
    <row r="109" spans="1:11" x14ac:dyDescent="0.25">
      <c r="A109" s="47">
        <v>44619</v>
      </c>
      <c r="B109" t="s">
        <v>204</v>
      </c>
      <c r="C109" s="3">
        <v>15000</v>
      </c>
      <c r="D109" s="3">
        <v>4000</v>
      </c>
      <c r="E109" s="3">
        <f>75068443.44*(D109/6000)</f>
        <v>50045628.959999993</v>
      </c>
      <c r="F109" s="3">
        <f t="shared" ref="F109" si="80">(C109*D109)-E109</f>
        <v>9954371.0400000066</v>
      </c>
      <c r="G109" s="8">
        <f t="shared" ref="G109:G113" si="81">F109/(E109+F109)</f>
        <v>0.16590618400000012</v>
      </c>
      <c r="H109" t="s">
        <v>255</v>
      </c>
    </row>
    <row r="110" spans="1:11" x14ac:dyDescent="0.25">
      <c r="A110" t="s">
        <v>351</v>
      </c>
      <c r="E110" s="3" cm="1">
        <f t="array" ref="E110">SUM(ABS(E107:E109))</f>
        <v>75068443.439999998</v>
      </c>
      <c r="F110" s="3">
        <f>SUM(F107:F109)</f>
        <v>15141556.56000001</v>
      </c>
      <c r="J110" s="8">
        <f>F110/(F110+E110)</f>
        <v>0.16784787229797152</v>
      </c>
      <c r="K110" s="3">
        <f>F110+E110</f>
        <v>90210000</v>
      </c>
    </row>
    <row r="111" spans="1:11" x14ac:dyDescent="0.25">
      <c r="A111" s="47">
        <v>44624</v>
      </c>
      <c r="B111" t="s">
        <v>191</v>
      </c>
      <c r="C111" s="3">
        <v>20900000</v>
      </c>
      <c r="D111" s="3">
        <v>2</v>
      </c>
      <c r="E111" s="3">
        <f>271298883.51*(D111/16)</f>
        <v>33912360.438749999</v>
      </c>
      <c r="F111" s="3">
        <f t="shared" ref="F111:F125" si="82">(C111*D111)-E111</f>
        <v>7887639.5612500012</v>
      </c>
      <c r="G111" s="8">
        <f t="shared" si="81"/>
        <v>0.18869951103468902</v>
      </c>
    </row>
    <row r="112" spans="1:11" x14ac:dyDescent="0.25">
      <c r="A112" s="47">
        <v>44624</v>
      </c>
      <c r="B112" t="s">
        <v>191</v>
      </c>
      <c r="C112" s="3">
        <v>20840000</v>
      </c>
      <c r="D112" s="3">
        <v>14</v>
      </c>
      <c r="E112" s="3">
        <f>271298883.51*(D112/16)</f>
        <v>237386523.07124999</v>
      </c>
      <c r="F112" s="3">
        <f t="shared" si="82"/>
        <v>54373476.928750008</v>
      </c>
      <c r="G112" s="8">
        <f t="shared" si="81"/>
        <v>0.18636371308181385</v>
      </c>
    </row>
    <row r="113" spans="1:13" x14ac:dyDescent="0.25">
      <c r="A113" s="47">
        <v>44624</v>
      </c>
      <c r="B113" t="s">
        <v>193</v>
      </c>
      <c r="C113" s="3">
        <v>19510000</v>
      </c>
      <c r="D113" s="3">
        <v>3</v>
      </c>
      <c r="E113" s="3">
        <f>215982586.16*(D113/12)</f>
        <v>53995646.539999999</v>
      </c>
      <c r="F113" s="3">
        <f t="shared" si="82"/>
        <v>4534353.4600000009</v>
      </c>
      <c r="G113" s="8">
        <f t="shared" si="81"/>
        <v>7.7470587049376399E-2</v>
      </c>
    </row>
    <row r="114" spans="1:13" x14ac:dyDescent="0.25">
      <c r="A114" s="47">
        <v>44624</v>
      </c>
      <c r="B114" t="s">
        <v>193</v>
      </c>
      <c r="C114" s="3">
        <v>24010000</v>
      </c>
      <c r="D114" s="3">
        <v>3</v>
      </c>
      <c r="E114" s="3">
        <f>215982586.16*(D114/12)</f>
        <v>53995646.539999999</v>
      </c>
      <c r="F114" s="3">
        <f t="shared" si="82"/>
        <v>18034353.460000001</v>
      </c>
      <c r="G114" s="8">
        <f t="shared" ref="G114" si="83">F114/(E114+F114)</f>
        <v>0.25037280938497847</v>
      </c>
    </row>
    <row r="115" spans="1:13" x14ac:dyDescent="0.25">
      <c r="A115" s="47">
        <v>44624</v>
      </c>
      <c r="B115" t="s">
        <v>193</v>
      </c>
      <c r="C115" s="3">
        <v>25000000</v>
      </c>
      <c r="D115" s="3">
        <v>1</v>
      </c>
      <c r="E115" s="3">
        <f>215982586.16*(D115/12)</f>
        <v>17998548.846666664</v>
      </c>
      <c r="F115" s="3">
        <f t="shared" si="82"/>
        <v>7001451.1533333361</v>
      </c>
      <c r="G115" s="8">
        <f t="shared" ref="G115" si="84">F115/(E115+F115)</f>
        <v>0.28005804613333346</v>
      </c>
    </row>
    <row r="116" spans="1:13" x14ac:dyDescent="0.25">
      <c r="A116" s="47">
        <v>44630</v>
      </c>
      <c r="B116" t="s">
        <v>193</v>
      </c>
      <c r="C116" s="3">
        <v>21780000</v>
      </c>
      <c r="D116" s="3">
        <v>1</v>
      </c>
      <c r="E116" s="3">
        <f>215982586.16*(D116/12)</f>
        <v>17998548.846666664</v>
      </c>
      <c r="F116" s="3">
        <f t="shared" si="82"/>
        <v>3781451.1533333361</v>
      </c>
      <c r="G116" s="8">
        <f t="shared" ref="G116" si="85">F116/(E116+F116)</f>
        <v>0.17362034680134694</v>
      </c>
    </row>
    <row r="117" spans="1:13" x14ac:dyDescent="0.25">
      <c r="A117" s="47">
        <v>44630</v>
      </c>
      <c r="B117" t="s">
        <v>193</v>
      </c>
      <c r="C117" s="3">
        <v>21690000</v>
      </c>
      <c r="D117" s="3">
        <v>1</v>
      </c>
      <c r="E117" s="3">
        <f>215982586.16*(D117/12)</f>
        <v>17998548.846666664</v>
      </c>
      <c r="F117" s="3">
        <f t="shared" si="82"/>
        <v>3691451.1533333361</v>
      </c>
      <c r="G117" s="8">
        <f t="shared" ref="G117:G118" si="86">F117/(E117+F117)</f>
        <v>0.170191385584755</v>
      </c>
    </row>
    <row r="118" spans="1:13" x14ac:dyDescent="0.25">
      <c r="A118" s="47">
        <v>44630</v>
      </c>
      <c r="B118" t="s">
        <v>191</v>
      </c>
      <c r="C118" s="3">
        <v>20660000</v>
      </c>
      <c r="D118" s="3">
        <v>1</v>
      </c>
      <c r="E118" s="3">
        <f>271298883.51*(D118/16)</f>
        <v>16956180.219374999</v>
      </c>
      <c r="F118" s="3">
        <f t="shared" si="82"/>
        <v>3703819.7806250006</v>
      </c>
      <c r="G118" s="8">
        <f t="shared" si="86"/>
        <v>0.17927491677758958</v>
      </c>
    </row>
    <row r="119" spans="1:13" x14ac:dyDescent="0.25">
      <c r="A119" s="47">
        <v>44630</v>
      </c>
      <c r="B119" t="s">
        <v>191</v>
      </c>
      <c r="C119" s="3">
        <v>21020000</v>
      </c>
      <c r="D119" s="3">
        <v>1</v>
      </c>
      <c r="E119" s="3">
        <f>271298883.51*(D119/16)</f>
        <v>16956180.219374999</v>
      </c>
      <c r="F119" s="3">
        <f t="shared" si="82"/>
        <v>4063819.7806250006</v>
      </c>
      <c r="G119" s="8">
        <f t="shared" ref="G119:G120" si="87">F119/(E119+F119)</f>
        <v>0.1933311027890105</v>
      </c>
    </row>
    <row r="120" spans="1:13" x14ac:dyDescent="0.25">
      <c r="A120" s="47">
        <v>44630</v>
      </c>
      <c r="B120" t="s">
        <v>193</v>
      </c>
      <c r="C120" s="3">
        <v>20020000</v>
      </c>
      <c r="D120" s="3">
        <v>2</v>
      </c>
      <c r="E120" s="3">
        <f>215982586.16*(D120/12)</f>
        <v>35997097.693333328</v>
      </c>
      <c r="F120" s="3">
        <f t="shared" si="82"/>
        <v>4042902.3066666722</v>
      </c>
      <c r="G120" s="8">
        <f t="shared" si="87"/>
        <v>0.10097158608058622</v>
      </c>
    </row>
    <row r="121" spans="1:13" x14ac:dyDescent="0.25">
      <c r="A121" s="47">
        <v>44630</v>
      </c>
      <c r="B121" t="s">
        <v>193</v>
      </c>
      <c r="C121" s="3">
        <v>20010000</v>
      </c>
      <c r="D121" s="3">
        <v>1</v>
      </c>
      <c r="E121" s="3">
        <f>215982586.16*(D121/12)</f>
        <v>17998548.846666664</v>
      </c>
      <c r="F121" s="3">
        <f t="shared" si="82"/>
        <v>2011451.1533333361</v>
      </c>
      <c r="G121" s="8">
        <f t="shared" ref="G121:G125" si="88">F121/(E121+F121)</f>
        <v>0.10052229651840761</v>
      </c>
    </row>
    <row r="122" spans="1:13" x14ac:dyDescent="0.25">
      <c r="A122" s="47">
        <v>44630</v>
      </c>
      <c r="B122" t="s">
        <v>204</v>
      </c>
      <c r="C122" s="3">
        <v>15110</v>
      </c>
      <c r="D122" s="3">
        <v>6000</v>
      </c>
      <c r="E122" s="3">
        <v>75068443.439999998</v>
      </c>
      <c r="F122" s="3">
        <f t="shared" si="82"/>
        <v>15591556.560000002</v>
      </c>
      <c r="G122" s="8">
        <f t="shared" si="88"/>
        <v>0.17197834281932498</v>
      </c>
    </row>
    <row r="123" spans="1:13" x14ac:dyDescent="0.25">
      <c r="A123" s="47">
        <v>44649</v>
      </c>
      <c r="B123" t="s">
        <v>204</v>
      </c>
      <c r="C123" s="3">
        <v>14760</v>
      </c>
      <c r="D123" s="3">
        <v>6000</v>
      </c>
      <c r="E123" s="3">
        <v>75068443.439999998</v>
      </c>
      <c r="F123" s="3">
        <f t="shared" si="82"/>
        <v>13491556.560000002</v>
      </c>
      <c r="G123" s="8">
        <f t="shared" si="88"/>
        <v>0.15234368292682929</v>
      </c>
      <c r="M123" s="8"/>
    </row>
    <row r="124" spans="1:13" x14ac:dyDescent="0.25">
      <c r="A124" t="s">
        <v>352</v>
      </c>
      <c r="E124" s="3" cm="1">
        <f t="array" ref="E124">SUM(ABS(E111:E123))</f>
        <v>671330716.98875022</v>
      </c>
      <c r="F124" s="3" cm="1">
        <f t="array" ref="F124">SUM(ABS(F111:F123))</f>
        <v>142209283.01125002</v>
      </c>
      <c r="J124" s="8">
        <f>F124/(F124+E124)</f>
        <v>0.17480306194071585</v>
      </c>
      <c r="K124" s="3">
        <f>F124+E124</f>
        <v>813540000.00000024</v>
      </c>
      <c r="M124" s="8"/>
    </row>
    <row r="125" spans="1:13" x14ac:dyDescent="0.25">
      <c r="A125" s="47">
        <v>44656</v>
      </c>
      <c r="B125" t="s">
        <v>191</v>
      </c>
      <c r="C125" s="3">
        <v>20000000</v>
      </c>
      <c r="D125" s="3">
        <v>5</v>
      </c>
      <c r="E125" s="3">
        <f>109054616.49*(D125/8)</f>
        <v>68159135.306249991</v>
      </c>
      <c r="F125" s="3">
        <f t="shared" si="82"/>
        <v>31840864.693750009</v>
      </c>
      <c r="G125" s="8">
        <f t="shared" si="88"/>
        <v>0.31840864693750009</v>
      </c>
      <c r="M125" s="8"/>
    </row>
    <row r="126" spans="1:13" x14ac:dyDescent="0.25">
      <c r="A126" s="47">
        <v>44656</v>
      </c>
      <c r="B126" t="s">
        <v>191</v>
      </c>
      <c r="C126" s="3">
        <v>18560000</v>
      </c>
      <c r="D126" s="3">
        <v>1</v>
      </c>
      <c r="E126" s="3">
        <f>109054616.49*(D126/8)</f>
        <v>13631827.061249999</v>
      </c>
      <c r="F126" s="3">
        <f t="shared" ref="F126:F128" si="89">(C126*D126)-E126</f>
        <v>4928172.9387500007</v>
      </c>
      <c r="G126" s="8">
        <f t="shared" ref="G126:G128" si="90">F126/(E126+F126)</f>
        <v>0.26552655919989226</v>
      </c>
      <c r="M126" s="8"/>
    </row>
    <row r="127" spans="1:13" x14ac:dyDescent="0.25">
      <c r="A127" s="47">
        <v>44656</v>
      </c>
      <c r="B127" t="s">
        <v>191</v>
      </c>
      <c r="C127" s="3">
        <v>17920000</v>
      </c>
      <c r="D127" s="3">
        <v>2</v>
      </c>
      <c r="E127" s="3">
        <f>109054616.49*(D127/8)</f>
        <v>27263654.122499999</v>
      </c>
      <c r="F127" s="3">
        <f t="shared" si="89"/>
        <v>8576345.8775000013</v>
      </c>
      <c r="G127" s="8">
        <f t="shared" si="90"/>
        <v>0.23929536488560271</v>
      </c>
      <c r="M127" s="8"/>
    </row>
    <row r="128" spans="1:13" x14ac:dyDescent="0.25">
      <c r="A128" s="47">
        <v>44656</v>
      </c>
      <c r="B128" t="s">
        <v>193</v>
      </c>
      <c r="C128" s="3">
        <v>21000000</v>
      </c>
      <c r="D128" s="3">
        <v>2</v>
      </c>
      <c r="E128" s="3">
        <f>98369494.04*(D128/6)</f>
        <v>32789831.346666668</v>
      </c>
      <c r="F128" s="3">
        <f t="shared" si="89"/>
        <v>9210168.6533333324</v>
      </c>
      <c r="G128" s="8">
        <f t="shared" si="90"/>
        <v>0.21928972984126982</v>
      </c>
      <c r="M128" s="8"/>
    </row>
    <row r="129" spans="1:14" x14ac:dyDescent="0.25">
      <c r="A129" s="47">
        <v>44656</v>
      </c>
      <c r="B129" t="s">
        <v>193</v>
      </c>
      <c r="C129" s="3">
        <v>18590000</v>
      </c>
      <c r="D129" s="3">
        <v>2</v>
      </c>
      <c r="E129" s="3">
        <f>98369494.04*(D129/6)</f>
        <v>32789831.346666668</v>
      </c>
      <c r="F129" s="3">
        <f t="shared" ref="F129" si="91">(C129*D129)-E129</f>
        <v>4390168.6533333324</v>
      </c>
      <c r="G129" s="8">
        <f t="shared" ref="G129" si="92">F129/(E129+F129)</f>
        <v>0.11807876958938494</v>
      </c>
      <c r="M129" s="8"/>
    </row>
    <row r="130" spans="1:14" x14ac:dyDescent="0.25">
      <c r="A130" s="47">
        <v>44658</v>
      </c>
      <c r="B130" t="s">
        <v>193</v>
      </c>
      <c r="C130" s="3">
        <v>18690000</v>
      </c>
      <c r="D130" s="3">
        <v>2</v>
      </c>
      <c r="E130" s="3">
        <f>98369494.04*(D130/6)</f>
        <v>32789831.346666668</v>
      </c>
      <c r="F130" s="3">
        <f t="shared" ref="F130" si="93">(C130*D130)-E130</f>
        <v>4590168.6533333324</v>
      </c>
      <c r="G130" s="8">
        <f t="shared" ref="G130" si="94">F130/(E130+F130)</f>
        <v>0.12279744925985372</v>
      </c>
      <c r="M130" s="8"/>
    </row>
    <row r="131" spans="1:14" x14ac:dyDescent="0.25">
      <c r="A131" s="47">
        <v>44663</v>
      </c>
      <c r="B131" t="s">
        <v>299</v>
      </c>
      <c r="C131" s="66">
        <v>20020000</v>
      </c>
      <c r="D131" s="66">
        <v>4</v>
      </c>
      <c r="E131" s="3">
        <f>149487326.08*(D131/12)</f>
        <v>49829108.693333335</v>
      </c>
      <c r="F131" s="3">
        <f t="shared" ref="F131:F135" si="95">(C131*D131)-E131</f>
        <v>30250891.306666665</v>
      </c>
      <c r="G131" s="8">
        <f t="shared" ref="G131:G135" si="96">F131/(E131+F131)</f>
        <v>0.37775838295038294</v>
      </c>
      <c r="M131" s="8"/>
    </row>
    <row r="132" spans="1:14" x14ac:dyDescent="0.25">
      <c r="A132" s="47">
        <v>44663</v>
      </c>
      <c r="B132" t="s">
        <v>299</v>
      </c>
      <c r="C132" s="66">
        <v>20010000</v>
      </c>
      <c r="D132" s="66">
        <v>1</v>
      </c>
      <c r="E132" s="3">
        <f t="shared" ref="E132:E135" si="97">149487326.08*(D132/12)</f>
        <v>12457277.173333334</v>
      </c>
      <c r="F132" s="3">
        <f t="shared" si="95"/>
        <v>7552722.8266666662</v>
      </c>
      <c r="G132" s="8">
        <f t="shared" si="96"/>
        <v>0.37744741762452105</v>
      </c>
      <c r="M132" s="8"/>
    </row>
    <row r="133" spans="1:14" x14ac:dyDescent="0.25">
      <c r="A133" s="47">
        <v>44663</v>
      </c>
      <c r="B133" t="s">
        <v>299</v>
      </c>
      <c r="C133" s="66">
        <v>20000000</v>
      </c>
      <c r="D133" s="66">
        <v>3</v>
      </c>
      <c r="E133" s="3">
        <f t="shared" si="97"/>
        <v>37371831.520000003</v>
      </c>
      <c r="F133" s="3">
        <f t="shared" si="95"/>
        <v>22628168.479999997</v>
      </c>
      <c r="G133" s="8">
        <f t="shared" si="96"/>
        <v>0.37713614133333329</v>
      </c>
      <c r="M133" s="8"/>
    </row>
    <row r="134" spans="1:14" x14ac:dyDescent="0.25">
      <c r="A134" s="47">
        <v>44663</v>
      </c>
      <c r="B134" t="s">
        <v>299</v>
      </c>
      <c r="C134" s="3">
        <v>19140000</v>
      </c>
      <c r="D134" s="3">
        <v>1</v>
      </c>
      <c r="E134" s="3">
        <f t="shared" si="97"/>
        <v>12457277.173333334</v>
      </c>
      <c r="F134" s="3">
        <f t="shared" si="95"/>
        <v>6682722.8266666662</v>
      </c>
      <c r="G134" s="8">
        <f t="shared" si="96"/>
        <v>0.34914957297109017</v>
      </c>
      <c r="M134" s="8"/>
    </row>
    <row r="135" spans="1:14" x14ac:dyDescent="0.25">
      <c r="A135" s="47">
        <v>44663</v>
      </c>
      <c r="B135" t="s">
        <v>299</v>
      </c>
      <c r="C135" s="3">
        <v>19110000</v>
      </c>
      <c r="D135" s="3">
        <v>3</v>
      </c>
      <c r="E135" s="3">
        <f t="shared" si="97"/>
        <v>37371831.520000003</v>
      </c>
      <c r="F135" s="3">
        <f t="shared" si="95"/>
        <v>19958168.479999997</v>
      </c>
      <c r="G135" s="8">
        <f t="shared" si="96"/>
        <v>0.34812782975754397</v>
      </c>
      <c r="M135" s="8"/>
    </row>
    <row r="136" spans="1:14" x14ac:dyDescent="0.25">
      <c r="A136" s="47">
        <v>44630</v>
      </c>
      <c r="B136" t="s">
        <v>204</v>
      </c>
      <c r="C136" s="3">
        <v>14790</v>
      </c>
      <c r="D136" s="3">
        <v>6000</v>
      </c>
      <c r="E136" s="3">
        <v>75068443.439999998</v>
      </c>
      <c r="F136" s="3">
        <f t="shared" ref="F136:F137" si="98">(C136*D136)-E136</f>
        <v>13671556.560000002</v>
      </c>
      <c r="G136" s="8">
        <f t="shared" ref="G136:G137" si="99">F136/(E136+F136)</f>
        <v>0.15406306693711971</v>
      </c>
      <c r="M136" s="8"/>
    </row>
    <row r="137" spans="1:14" x14ac:dyDescent="0.25">
      <c r="A137" s="47">
        <v>44668</v>
      </c>
      <c r="B137" t="s">
        <v>299</v>
      </c>
      <c r="C137" s="3">
        <v>19110000</v>
      </c>
      <c r="D137" s="3">
        <v>1</v>
      </c>
      <c r="E137" s="3">
        <f>192161476.93*(D137/16)</f>
        <v>12010092.308125</v>
      </c>
      <c r="F137" s="3">
        <f t="shared" si="98"/>
        <v>7099907.6918749996</v>
      </c>
      <c r="G137" s="8">
        <f t="shared" si="99"/>
        <v>0.37152839831894297</v>
      </c>
    </row>
    <row r="138" spans="1:14" x14ac:dyDescent="0.25">
      <c r="A138" s="47">
        <v>44668</v>
      </c>
      <c r="B138" t="s">
        <v>299</v>
      </c>
      <c r="C138" s="3">
        <v>22600000</v>
      </c>
      <c r="D138" s="3">
        <v>5</v>
      </c>
      <c r="E138" s="3">
        <f>192161476.93*(D138/16)</f>
        <v>60050461.540625006</v>
      </c>
      <c r="F138" s="3">
        <f t="shared" ref="F138" si="100">(C138*D138)-E138</f>
        <v>52949538.459374994</v>
      </c>
      <c r="G138" s="8">
        <f t="shared" ref="G138" si="101">F138/(E138+F138)</f>
        <v>0.46857998636615039</v>
      </c>
    </row>
    <row r="139" spans="1:14" x14ac:dyDescent="0.25">
      <c r="A139" s="47">
        <v>44668</v>
      </c>
      <c r="B139" t="s">
        <v>299</v>
      </c>
      <c r="C139" s="3">
        <v>22500000</v>
      </c>
      <c r="D139" s="3">
        <v>8</v>
      </c>
      <c r="E139" s="3">
        <f>192161476.93*(D139/16)</f>
        <v>96080738.465000004</v>
      </c>
      <c r="F139" s="3">
        <f t="shared" ref="F139" si="102">(C139*D139)-E139</f>
        <v>83919261.534999996</v>
      </c>
      <c r="G139" s="8">
        <f t="shared" ref="G139" si="103">F139/(E139+F139)</f>
        <v>0.46621811963888887</v>
      </c>
    </row>
    <row r="140" spans="1:14" x14ac:dyDescent="0.25">
      <c r="A140" s="47">
        <v>44668</v>
      </c>
      <c r="B140" t="s">
        <v>299</v>
      </c>
      <c r="C140" s="3">
        <v>22500000</v>
      </c>
      <c r="D140" s="3">
        <v>2</v>
      </c>
      <c r="E140" s="3">
        <f>192161476.93*(D140/16)</f>
        <v>24020184.616250001</v>
      </c>
      <c r="F140" s="3">
        <f t="shared" ref="F140:F141" si="104">(C140*D140)-E140</f>
        <v>20979815.383749999</v>
      </c>
      <c r="G140" s="8">
        <f t="shared" ref="G140:G141" si="105">F140/(E140+F140)</f>
        <v>0.46621811963888887</v>
      </c>
    </row>
    <row r="141" spans="1:14" x14ac:dyDescent="0.25">
      <c r="A141" s="47">
        <v>44677</v>
      </c>
      <c r="B141" t="s">
        <v>238</v>
      </c>
      <c r="C141" s="3">
        <v>11380000</v>
      </c>
      <c r="D141" s="3">
        <v>1</v>
      </c>
      <c r="E141" s="3">
        <f>105784784.79*(D141/10)</f>
        <v>10578478.479000002</v>
      </c>
      <c r="F141" s="3">
        <f t="shared" si="104"/>
        <v>801521.52099999785</v>
      </c>
      <c r="G141" s="8">
        <f t="shared" si="105"/>
        <v>7.0432471089630744E-2</v>
      </c>
    </row>
    <row r="142" spans="1:14" x14ac:dyDescent="0.25">
      <c r="A142" s="47">
        <v>44677</v>
      </c>
      <c r="B142" t="s">
        <v>299</v>
      </c>
      <c r="C142" s="3">
        <v>19000000</v>
      </c>
      <c r="D142" s="3">
        <v>1</v>
      </c>
      <c r="E142" s="3">
        <f>187561221.05*(D142/16)</f>
        <v>11722576.315625001</v>
      </c>
      <c r="F142" s="3">
        <f t="shared" ref="F142" si="106">(C142*D142)-E142</f>
        <v>7277423.6843749993</v>
      </c>
      <c r="G142" s="8">
        <f t="shared" ref="G142" si="107">F142/(E142+F142)</f>
        <v>0.38302229917763153</v>
      </c>
      <c r="J142" s="2"/>
      <c r="N142" s="4"/>
    </row>
    <row r="143" spans="1:14" x14ac:dyDescent="0.25">
      <c r="A143" s="47">
        <v>44677</v>
      </c>
      <c r="B143" t="s">
        <v>299</v>
      </c>
      <c r="C143" s="3">
        <v>17010000</v>
      </c>
      <c r="D143" s="3">
        <v>2</v>
      </c>
      <c r="E143" s="3">
        <f>187561221.05*(D143/16)</f>
        <v>23445152.631250001</v>
      </c>
      <c r="F143" s="3">
        <f t="shared" ref="F143" si="108">(C143*D143)-E143</f>
        <v>10574847.368749999</v>
      </c>
      <c r="G143" s="8">
        <f t="shared" ref="G143" si="109">F143/(E143+F143)</f>
        <v>0.3108420743312757</v>
      </c>
    </row>
    <row r="144" spans="1:14" x14ac:dyDescent="0.25">
      <c r="A144" s="47">
        <v>44677</v>
      </c>
      <c r="B144" t="s">
        <v>299</v>
      </c>
      <c r="C144" s="3">
        <v>17000000</v>
      </c>
      <c r="D144" s="3">
        <v>1</v>
      </c>
      <c r="E144" s="3">
        <f>187561221.05*(D144/16)</f>
        <v>11722576.315625001</v>
      </c>
      <c r="F144" s="3">
        <f t="shared" ref="F144:F145" si="110">(C144*D144)-E144</f>
        <v>5277423.6843749993</v>
      </c>
      <c r="G144" s="8">
        <f t="shared" ref="G144:G145" si="111">F144/(E144+F144)</f>
        <v>0.31043668731617641</v>
      </c>
    </row>
    <row r="145" spans="1:11" x14ac:dyDescent="0.25">
      <c r="A145" s="47">
        <v>44677</v>
      </c>
      <c r="B145" t="s">
        <v>238</v>
      </c>
      <c r="C145" s="3">
        <v>13010000</v>
      </c>
      <c r="D145" s="3">
        <v>1</v>
      </c>
      <c r="E145" s="3">
        <f>105784784.79*(D145/10)</f>
        <v>10578478.479000002</v>
      </c>
      <c r="F145" s="3">
        <f t="shared" si="110"/>
        <v>2431521.5209999979</v>
      </c>
      <c r="G145" s="8">
        <f t="shared" si="111"/>
        <v>0.18689635057647946</v>
      </c>
    </row>
    <row r="146" spans="1:11" x14ac:dyDescent="0.25">
      <c r="A146" s="47">
        <v>44677</v>
      </c>
      <c r="B146" t="s">
        <v>238</v>
      </c>
      <c r="C146" s="3">
        <v>13000000</v>
      </c>
      <c r="D146" s="3">
        <v>5</v>
      </c>
      <c r="E146" s="3">
        <f>105784784.79*(D146/10)</f>
        <v>52892392.395000003</v>
      </c>
      <c r="F146" s="3">
        <f t="shared" ref="F146" si="112">(C146*D146)-E146</f>
        <v>12107607.604999997</v>
      </c>
      <c r="G146" s="8">
        <f t="shared" ref="G146" si="113">F146/(E146+F146)</f>
        <v>0.18627088623076918</v>
      </c>
    </row>
    <row r="147" spans="1:11" x14ac:dyDescent="0.25">
      <c r="A147" s="47">
        <v>44677</v>
      </c>
      <c r="B147" t="s">
        <v>191</v>
      </c>
      <c r="C147" s="3">
        <v>20180000</v>
      </c>
      <c r="D147" s="3">
        <v>12</v>
      </c>
      <c r="E147" s="3">
        <f>201790636.97*(D147/16)</f>
        <v>151342977.72749999</v>
      </c>
      <c r="F147" s="3">
        <f t="shared" ref="F147" si="114">(C147*D147)-E147</f>
        <v>90817022.272500008</v>
      </c>
      <c r="G147" s="8">
        <f t="shared" ref="G147" si="115">F147/(E147+F147)</f>
        <v>0.37502899848240834</v>
      </c>
    </row>
    <row r="148" spans="1:11" x14ac:dyDescent="0.25">
      <c r="A148" s="47">
        <v>44677</v>
      </c>
      <c r="B148" t="s">
        <v>191</v>
      </c>
      <c r="C148" s="3">
        <v>20140000</v>
      </c>
      <c r="D148" s="3">
        <v>4</v>
      </c>
      <c r="E148" s="3">
        <f>201790636.97*(D148/16)</f>
        <v>50447659.2425</v>
      </c>
      <c r="F148" s="3">
        <f t="shared" ref="F148:F150" si="116">(C148*D148)-E148</f>
        <v>30112340.7575</v>
      </c>
      <c r="G148" s="8">
        <f t="shared" ref="G148:G149" si="117">F148/(E148+F148)</f>
        <v>0.3737877452519861</v>
      </c>
    </row>
    <row r="149" spans="1:11" x14ac:dyDescent="0.25">
      <c r="A149" s="47">
        <v>44681</v>
      </c>
      <c r="B149" t="s">
        <v>238</v>
      </c>
      <c r="C149" s="3">
        <v>16010000</v>
      </c>
      <c r="D149" s="3">
        <v>3</v>
      </c>
      <c r="E149" s="3">
        <f>105784784.79*(D149/10)</f>
        <v>31735435.436999999</v>
      </c>
      <c r="F149" s="3">
        <f t="shared" si="116"/>
        <v>16294564.563000001</v>
      </c>
      <c r="G149" s="8">
        <f t="shared" si="117"/>
        <v>0.33925805877576515</v>
      </c>
    </row>
    <row r="150" spans="1:11" x14ac:dyDescent="0.25">
      <c r="A150" s="47">
        <v>44681</v>
      </c>
      <c r="B150" t="s">
        <v>299</v>
      </c>
      <c r="C150" s="3">
        <v>15000000</v>
      </c>
      <c r="D150" s="3">
        <v>10</v>
      </c>
      <c r="E150" s="3">
        <f>187561221.05*(D150/16)</f>
        <v>117225763.15625</v>
      </c>
      <c r="F150" s="3">
        <f t="shared" si="116"/>
        <v>32774236.84375</v>
      </c>
      <c r="G150" s="8">
        <f>F150/(E150+F150)</f>
        <v>0.21849491229166668</v>
      </c>
    </row>
    <row r="151" spans="1:11" x14ac:dyDescent="0.25">
      <c r="A151" s="47"/>
      <c r="E151" s="3" cm="1">
        <f t="array" ref="E151">SUM(ABS(E125:E150))</f>
        <v>1095832847.1587498</v>
      </c>
      <c r="F151" s="3" cm="1">
        <f t="array" ref="F151">SUM(ABS(F125:F150))</f>
        <v>537697152.84125006</v>
      </c>
      <c r="G151" s="8"/>
      <c r="J151" s="8">
        <f>F151/(F151+E151)</f>
        <v>0.3291627045975587</v>
      </c>
      <c r="K151" s="3">
        <f>F151+E151</f>
        <v>1633530000</v>
      </c>
    </row>
    <row r="152" spans="1:11" x14ac:dyDescent="0.25">
      <c r="A152" s="47">
        <v>44687</v>
      </c>
      <c r="B152" t="s">
        <v>299</v>
      </c>
      <c r="C152" s="3">
        <v>13850000</v>
      </c>
      <c r="D152" s="3">
        <v>1</v>
      </c>
      <c r="E152" s="3">
        <f>187561221.05*(D152/16)</f>
        <v>11722576.315625001</v>
      </c>
      <c r="F152" s="3">
        <f t="shared" ref="F152" si="118">(C152*D152)-E152</f>
        <v>2127423.6843749993</v>
      </c>
      <c r="G152" s="8">
        <f t="shared" ref="G152" si="119">F152/(E152+F152)</f>
        <v>0.15360459814981944</v>
      </c>
    </row>
    <row r="153" spans="1:11" x14ac:dyDescent="0.25">
      <c r="A153" s="47">
        <v>44684</v>
      </c>
      <c r="B153" t="s">
        <v>191</v>
      </c>
      <c r="C153" s="3">
        <v>19510000</v>
      </c>
      <c r="D153" s="3">
        <v>1</v>
      </c>
      <c r="E153" s="3">
        <f>271298883.51*(D153/16)</f>
        <v>16956180.219374999</v>
      </c>
      <c r="F153" s="3">
        <f t="shared" ref="F153:F154" si="120">(C153*D153)-E153</f>
        <v>2553819.7806250006</v>
      </c>
      <c r="G153" s="8">
        <f t="shared" ref="G153:G154" si="121">F153/(E153+F153)</f>
        <v>0.13089798978088163</v>
      </c>
    </row>
    <row r="154" spans="1:11" x14ac:dyDescent="0.25">
      <c r="A154" s="47">
        <v>44684</v>
      </c>
      <c r="B154" t="s">
        <v>334</v>
      </c>
      <c r="C154" s="3">
        <v>26040000</v>
      </c>
      <c r="D154" s="3">
        <v>1</v>
      </c>
      <c r="E154" s="2">
        <f>(299244466.31/16)*D154</f>
        <v>18702779.144375</v>
      </c>
      <c r="F154" s="3">
        <f t="shared" si="120"/>
        <v>7337220.8556249999</v>
      </c>
      <c r="G154" s="8">
        <f t="shared" si="121"/>
        <v>0.28176731396409371</v>
      </c>
    </row>
    <row r="155" spans="1:11" x14ac:dyDescent="0.25">
      <c r="A155" s="47">
        <v>44684</v>
      </c>
      <c r="B155" t="s">
        <v>334</v>
      </c>
      <c r="C155" s="3">
        <v>26030000</v>
      </c>
      <c r="D155" s="3">
        <v>1</v>
      </c>
      <c r="E155" s="2">
        <f>(299244466.31/16)*D155</f>
        <v>18702779.144375</v>
      </c>
      <c r="F155" s="3">
        <f t="shared" ref="F155" si="122">(C155*D155)-E155</f>
        <v>7327220.8556249999</v>
      </c>
      <c r="G155" s="8">
        <f t="shared" ref="G155" si="123">F155/(E155+F155)</f>
        <v>0.2814913889982712</v>
      </c>
    </row>
    <row r="156" spans="1:11" x14ac:dyDescent="0.25">
      <c r="A156" s="47">
        <v>44684</v>
      </c>
      <c r="B156" t="s">
        <v>334</v>
      </c>
      <c r="C156" s="3">
        <v>26000000</v>
      </c>
      <c r="D156" s="3">
        <v>2</v>
      </c>
      <c r="E156" s="2">
        <f>(299244466.31/16)*D156</f>
        <v>37405558.28875</v>
      </c>
      <c r="F156" s="3">
        <f t="shared" ref="F156:F158" si="124">(C156*D156)-E156</f>
        <v>14594441.71125</v>
      </c>
      <c r="G156" s="8">
        <f t="shared" ref="G156:G158" si="125">F156/(E156+F156)</f>
        <v>0.28066234060096151</v>
      </c>
    </row>
    <row r="157" spans="1:11" x14ac:dyDescent="0.25">
      <c r="A157" s="47">
        <v>44684</v>
      </c>
      <c r="B157" t="s">
        <v>334</v>
      </c>
      <c r="C157" s="3">
        <v>23850000</v>
      </c>
      <c r="D157" s="3">
        <v>8</v>
      </c>
      <c r="E157" s="2">
        <f>(299244466.31/16)*D157</f>
        <v>149622233.155</v>
      </c>
      <c r="F157" s="3">
        <f t="shared" si="124"/>
        <v>41177766.844999999</v>
      </c>
      <c r="G157" s="8">
        <f t="shared" si="125"/>
        <v>0.2158163880765199</v>
      </c>
    </row>
    <row r="158" spans="1:11" x14ac:dyDescent="0.25">
      <c r="A158" s="47">
        <v>44688</v>
      </c>
      <c r="B158" t="s">
        <v>334</v>
      </c>
      <c r="C158" s="3">
        <v>23960000</v>
      </c>
      <c r="D158" s="3">
        <v>1</v>
      </c>
      <c r="E158" s="3">
        <f>(269320097.01/16)*D158</f>
        <v>16832506.063124999</v>
      </c>
      <c r="F158" s="3">
        <f t="shared" si="124"/>
        <v>7127493.9368750006</v>
      </c>
      <c r="G158" s="8">
        <f t="shared" si="125"/>
        <v>0.29747470521181135</v>
      </c>
    </row>
    <row r="159" spans="1:11" x14ac:dyDescent="0.25">
      <c r="A159" s="47">
        <v>44688</v>
      </c>
      <c r="B159" t="s">
        <v>334</v>
      </c>
      <c r="C159" s="3">
        <v>23950000</v>
      </c>
      <c r="D159" s="3">
        <v>1</v>
      </c>
      <c r="E159" s="3">
        <f t="shared" ref="E159:E163" si="126">(269320097.01/16)*D159</f>
        <v>16832506.063124999</v>
      </c>
      <c r="F159" s="3">
        <f t="shared" ref="F159:F163" si="127">(C159*D159)-E159</f>
        <v>7117493.9368750006</v>
      </c>
      <c r="G159" s="8">
        <f t="shared" ref="G159:G163" si="128">F159/(E159+F159)</f>
        <v>0.29718137523486432</v>
      </c>
    </row>
    <row r="160" spans="1:11" x14ac:dyDescent="0.25">
      <c r="A160" s="47">
        <v>44688</v>
      </c>
      <c r="B160" t="s">
        <v>334</v>
      </c>
      <c r="C160" s="3">
        <v>23930000</v>
      </c>
      <c r="D160" s="3">
        <v>1</v>
      </c>
      <c r="E160" s="3">
        <f t="shared" si="126"/>
        <v>16832506.063124999</v>
      </c>
      <c r="F160" s="3">
        <f t="shared" si="127"/>
        <v>7097493.9368750006</v>
      </c>
      <c r="G160" s="8">
        <f t="shared" si="128"/>
        <v>0.29659397981090685</v>
      </c>
    </row>
    <row r="161" spans="1:10" x14ac:dyDescent="0.25">
      <c r="A161" s="47">
        <v>44688</v>
      </c>
      <c r="B161" t="s">
        <v>334</v>
      </c>
      <c r="C161" s="3">
        <v>23920000</v>
      </c>
      <c r="D161" s="3">
        <v>1</v>
      </c>
      <c r="E161" s="3">
        <f t="shared" si="126"/>
        <v>16832506.063124999</v>
      </c>
      <c r="F161" s="3">
        <f t="shared" si="127"/>
        <v>7087493.9368750006</v>
      </c>
      <c r="G161" s="8">
        <f t="shared" si="128"/>
        <v>0.29629991374895487</v>
      </c>
    </row>
    <row r="162" spans="1:10" x14ac:dyDescent="0.25">
      <c r="A162" s="47">
        <v>44688</v>
      </c>
      <c r="B162" t="s">
        <v>334</v>
      </c>
      <c r="C162" s="3">
        <v>23870000</v>
      </c>
      <c r="D162" s="3">
        <v>1</v>
      </c>
      <c r="E162" s="3">
        <f t="shared" si="126"/>
        <v>16832506.063124999</v>
      </c>
      <c r="F162" s="3">
        <f t="shared" si="127"/>
        <v>7037493.9368750006</v>
      </c>
      <c r="G162" s="8">
        <f t="shared" si="128"/>
        <v>0.29482588759426059</v>
      </c>
    </row>
    <row r="163" spans="1:10" x14ac:dyDescent="0.25">
      <c r="A163" s="47">
        <v>44688</v>
      </c>
      <c r="B163" t="s">
        <v>334</v>
      </c>
      <c r="C163" s="3">
        <v>23690000</v>
      </c>
      <c r="D163" s="3">
        <v>5</v>
      </c>
      <c r="E163" s="3">
        <f t="shared" si="126"/>
        <v>84162530.315624997</v>
      </c>
      <c r="F163" s="3">
        <f t="shared" si="127"/>
        <v>34287469.684375003</v>
      </c>
      <c r="G163" s="8">
        <f t="shared" si="128"/>
        <v>0.28946787407661462</v>
      </c>
    </row>
    <row r="164" spans="1:10" x14ac:dyDescent="0.25">
      <c r="A164" s="47">
        <v>44688</v>
      </c>
      <c r="B164" t="s">
        <v>334</v>
      </c>
      <c r="C164" s="3">
        <v>20910000</v>
      </c>
      <c r="D164" s="3">
        <v>6</v>
      </c>
      <c r="E164" s="3">
        <f t="shared" ref="E164" si="129">(269320097.01/16)*D164</f>
        <v>100995036.37875</v>
      </c>
      <c r="F164" s="3">
        <f t="shared" ref="F164:F166" si="130">(C164*D164)-E164</f>
        <v>24464963.621250004</v>
      </c>
      <c r="G164" s="8">
        <f t="shared" ref="G164:G166" si="131">F164/(E164+F164)</f>
        <v>0.19500210123744624</v>
      </c>
    </row>
    <row r="165" spans="1:10" x14ac:dyDescent="0.25">
      <c r="A165" s="47">
        <v>44688</v>
      </c>
      <c r="B165" t="s">
        <v>299</v>
      </c>
      <c r="C165" s="3">
        <v>13830000</v>
      </c>
      <c r="D165" s="3">
        <v>1</v>
      </c>
      <c r="E165" s="3">
        <f>187561221.05*(D165/16)</f>
        <v>11722576.315625001</v>
      </c>
      <c r="F165" s="3">
        <f t="shared" si="130"/>
        <v>2107423.6843749993</v>
      </c>
      <c r="G165" s="8">
        <f t="shared" si="131"/>
        <v>0.15238059901482279</v>
      </c>
    </row>
    <row r="166" spans="1:10" x14ac:dyDescent="0.25">
      <c r="A166" s="47">
        <v>44688</v>
      </c>
      <c r="B166" t="s">
        <v>191</v>
      </c>
      <c r="C166" s="3">
        <v>16990000</v>
      </c>
      <c r="D166" s="3">
        <v>2</v>
      </c>
      <c r="E166" s="3">
        <f>180501858.01*(D166/16)</f>
        <v>22562732.251249999</v>
      </c>
      <c r="F166" s="3">
        <f t="shared" si="130"/>
        <v>11417267.748750001</v>
      </c>
      <c r="G166" s="8">
        <f t="shared" si="131"/>
        <v>0.33599963945703359</v>
      </c>
    </row>
    <row r="167" spans="1:10" x14ac:dyDescent="0.25">
      <c r="A167" s="47">
        <v>44688</v>
      </c>
      <c r="B167" t="s">
        <v>191</v>
      </c>
      <c r="C167" s="3">
        <v>16930000</v>
      </c>
      <c r="D167" s="3">
        <v>11</v>
      </c>
      <c r="E167" s="3">
        <f>180501858.01*(D167/16)</f>
        <v>124095027.38187499</v>
      </c>
      <c r="F167" s="3">
        <f t="shared" ref="F167" si="132">(C167*D167)-E167</f>
        <v>62134972.618125007</v>
      </c>
      <c r="G167" s="8">
        <f t="shared" ref="G167" si="133">F167/(E167+F167)</f>
        <v>0.33364641904164211</v>
      </c>
    </row>
    <row r="168" spans="1:10" x14ac:dyDescent="0.25">
      <c r="A168" s="47">
        <v>44688</v>
      </c>
      <c r="B168" t="s">
        <v>191</v>
      </c>
      <c r="C168" s="3">
        <v>16930000</v>
      </c>
      <c r="D168" s="3">
        <v>1</v>
      </c>
      <c r="E168" s="3">
        <f>180501858.01*(D168/16)</f>
        <v>11281366.125624999</v>
      </c>
      <c r="F168" s="3">
        <f t="shared" ref="F168" si="134">(C168*D168)-E168</f>
        <v>5648633.8743750006</v>
      </c>
      <c r="G168" s="8">
        <f t="shared" ref="G168" si="135">F168/(E168+F168)</f>
        <v>0.33364641904164211</v>
      </c>
    </row>
    <row r="169" spans="1:10" x14ac:dyDescent="0.25">
      <c r="A169" s="47">
        <v>44688</v>
      </c>
      <c r="B169" t="s">
        <v>191</v>
      </c>
      <c r="C169" s="3">
        <v>17940000</v>
      </c>
      <c r="D169" s="3">
        <v>1</v>
      </c>
      <c r="E169" s="3">
        <f>180501858.01*(D169/16)</f>
        <v>11281366.125624999</v>
      </c>
      <c r="F169" s="3">
        <f t="shared" ref="F169" si="136">(C169*D169)-E169</f>
        <v>6658633.8743750006</v>
      </c>
      <c r="G169" s="8">
        <f t="shared" ref="G169" si="137">F169/(E169+F169)</f>
        <v>0.3711613084935898</v>
      </c>
    </row>
    <row r="170" spans="1:10" x14ac:dyDescent="0.25">
      <c r="A170" s="47">
        <v>44688</v>
      </c>
      <c r="B170" t="s">
        <v>191</v>
      </c>
      <c r="C170" s="3">
        <v>17930000</v>
      </c>
      <c r="D170" s="3">
        <v>1</v>
      </c>
      <c r="E170" s="3">
        <f>180501858.01*(D170/16)</f>
        <v>11281366.125624999</v>
      </c>
      <c r="F170" s="3">
        <f t="shared" ref="F170:F174" si="138">(C170*D170)-E170</f>
        <v>6648633.8743750006</v>
      </c>
      <c r="G170" s="8">
        <f t="shared" ref="G170:G174" si="139">F170/(E170+F170)</f>
        <v>0.37081058975878417</v>
      </c>
    </row>
    <row r="171" spans="1:10" x14ac:dyDescent="0.25">
      <c r="A171" s="47">
        <v>44695</v>
      </c>
      <c r="B171" t="s">
        <v>191</v>
      </c>
      <c r="C171" s="3">
        <v>18670000</v>
      </c>
      <c r="D171" s="3">
        <v>2</v>
      </c>
      <c r="E171" s="3">
        <f t="shared" ref="E171:E176" si="140">168760565.29*(D171/16)</f>
        <v>21095070.661249999</v>
      </c>
      <c r="F171" s="3">
        <f t="shared" si="138"/>
        <v>16244929.338750001</v>
      </c>
      <c r="G171" s="8">
        <f t="shared" si="139"/>
        <v>0.43505434758302092</v>
      </c>
      <c r="J171" s="2"/>
    </row>
    <row r="172" spans="1:10" x14ac:dyDescent="0.25">
      <c r="A172" s="47">
        <v>44695</v>
      </c>
      <c r="B172" t="s">
        <v>191</v>
      </c>
      <c r="C172" s="3">
        <v>17000000</v>
      </c>
      <c r="D172" s="3">
        <v>1</v>
      </c>
      <c r="E172" s="3">
        <f t="shared" si="140"/>
        <v>10547535.330624999</v>
      </c>
      <c r="F172" s="3">
        <f t="shared" si="138"/>
        <v>6452464.6693750005</v>
      </c>
      <c r="G172" s="8">
        <f t="shared" si="139"/>
        <v>0.37955674525735295</v>
      </c>
    </row>
    <row r="173" spans="1:10" x14ac:dyDescent="0.25">
      <c r="A173" s="47">
        <v>44695</v>
      </c>
      <c r="B173" t="s">
        <v>191</v>
      </c>
      <c r="C173" s="3">
        <v>16890000</v>
      </c>
      <c r="D173" s="3">
        <v>4</v>
      </c>
      <c r="E173" s="3">
        <f t="shared" si="140"/>
        <v>42190141.322499998</v>
      </c>
      <c r="F173" s="3">
        <f t="shared" si="138"/>
        <v>25369858.677500002</v>
      </c>
      <c r="G173" s="8">
        <f t="shared" si="139"/>
        <v>0.37551596621521616</v>
      </c>
    </row>
    <row r="174" spans="1:10" x14ac:dyDescent="0.25">
      <c r="A174" s="47">
        <v>44695</v>
      </c>
      <c r="B174" t="s">
        <v>191</v>
      </c>
      <c r="C174" s="3">
        <v>15500000</v>
      </c>
      <c r="D174" s="3">
        <v>5</v>
      </c>
      <c r="E174" s="3">
        <f t="shared" si="140"/>
        <v>52737676.653124996</v>
      </c>
      <c r="F174" s="3">
        <f t="shared" si="138"/>
        <v>24762323.346875004</v>
      </c>
      <c r="G174" s="8">
        <f t="shared" si="139"/>
        <v>0.31951384963709684</v>
      </c>
    </row>
    <row r="175" spans="1:10" x14ac:dyDescent="0.25">
      <c r="A175" s="47">
        <v>44695</v>
      </c>
      <c r="B175" t="s">
        <v>191</v>
      </c>
      <c r="C175" s="3">
        <v>15390000</v>
      </c>
      <c r="D175" s="3">
        <v>3</v>
      </c>
      <c r="E175" s="3">
        <f t="shared" si="140"/>
        <v>31642605.991875</v>
      </c>
      <c r="F175" s="3">
        <f t="shared" ref="F175:F178" si="141">(C175*D175)-E175</f>
        <v>14527394.008125</v>
      </c>
      <c r="G175" s="8">
        <f t="shared" ref="G175:G178" si="142">F175/(E175+F175)</f>
        <v>0.314650075982781</v>
      </c>
    </row>
    <row r="176" spans="1:10" x14ac:dyDescent="0.25">
      <c r="A176" s="47">
        <v>44695</v>
      </c>
      <c r="B176" t="s">
        <v>191</v>
      </c>
      <c r="C176" s="3">
        <v>15400000</v>
      </c>
      <c r="D176" s="3">
        <v>1</v>
      </c>
      <c r="E176" s="3">
        <f t="shared" si="140"/>
        <v>10547535.330624999</v>
      </c>
      <c r="F176" s="3">
        <f t="shared" si="141"/>
        <v>4852464.6693750005</v>
      </c>
      <c r="G176" s="8">
        <f t="shared" si="142"/>
        <v>0.31509510840097404</v>
      </c>
    </row>
    <row r="177" spans="1:11" x14ac:dyDescent="0.25">
      <c r="A177" s="47">
        <v>44706</v>
      </c>
      <c r="B177" t="s">
        <v>299</v>
      </c>
      <c r="C177" s="3">
        <v>15500000</v>
      </c>
      <c r="D177" s="3">
        <v>3</v>
      </c>
      <c r="E177" s="3">
        <f>181348407.51*(D177/16)</f>
        <v>34002826.408124998</v>
      </c>
      <c r="F177" s="3">
        <f t="shared" si="141"/>
        <v>12497173.591875002</v>
      </c>
      <c r="G177" s="8">
        <f t="shared" si="142"/>
        <v>0.2687564213306452</v>
      </c>
    </row>
    <row r="178" spans="1:11" x14ac:dyDescent="0.25">
      <c r="A178" s="47">
        <v>44706</v>
      </c>
      <c r="B178" t="s">
        <v>238</v>
      </c>
      <c r="C178" s="3">
        <v>15120000</v>
      </c>
      <c r="D178" s="3">
        <v>4</v>
      </c>
      <c r="E178" s="3">
        <f>160571426.84*(D178/16)</f>
        <v>40142856.710000001</v>
      </c>
      <c r="F178" s="3">
        <f t="shared" si="141"/>
        <v>20337143.289999999</v>
      </c>
      <c r="G178" s="8">
        <f t="shared" si="142"/>
        <v>0.33626228984788359</v>
      </c>
    </row>
    <row r="179" spans="1:11" x14ac:dyDescent="0.25">
      <c r="A179" s="47">
        <v>44706</v>
      </c>
      <c r="B179" t="s">
        <v>238</v>
      </c>
      <c r="C179" s="3">
        <v>15110000</v>
      </c>
      <c r="D179" s="3">
        <v>1</v>
      </c>
      <c r="E179" s="3">
        <f t="shared" ref="E179:E182" si="143">160571426.84*(D179/16)</f>
        <v>10035714.1775</v>
      </c>
      <c r="F179" s="3">
        <f t="shared" ref="F179:F183" si="144">(C179*D179)-E179</f>
        <v>5074285.8224999998</v>
      </c>
      <c r="G179" s="8">
        <f t="shared" ref="G179:G183" si="145">F179/(E179+F179)</f>
        <v>0.33582301935804104</v>
      </c>
    </row>
    <row r="180" spans="1:11" x14ac:dyDescent="0.25">
      <c r="A180" s="47">
        <v>44706</v>
      </c>
      <c r="B180" t="s">
        <v>238</v>
      </c>
      <c r="C180" s="3">
        <v>15070000</v>
      </c>
      <c r="D180" s="3">
        <v>1</v>
      </c>
      <c r="E180" s="3">
        <f t="shared" si="143"/>
        <v>10035714.1775</v>
      </c>
      <c r="F180" s="3">
        <f t="shared" si="144"/>
        <v>5034285.8224999998</v>
      </c>
      <c r="G180" s="8">
        <f t="shared" si="145"/>
        <v>0.33406010766423355</v>
      </c>
    </row>
    <row r="181" spans="1:11" x14ac:dyDescent="0.25">
      <c r="A181" s="47">
        <v>44706</v>
      </c>
      <c r="B181" t="s">
        <v>238</v>
      </c>
      <c r="C181" s="3">
        <v>14800000</v>
      </c>
      <c r="D181" s="3">
        <v>1</v>
      </c>
      <c r="E181" s="3">
        <f t="shared" si="143"/>
        <v>10035714.1775</v>
      </c>
      <c r="F181" s="3">
        <f t="shared" si="144"/>
        <v>4764285.8224999998</v>
      </c>
      <c r="G181" s="8">
        <f t="shared" si="145"/>
        <v>0.32191120422297298</v>
      </c>
    </row>
    <row r="182" spans="1:11" x14ac:dyDescent="0.25">
      <c r="A182" s="47">
        <v>44706</v>
      </c>
      <c r="B182" t="s">
        <v>238</v>
      </c>
      <c r="C182" s="3">
        <v>14220000</v>
      </c>
      <c r="D182" s="3">
        <v>9</v>
      </c>
      <c r="E182" s="3">
        <f t="shared" si="143"/>
        <v>90321427.597499996</v>
      </c>
      <c r="F182" s="3">
        <f t="shared" si="144"/>
        <v>37658572.402500004</v>
      </c>
      <c r="G182" s="8">
        <f t="shared" si="145"/>
        <v>0.2942535740154712</v>
      </c>
    </row>
    <row r="183" spans="1:11" x14ac:dyDescent="0.25">
      <c r="A183" s="47">
        <v>44707</v>
      </c>
      <c r="B183" t="s">
        <v>299</v>
      </c>
      <c r="C183" s="3">
        <v>14500000</v>
      </c>
      <c r="D183" s="3">
        <v>1</v>
      </c>
      <c r="E183" s="3">
        <f>181348407.51*(D183/16)</f>
        <v>11334275.469374999</v>
      </c>
      <c r="F183" s="3">
        <f t="shared" si="144"/>
        <v>3165724.5306250006</v>
      </c>
      <c r="G183" s="8">
        <f t="shared" si="145"/>
        <v>0.21832582969827591</v>
      </c>
    </row>
    <row r="184" spans="1:11" x14ac:dyDescent="0.25">
      <c r="A184" s="47">
        <v>44709</v>
      </c>
      <c r="B184" t="s">
        <v>299</v>
      </c>
      <c r="C184" s="3">
        <v>14500000</v>
      </c>
      <c r="D184" s="3">
        <v>1</v>
      </c>
      <c r="E184" s="3">
        <f>181348407.51*(D184/16)</f>
        <v>11334275.469374999</v>
      </c>
      <c r="F184" s="3">
        <f t="shared" ref="F184" si="146">(C184*D184)-E184</f>
        <v>3165724.5306250006</v>
      </c>
      <c r="G184" s="8">
        <f t="shared" ref="G184" si="147">F184/(E184+F184)</f>
        <v>0.21832582969827591</v>
      </c>
    </row>
    <row r="185" spans="1:11" x14ac:dyDescent="0.25">
      <c r="A185" s="47">
        <v>44709</v>
      </c>
      <c r="B185" t="s">
        <v>299</v>
      </c>
      <c r="C185" s="3">
        <v>14210000</v>
      </c>
      <c r="D185" s="3">
        <v>11</v>
      </c>
      <c r="E185" s="3">
        <f>181348407.51*(D185/16)</f>
        <v>124677030.16312499</v>
      </c>
      <c r="F185" s="3">
        <f t="shared" ref="F185:F188" si="148">(C185*D185)-E185</f>
        <v>31632969.836875007</v>
      </c>
      <c r="G185" s="8">
        <f t="shared" ref="G185:G188" si="149">F185/(E185+F185)</f>
        <v>0.20237329561048562</v>
      </c>
    </row>
    <row r="186" spans="1:11" x14ac:dyDescent="0.25">
      <c r="E186" s="3" cm="1">
        <f t="array" ref="E186">SUM(ABS(E152:E185))</f>
        <v>1225337037.2431252</v>
      </c>
      <c r="F186" s="3" cm="1">
        <f t="array" ref="F186">SUM(ABS(F152:F185))</f>
        <v>479492962.75687498</v>
      </c>
      <c r="G186" s="8"/>
      <c r="J186" s="8">
        <f>F186/(F186+E186)</f>
        <v>0.28125558721800703</v>
      </c>
      <c r="K186" s="3">
        <f>F186+E186</f>
        <v>1704830000.0000002</v>
      </c>
    </row>
    <row r="187" spans="1:11" x14ac:dyDescent="0.25">
      <c r="A187" s="47">
        <v>44730</v>
      </c>
      <c r="B187" t="s">
        <v>191</v>
      </c>
      <c r="C187" s="3">
        <v>18200000</v>
      </c>
      <c r="D187" s="3">
        <v>4</v>
      </c>
      <c r="E187" s="3">
        <f>181554810.33*(D187/16)</f>
        <v>45388702.582500003</v>
      </c>
      <c r="F187" s="3">
        <f t="shared" si="148"/>
        <v>27411297.417499997</v>
      </c>
      <c r="G187" s="8">
        <f t="shared" si="149"/>
        <v>0.37652881067994504</v>
      </c>
    </row>
    <row r="188" spans="1:11" x14ac:dyDescent="0.25">
      <c r="A188" s="47">
        <v>44730</v>
      </c>
      <c r="B188" t="s">
        <v>334</v>
      </c>
      <c r="C188" s="3">
        <v>21420000</v>
      </c>
      <c r="D188" s="3">
        <v>3</v>
      </c>
      <c r="E188" s="3">
        <f>264639217.98*(D188/16)</f>
        <v>49619853.371249996</v>
      </c>
      <c r="F188" s="3">
        <f t="shared" si="148"/>
        <v>14640146.628750004</v>
      </c>
      <c r="G188" s="8">
        <f t="shared" si="149"/>
        <v>0.22782674492296925</v>
      </c>
    </row>
    <row r="189" spans="1:11" x14ac:dyDescent="0.25">
      <c r="A189" s="47">
        <v>44730</v>
      </c>
      <c r="B189" t="s">
        <v>191</v>
      </c>
      <c r="C189" s="3">
        <v>18180000</v>
      </c>
      <c r="D189" s="3">
        <v>3</v>
      </c>
      <c r="E189" s="3">
        <f>181554810.33*(D189/16)</f>
        <v>34041526.936875001</v>
      </c>
      <c r="F189" s="3">
        <f t="shared" ref="F189" si="150">(C189*D189)-E189</f>
        <v>20498473.063124999</v>
      </c>
      <c r="G189" s="8">
        <f t="shared" ref="G189" si="151">F189/(E189+F189)</f>
        <v>0.37584292378300327</v>
      </c>
    </row>
    <row r="190" spans="1:11" x14ac:dyDescent="0.25">
      <c r="A190" s="47">
        <v>44730</v>
      </c>
      <c r="B190" t="s">
        <v>191</v>
      </c>
      <c r="C190" s="3">
        <v>18180000</v>
      </c>
      <c r="D190" s="3">
        <v>5</v>
      </c>
      <c r="E190" s="3">
        <f t="shared" ref="E190:E191" si="152">181554810.33*(D190/16)</f>
        <v>56735878.228125006</v>
      </c>
      <c r="F190" s="3">
        <f t="shared" ref="F190:F197" si="153">(C190*D190)-E190</f>
        <v>34164121.771874994</v>
      </c>
      <c r="G190" s="8">
        <f t="shared" ref="G190:G197" si="154">F190/(E190+F190)</f>
        <v>0.37584292378300321</v>
      </c>
    </row>
    <row r="191" spans="1:11" x14ac:dyDescent="0.25">
      <c r="A191" s="47">
        <v>44730</v>
      </c>
      <c r="B191" t="s">
        <v>191</v>
      </c>
      <c r="C191" s="3">
        <v>18150000</v>
      </c>
      <c r="D191" s="3">
        <v>1</v>
      </c>
      <c r="E191" s="3">
        <f t="shared" si="152"/>
        <v>11347175.645625001</v>
      </c>
      <c r="F191" s="3">
        <f t="shared" si="153"/>
        <v>6802824.3543749992</v>
      </c>
      <c r="G191" s="8">
        <f t="shared" si="154"/>
        <v>0.37481125919421482</v>
      </c>
    </row>
    <row r="192" spans="1:11" x14ac:dyDescent="0.25">
      <c r="A192" s="47">
        <v>44730</v>
      </c>
      <c r="B192" t="s">
        <v>334</v>
      </c>
      <c r="C192" s="3">
        <v>21440000</v>
      </c>
      <c r="D192" s="3">
        <v>2</v>
      </c>
      <c r="E192" s="3">
        <f>264639217.98*(D192/16)</f>
        <v>33079902.247499999</v>
      </c>
      <c r="F192" s="3">
        <f t="shared" si="153"/>
        <v>9800097.7525000013</v>
      </c>
      <c r="G192" s="8">
        <f t="shared" si="154"/>
        <v>0.22854705579524257</v>
      </c>
    </row>
    <row r="193" spans="1:11" x14ac:dyDescent="0.25">
      <c r="A193" s="47">
        <v>44730</v>
      </c>
      <c r="B193" t="s">
        <v>334</v>
      </c>
      <c r="C193" s="3">
        <v>21430000</v>
      </c>
      <c r="D193" s="3">
        <v>9</v>
      </c>
      <c r="E193" s="3">
        <f>264639217.98*(D193/16)</f>
        <v>148859560.11374998</v>
      </c>
      <c r="F193" s="3">
        <f>(C193*D193)-E193</f>
        <v>44010439.886250019</v>
      </c>
      <c r="G193" s="8">
        <f t="shared" si="154"/>
        <v>0.22818706842043873</v>
      </c>
    </row>
    <row r="194" spans="1:11" x14ac:dyDescent="0.25">
      <c r="A194" s="47">
        <v>44730</v>
      </c>
      <c r="B194" t="s">
        <v>334</v>
      </c>
      <c r="C194" s="3">
        <v>21410000</v>
      </c>
      <c r="D194" s="3">
        <v>1</v>
      </c>
      <c r="E194" s="3">
        <f t="shared" ref="E194:E195" si="155">264639217.98*(D194/16)</f>
        <v>16539951.123749999</v>
      </c>
      <c r="F194" s="3">
        <f t="shared" si="153"/>
        <v>4870048.8762500007</v>
      </c>
      <c r="G194" s="8">
        <f t="shared" si="154"/>
        <v>0.22746608483185429</v>
      </c>
    </row>
    <row r="195" spans="1:11" x14ac:dyDescent="0.25">
      <c r="A195" s="47">
        <v>44730</v>
      </c>
      <c r="B195" t="s">
        <v>334</v>
      </c>
      <c r="C195" s="3">
        <v>21370000</v>
      </c>
      <c r="D195" s="3">
        <v>1</v>
      </c>
      <c r="E195" s="3">
        <f t="shared" si="155"/>
        <v>16539951.123749999</v>
      </c>
      <c r="F195" s="3">
        <f t="shared" si="153"/>
        <v>4830048.8762500007</v>
      </c>
      <c r="G195" s="8">
        <f t="shared" si="154"/>
        <v>0.22602006908048669</v>
      </c>
    </row>
    <row r="196" spans="1:11" x14ac:dyDescent="0.25">
      <c r="A196" s="47">
        <v>44731</v>
      </c>
      <c r="B196" t="s">
        <v>191</v>
      </c>
      <c r="C196" s="3">
        <v>17810000</v>
      </c>
      <c r="D196" s="3">
        <v>1</v>
      </c>
      <c r="E196" s="3">
        <f t="shared" ref="E196:E197" si="156">181554810.33*(D196/16)</f>
        <v>11347175.645625001</v>
      </c>
      <c r="F196" s="3">
        <f t="shared" si="153"/>
        <v>6462824.3543749992</v>
      </c>
      <c r="G196" s="8">
        <f t="shared" si="154"/>
        <v>0.36287615689921388</v>
      </c>
    </row>
    <row r="197" spans="1:11" x14ac:dyDescent="0.25">
      <c r="A197" s="47">
        <v>44731</v>
      </c>
      <c r="B197" t="s">
        <v>191</v>
      </c>
      <c r="C197" s="3">
        <v>17800000</v>
      </c>
      <c r="D197" s="3">
        <v>2</v>
      </c>
      <c r="E197" s="3">
        <f t="shared" si="156"/>
        <v>22694351.291250002</v>
      </c>
      <c r="F197" s="3">
        <f t="shared" si="153"/>
        <v>12905648.708749998</v>
      </c>
      <c r="G197" s="8">
        <f t="shared" si="154"/>
        <v>0.36251822215589885</v>
      </c>
    </row>
    <row r="198" spans="1:11" x14ac:dyDescent="0.25">
      <c r="A198" s="47">
        <v>44731</v>
      </c>
      <c r="B198" t="s">
        <v>170</v>
      </c>
      <c r="C198" s="3">
        <v>19430000</v>
      </c>
      <c r="D198" s="3">
        <v>1</v>
      </c>
      <c r="E198" s="3">
        <f>201340904.84*(D198/16)</f>
        <v>12583806.5525</v>
      </c>
      <c r="F198" s="3">
        <f t="shared" ref="F198" si="157">(C198*D198)-E198</f>
        <v>6846193.4474999998</v>
      </c>
      <c r="G198" s="8">
        <f t="shared" ref="G198" si="158">F198/(E198+F198)</f>
        <v>0.35235169570252184</v>
      </c>
    </row>
    <row r="199" spans="1:11" x14ac:dyDescent="0.25">
      <c r="A199" s="47">
        <v>44731</v>
      </c>
      <c r="B199" t="s">
        <v>170</v>
      </c>
      <c r="C199" s="3">
        <v>19420000</v>
      </c>
      <c r="D199" s="3">
        <v>1</v>
      </c>
      <c r="E199" s="3">
        <f>201340904.84*(D199/16)</f>
        <v>12583806.5525</v>
      </c>
      <c r="F199" s="3">
        <f t="shared" ref="F199" si="159">(C199*D199)-E199</f>
        <v>6836193.4474999998</v>
      </c>
      <c r="G199" s="8">
        <f t="shared" ref="G199" si="160">F199/(E199+F199)</f>
        <v>0.35201820018022656</v>
      </c>
    </row>
    <row r="200" spans="1:11" x14ac:dyDescent="0.25">
      <c r="A200" s="47">
        <v>44734</v>
      </c>
      <c r="B200" t="s">
        <v>170</v>
      </c>
      <c r="C200" s="3">
        <v>19460000</v>
      </c>
      <c r="D200" s="3">
        <v>1</v>
      </c>
      <c r="E200" s="3">
        <f>201340904.84*(D200/16)</f>
        <v>12583806.5525</v>
      </c>
      <c r="F200" s="3">
        <f t="shared" ref="F200" si="161">(C200*D200)-E200</f>
        <v>6876193.4474999998</v>
      </c>
      <c r="G200" s="8">
        <f t="shared" ref="G200" si="162">F200/(E200+F200)</f>
        <v>0.35335012577081193</v>
      </c>
    </row>
    <row r="201" spans="1:11" x14ac:dyDescent="0.25">
      <c r="A201" s="47">
        <v>44734</v>
      </c>
      <c r="B201" t="s">
        <v>170</v>
      </c>
      <c r="C201" s="3">
        <v>19430000</v>
      </c>
      <c r="D201" s="3">
        <v>11</v>
      </c>
      <c r="E201" s="3">
        <f>201340904.84*(D201/16)</f>
        <v>138421872.07750002</v>
      </c>
      <c r="F201" s="3">
        <f t="shared" ref="F201" si="163">(C201*D201)-E201</f>
        <v>75308127.922499985</v>
      </c>
      <c r="G201" s="8">
        <f t="shared" ref="G201" si="164">F201/(E201+F201)</f>
        <v>0.35235169570252178</v>
      </c>
    </row>
    <row r="202" spans="1:11" x14ac:dyDescent="0.25">
      <c r="A202" s="47">
        <v>44737</v>
      </c>
      <c r="B202" t="s">
        <v>170</v>
      </c>
      <c r="C202" s="3">
        <v>17100000</v>
      </c>
      <c r="D202" s="3">
        <v>2</v>
      </c>
      <c r="E202" s="3">
        <f>201340904.84*(D202/16)</f>
        <v>25167613.105</v>
      </c>
      <c r="F202" s="3">
        <f t="shared" ref="F202" si="165">(C202*D202)-E202</f>
        <v>9032386.8949999996</v>
      </c>
      <c r="G202" s="8">
        <f t="shared" ref="G202" si="166">F202/(E202+F202)</f>
        <v>0.26410487997076021</v>
      </c>
    </row>
    <row r="203" spans="1:11" x14ac:dyDescent="0.25">
      <c r="E203" s="3">
        <f>SUM(E187:E202)</f>
        <v>647534933.14999998</v>
      </c>
      <c r="F203" s="3">
        <f>SUM(F187:F202)</f>
        <v>291295066.84999996</v>
      </c>
      <c r="J203" s="8">
        <f>F203/(F203+E203)</f>
        <v>0.31027456179500013</v>
      </c>
      <c r="K203" s="3">
        <f>F203+E203</f>
        <v>938830000</v>
      </c>
    </row>
    <row r="204" spans="1:11" x14ac:dyDescent="0.25">
      <c r="A204" s="47">
        <v>44761</v>
      </c>
      <c r="B204" t="s">
        <v>191</v>
      </c>
      <c r="C204" s="3">
        <v>16710000</v>
      </c>
      <c r="D204" s="3">
        <v>12</v>
      </c>
      <c r="E204" s="3">
        <f>182991475.75*(D204/16)</f>
        <v>137243606.8125</v>
      </c>
      <c r="F204" s="3">
        <f t="shared" ref="F204" si="167">(C204*D204)-E204</f>
        <v>63276393.1875</v>
      </c>
      <c r="G204" s="8">
        <f t="shared" ref="G204" si="168">F204/(E204+F204)</f>
        <v>0.31556150602184319</v>
      </c>
    </row>
    <row r="205" spans="1:11" x14ac:dyDescent="0.25">
      <c r="A205" s="47">
        <v>44761</v>
      </c>
      <c r="B205" t="s">
        <v>191</v>
      </c>
      <c r="C205" s="3">
        <v>16720000</v>
      </c>
      <c r="D205" s="3">
        <v>4</v>
      </c>
      <c r="E205" s="3">
        <f>182991475.75*(D205/16)</f>
        <v>45747868.9375</v>
      </c>
      <c r="F205" s="3">
        <f t="shared" ref="F205" si="169">(C205*D205)-E205</f>
        <v>21132131.0625</v>
      </c>
      <c r="G205" s="8">
        <f t="shared" ref="G205" si="170">F205/(E205+F205)</f>
        <v>0.31597085918809809</v>
      </c>
    </row>
    <row r="206" spans="1:11" x14ac:dyDescent="0.25">
      <c r="A206" s="47">
        <v>44773</v>
      </c>
      <c r="B206" t="s">
        <v>193</v>
      </c>
      <c r="C206" s="3">
        <v>18500000</v>
      </c>
      <c r="D206" s="3">
        <v>1</v>
      </c>
      <c r="E206" s="3">
        <f>215012869.51*(D206/16)</f>
        <v>13438304.344374999</v>
      </c>
      <c r="F206" s="3">
        <f t="shared" ref="F206" si="171">(C206*D206)-E206</f>
        <v>5061695.6556250006</v>
      </c>
      <c r="G206" s="8">
        <f t="shared" ref="G206" si="172">F206/(E206+F206)</f>
        <v>0.27360517057432437</v>
      </c>
    </row>
    <row r="207" spans="1:11" x14ac:dyDescent="0.25">
      <c r="A207" s="47">
        <v>44773</v>
      </c>
      <c r="B207" t="s">
        <v>193</v>
      </c>
      <c r="C207" s="3">
        <v>16000000</v>
      </c>
      <c r="D207" s="3">
        <v>2</v>
      </c>
      <c r="E207" s="3">
        <f>215012869.51*(D207/16)</f>
        <v>26876608.688749999</v>
      </c>
      <c r="F207" s="3">
        <f t="shared" ref="F207" si="173">(C207*D207)-E207</f>
        <v>5123391.3112500012</v>
      </c>
      <c r="G207" s="8">
        <f t="shared" ref="G207" si="174">F207/(E207+F207)</f>
        <v>0.16010597847656255</v>
      </c>
    </row>
    <row r="208" spans="1:11" x14ac:dyDescent="0.25">
      <c r="A208" s="47">
        <v>44773</v>
      </c>
      <c r="B208" t="s">
        <v>193</v>
      </c>
      <c r="C208" s="3">
        <v>15840000</v>
      </c>
      <c r="D208" s="3">
        <v>8</v>
      </c>
      <c r="E208" s="3">
        <f>215012869.51*(D208/16)</f>
        <v>107506434.755</v>
      </c>
      <c r="F208" s="3">
        <f t="shared" ref="F208" si="175">(C208*D208)-E208</f>
        <v>19213565.245000005</v>
      </c>
      <c r="G208" s="8">
        <f t="shared" ref="G208" si="176">F208/(E208+F208)</f>
        <v>0.15162220048137631</v>
      </c>
    </row>
    <row r="209" spans="1:11" x14ac:dyDescent="0.25">
      <c r="A209" s="47">
        <v>44773</v>
      </c>
      <c r="B209" t="s">
        <v>193</v>
      </c>
      <c r="C209" s="3">
        <v>15830000</v>
      </c>
      <c r="D209" s="3">
        <v>1</v>
      </c>
      <c r="E209" s="3">
        <f>215012869.51*(D209/16)</f>
        <v>13438304.344374999</v>
      </c>
      <c r="F209" s="3">
        <f t="shared" ref="F209" si="177">(C209*D209)-E209</f>
        <v>2391695.6556250006</v>
      </c>
      <c r="G209" s="8">
        <f t="shared" ref="G209" si="178">F209/(E209+F209)</f>
        <v>0.1510862700963361</v>
      </c>
    </row>
    <row r="210" spans="1:11" x14ac:dyDescent="0.25">
      <c r="A210" s="47">
        <v>44773</v>
      </c>
      <c r="B210" t="s">
        <v>193</v>
      </c>
      <c r="C210" s="3">
        <v>15730000</v>
      </c>
      <c r="D210" s="3">
        <v>4</v>
      </c>
      <c r="E210" s="3">
        <f>215012869.51*(D210/16)</f>
        <v>53753217.377499998</v>
      </c>
      <c r="F210" s="3">
        <f t="shared" ref="F210:F211" si="179">(C210*D210)-E210</f>
        <v>9166782.6225000024</v>
      </c>
      <c r="G210" s="8">
        <f t="shared" ref="G210:G211" si="180">F210/(E210+F210)</f>
        <v>0.14568948859663067</v>
      </c>
    </row>
    <row r="211" spans="1:11" x14ac:dyDescent="0.25">
      <c r="A211" s="47">
        <v>44773</v>
      </c>
      <c r="B211" t="s">
        <v>191</v>
      </c>
      <c r="C211" s="3">
        <v>18000000</v>
      </c>
      <c r="D211" s="3">
        <v>2</v>
      </c>
      <c r="E211" s="3">
        <f>182368384.62*(D211/15)</f>
        <v>24315784.616</v>
      </c>
      <c r="F211" s="3">
        <f t="shared" si="179"/>
        <v>11684215.384</v>
      </c>
      <c r="G211" s="8">
        <f t="shared" si="180"/>
        <v>0.32456153844444441</v>
      </c>
    </row>
    <row r="212" spans="1:11" x14ac:dyDescent="0.25">
      <c r="A212" s="47">
        <v>44773</v>
      </c>
      <c r="B212" t="s">
        <v>191</v>
      </c>
      <c r="C212" s="3">
        <v>17950000</v>
      </c>
      <c r="D212" s="3">
        <v>1</v>
      </c>
      <c r="E212" s="3">
        <f>182368384.62*(D212/15)</f>
        <v>12157892.308</v>
      </c>
      <c r="F212" s="3">
        <f t="shared" ref="F212" si="181">(C212*D212)-E212</f>
        <v>5792107.6919999998</v>
      </c>
      <c r="G212" s="8">
        <f t="shared" ref="G212" si="182">F212/(E212+F212)</f>
        <v>0.32268009426183841</v>
      </c>
    </row>
    <row r="213" spans="1:11" x14ac:dyDescent="0.25">
      <c r="A213" s="47">
        <v>44773</v>
      </c>
      <c r="B213" t="s">
        <v>191</v>
      </c>
      <c r="C213" s="3">
        <v>17910000</v>
      </c>
      <c r="D213" s="3">
        <v>4</v>
      </c>
      <c r="E213" s="3">
        <f>182368384.62*(D213/15)</f>
        <v>48631569.232000001</v>
      </c>
      <c r="F213" s="3">
        <f t="shared" ref="F213" si="183">(C213*D213)-E213</f>
        <v>23008430.767999999</v>
      </c>
      <c r="G213" s="8">
        <f t="shared" ref="G213" si="184">F213/(E213+F213)</f>
        <v>0.32116737532104966</v>
      </c>
    </row>
    <row r="214" spans="1:11" x14ac:dyDescent="0.25">
      <c r="E214" s="3">
        <f>SUM(E204:E213)</f>
        <v>483109591.41600007</v>
      </c>
      <c r="F214" s="3">
        <f>SUM(F204:F213)</f>
        <v>165850408.58400002</v>
      </c>
      <c r="J214" s="8">
        <f>F214/(F214+E214)</f>
        <v>0.25556337614644969</v>
      </c>
      <c r="K214" s="3">
        <f>F214+E214</f>
        <v>648960000.00000012</v>
      </c>
    </row>
    <row r="215" spans="1:11" x14ac:dyDescent="0.25">
      <c r="A215" s="47">
        <v>44779</v>
      </c>
      <c r="B215" t="s">
        <v>191</v>
      </c>
      <c r="C215" s="3">
        <v>17910000</v>
      </c>
      <c r="D215" s="3">
        <v>1</v>
      </c>
      <c r="E215" s="3">
        <f>182368384.62*(D215/15)</f>
        <v>12157892.308</v>
      </c>
      <c r="F215" s="3">
        <f>(C215*D215)-E215</f>
        <v>5752107.6919999998</v>
      </c>
      <c r="G215" s="8">
        <f t="shared" ref="G215:G218" si="185">F215/(E215+F215)</f>
        <v>0.32116737532104966</v>
      </c>
    </row>
    <row r="216" spans="1:11" x14ac:dyDescent="0.25">
      <c r="A216" s="47">
        <v>44779</v>
      </c>
      <c r="B216" t="s">
        <v>191</v>
      </c>
      <c r="C216" s="3">
        <v>15430000</v>
      </c>
      <c r="D216" s="3">
        <v>2</v>
      </c>
      <c r="E216" s="3">
        <f>182368384.62*(D216/15)</f>
        <v>24315784.616</v>
      </c>
      <c r="F216" s="3">
        <f t="shared" ref="F216:F218" si="186">(C216*D216)-E216</f>
        <v>6544215.3839999996</v>
      </c>
      <c r="G216" s="8">
        <f t="shared" si="185"/>
        <v>0.21206141879455603</v>
      </c>
    </row>
    <row r="217" spans="1:11" x14ac:dyDescent="0.25">
      <c r="A217" s="47">
        <v>44779</v>
      </c>
      <c r="B217" t="s">
        <v>191</v>
      </c>
      <c r="C217" s="3">
        <v>15440000</v>
      </c>
      <c r="D217" s="3">
        <v>4</v>
      </c>
      <c r="E217" s="3">
        <f>182368384.62*(D217/15)</f>
        <v>48631569.232000001</v>
      </c>
      <c r="F217" s="3">
        <f t="shared" si="186"/>
        <v>13128430.767999999</v>
      </c>
      <c r="G217" s="8">
        <f t="shared" si="185"/>
        <v>0.21257174170984455</v>
      </c>
    </row>
    <row r="218" spans="1:11" x14ac:dyDescent="0.25">
      <c r="A218" s="47">
        <v>44779</v>
      </c>
      <c r="B218" t="s">
        <v>191</v>
      </c>
      <c r="C218" s="3">
        <v>15500000</v>
      </c>
      <c r="D218" s="3">
        <v>1</v>
      </c>
      <c r="E218" s="3">
        <f>182368384.62*(D218/15)</f>
        <v>12157892.308</v>
      </c>
      <c r="F218" s="3">
        <f t="shared" si="186"/>
        <v>3342107.6919999998</v>
      </c>
      <c r="G218" s="8">
        <f t="shared" si="185"/>
        <v>0.21561985109677417</v>
      </c>
    </row>
    <row r="219" spans="1:11" x14ac:dyDescent="0.25">
      <c r="A219" s="47">
        <v>44787</v>
      </c>
      <c r="B219" t="s">
        <v>191</v>
      </c>
      <c r="C219" s="3">
        <v>15640000</v>
      </c>
      <c r="D219" s="3">
        <v>1</v>
      </c>
      <c r="E219" s="3">
        <f>182368384.62*(D219/15)</f>
        <v>12157892.308</v>
      </c>
      <c r="F219" s="3">
        <f t="shared" ref="F219" si="187">(C219*D219)-E219</f>
        <v>3482107.6919999998</v>
      </c>
      <c r="G219" s="8">
        <f t="shared" ref="G219" si="188">F219/(E219+F219)</f>
        <v>0.2226411567774936</v>
      </c>
    </row>
    <row r="220" spans="1:11" x14ac:dyDescent="0.25">
      <c r="A220" s="47">
        <v>44787</v>
      </c>
      <c r="B220" t="s">
        <v>238</v>
      </c>
      <c r="C220" s="3">
        <v>17350000</v>
      </c>
      <c r="D220" s="3">
        <v>1</v>
      </c>
      <c r="E220" s="3">
        <f t="shared" ref="E220:E225" si="189">148655662.56*(D220/16)</f>
        <v>9290978.9100000001</v>
      </c>
      <c r="F220" s="3">
        <f t="shared" ref="F220" si="190">(C220*D220)-E220</f>
        <v>8059021.0899999999</v>
      </c>
      <c r="G220" s="8">
        <f t="shared" ref="G220" si="191">F220/(E220+F220)</f>
        <v>0.46449689279538903</v>
      </c>
    </row>
    <row r="221" spans="1:11" x14ac:dyDescent="0.25">
      <c r="A221" s="47">
        <v>44787</v>
      </c>
      <c r="B221" t="s">
        <v>238</v>
      </c>
      <c r="C221" s="3">
        <v>17320000</v>
      </c>
      <c r="D221" s="3">
        <v>1</v>
      </c>
      <c r="E221" s="3">
        <f t="shared" si="189"/>
        <v>9290978.9100000001</v>
      </c>
      <c r="F221" s="3">
        <f t="shared" ref="F221" si="192">(C221*D221)-E221</f>
        <v>8029021.0899999999</v>
      </c>
      <c r="G221" s="8">
        <f t="shared" ref="G221" si="193">F221/(E221+F221)</f>
        <v>0.46356934699769053</v>
      </c>
    </row>
    <row r="222" spans="1:11" x14ac:dyDescent="0.25">
      <c r="A222" s="47">
        <v>44787</v>
      </c>
      <c r="B222" t="s">
        <v>238</v>
      </c>
      <c r="C222" s="3">
        <v>17230000</v>
      </c>
      <c r="D222" s="3">
        <v>8</v>
      </c>
      <c r="E222" s="3">
        <f t="shared" si="189"/>
        <v>74327831.280000001</v>
      </c>
      <c r="F222" s="3">
        <f t="shared" ref="F222" si="194">(C222*D222)-E222</f>
        <v>63512168.719999999</v>
      </c>
      <c r="G222" s="8">
        <f t="shared" ref="G222" si="195">F222/(E222+F222)</f>
        <v>0.460767329657574</v>
      </c>
    </row>
    <row r="223" spans="1:11" x14ac:dyDescent="0.25">
      <c r="A223" s="47">
        <v>44787</v>
      </c>
      <c r="B223" t="s">
        <v>238</v>
      </c>
      <c r="C223" s="3">
        <v>17230000</v>
      </c>
      <c r="D223" s="3">
        <v>1</v>
      </c>
      <c r="E223" s="3">
        <f t="shared" si="189"/>
        <v>9290978.9100000001</v>
      </c>
      <c r="F223" s="3">
        <f t="shared" ref="F223" si="196">(C223*D223)-E223</f>
        <v>7939021.0899999999</v>
      </c>
      <c r="G223" s="8">
        <f t="shared" ref="G223" si="197">F223/(E223+F223)</f>
        <v>0.460767329657574</v>
      </c>
    </row>
    <row r="224" spans="1:11" x14ac:dyDescent="0.25">
      <c r="A224" s="47">
        <v>44787</v>
      </c>
      <c r="B224" t="s">
        <v>238</v>
      </c>
      <c r="C224" s="3">
        <v>17210000</v>
      </c>
      <c r="D224" s="3">
        <v>1</v>
      </c>
      <c r="E224" s="3">
        <f t="shared" si="189"/>
        <v>9290978.9100000001</v>
      </c>
      <c r="F224" s="3">
        <f t="shared" ref="F224" si="198">(C224*D224)-E224</f>
        <v>7919021.0899999999</v>
      </c>
      <c r="G224" s="8">
        <f t="shared" ref="G224" si="199">F224/(E224+F224)</f>
        <v>0.46014067925624635</v>
      </c>
    </row>
    <row r="225" spans="1:7" x14ac:dyDescent="0.25">
      <c r="A225" s="47">
        <v>44787</v>
      </c>
      <c r="B225" t="s">
        <v>238</v>
      </c>
      <c r="C225" s="3">
        <v>17200000</v>
      </c>
      <c r="D225" s="3">
        <v>1</v>
      </c>
      <c r="E225" s="3">
        <f t="shared" si="189"/>
        <v>9290978.9100000001</v>
      </c>
      <c r="F225" s="3">
        <f t="shared" ref="F225:F226" si="200">(C225*D225)-E225</f>
        <v>7909021.0899999999</v>
      </c>
      <c r="G225" s="8">
        <f t="shared" ref="G225:G226" si="201">F225/(E225+F225)</f>
        <v>0.45982680755813954</v>
      </c>
    </row>
    <row r="226" spans="1:7" x14ac:dyDescent="0.25">
      <c r="A226" s="47">
        <v>44787</v>
      </c>
      <c r="B226" t="s">
        <v>299</v>
      </c>
      <c r="C226" s="3">
        <v>14520000</v>
      </c>
      <c r="D226" s="3">
        <v>1</v>
      </c>
      <c r="E226" s="3">
        <f>162958826.74*(D226/16)</f>
        <v>10184926.671250001</v>
      </c>
      <c r="F226" s="3">
        <f t="shared" si="200"/>
        <v>4335073.3287499994</v>
      </c>
      <c r="G226" s="8">
        <f t="shared" si="201"/>
        <v>0.29855876919765834</v>
      </c>
    </row>
    <row r="227" spans="1:7" x14ac:dyDescent="0.25">
      <c r="A227" s="47">
        <v>44787</v>
      </c>
      <c r="B227" t="s">
        <v>299</v>
      </c>
      <c r="C227" s="3">
        <v>14500000</v>
      </c>
      <c r="D227" s="3">
        <v>1</v>
      </c>
      <c r="E227" s="3">
        <f>162958826.74*(D227/16)</f>
        <v>10184926.671250001</v>
      </c>
      <c r="F227" s="3">
        <f t="shared" ref="F227" si="202">(C227*D227)-E227</f>
        <v>4315073.3287499994</v>
      </c>
      <c r="G227" s="8">
        <f t="shared" ref="G227" si="203">F227/(E227+F227)</f>
        <v>0.29759126405172409</v>
      </c>
    </row>
    <row r="228" spans="1:7" x14ac:dyDescent="0.25">
      <c r="A228" s="47">
        <v>44787</v>
      </c>
      <c r="B228" t="s">
        <v>299</v>
      </c>
      <c r="C228" s="3">
        <v>14490000</v>
      </c>
      <c r="D228" s="3">
        <v>14</v>
      </c>
      <c r="E228" s="3">
        <f>162958826.74*(D228/16)</f>
        <v>142588973.39750001</v>
      </c>
      <c r="F228" s="3">
        <f t="shared" ref="F228:F230" si="204">(C228*D228)-E228</f>
        <v>60271026.602499992</v>
      </c>
      <c r="G228" s="8">
        <f t="shared" ref="G228:G230" si="205">F228/(E228+F228)</f>
        <v>0.29710650992063486</v>
      </c>
    </row>
    <row r="229" spans="1:7" x14ac:dyDescent="0.25">
      <c r="A229" s="47">
        <v>44787</v>
      </c>
      <c r="B229" t="s">
        <v>238</v>
      </c>
      <c r="C229" s="3">
        <v>17070000</v>
      </c>
      <c r="D229" s="3">
        <v>1</v>
      </c>
      <c r="E229" s="3">
        <f>148655662.56*(D229/16)</f>
        <v>9290978.9100000001</v>
      </c>
      <c r="F229" s="3">
        <f t="shared" si="204"/>
        <v>7779021.0899999999</v>
      </c>
      <c r="G229" s="8">
        <f t="shared" si="205"/>
        <v>0.45571301054481544</v>
      </c>
    </row>
    <row r="230" spans="1:7" x14ac:dyDescent="0.25">
      <c r="A230" s="47">
        <v>44787</v>
      </c>
      <c r="B230" t="s">
        <v>238</v>
      </c>
      <c r="C230" s="3">
        <v>17060000</v>
      </c>
      <c r="D230" s="3">
        <v>2</v>
      </c>
      <c r="E230" s="3">
        <f>148655662.56*(D230/16)</f>
        <v>18581957.82</v>
      </c>
      <c r="F230" s="3">
        <f t="shared" si="204"/>
        <v>15538042.18</v>
      </c>
      <c r="G230" s="8">
        <f t="shared" si="205"/>
        <v>0.45539396776084407</v>
      </c>
    </row>
    <row r="231" spans="1:7" x14ac:dyDescent="0.25">
      <c r="A231" s="47">
        <v>44793</v>
      </c>
      <c r="B231" t="s">
        <v>238</v>
      </c>
      <c r="C231" s="3">
        <v>17210000</v>
      </c>
      <c r="D231" s="3">
        <v>1</v>
      </c>
      <c r="E231" s="3">
        <f>151249672.48*(D231/16)</f>
        <v>9453104.5299999993</v>
      </c>
      <c r="F231" s="3">
        <f t="shared" ref="F231" si="206">(C231*D231)-E231</f>
        <v>7756895.4700000007</v>
      </c>
      <c r="G231" s="8">
        <f t="shared" ref="G231" si="207">F231/(E231+F231)</f>
        <v>0.45072024811156308</v>
      </c>
    </row>
    <row r="232" spans="1:7" x14ac:dyDescent="0.25">
      <c r="A232" s="47">
        <v>44793</v>
      </c>
      <c r="B232" t="s">
        <v>238</v>
      </c>
      <c r="C232" s="3">
        <v>17200000</v>
      </c>
      <c r="D232" s="3">
        <v>4</v>
      </c>
      <c r="E232" s="3">
        <f>151249672.48*(D232/16)</f>
        <v>37812418.119999997</v>
      </c>
      <c r="F232" s="3">
        <f t="shared" ref="F232:F234" si="208">(C232*D232)-E232</f>
        <v>30987581.880000003</v>
      </c>
      <c r="G232" s="8">
        <f t="shared" ref="G232:G234" si="209">F232/(E232+F232)</f>
        <v>0.45040089941860467</v>
      </c>
    </row>
    <row r="233" spans="1:7" x14ac:dyDescent="0.25">
      <c r="A233" s="47">
        <v>44793</v>
      </c>
      <c r="B233" t="s">
        <v>238</v>
      </c>
      <c r="C233" s="3">
        <v>17190000</v>
      </c>
      <c r="D233" s="3">
        <v>2</v>
      </c>
      <c r="E233" s="3">
        <f>151249672.48*(D233/16)</f>
        <v>18906209.059999999</v>
      </c>
      <c r="F233" s="3">
        <f t="shared" si="208"/>
        <v>15473790.940000001</v>
      </c>
      <c r="G233" s="8">
        <f t="shared" si="209"/>
        <v>0.45008117917393836</v>
      </c>
    </row>
    <row r="234" spans="1:7" x14ac:dyDescent="0.25">
      <c r="A234" s="47">
        <v>44793</v>
      </c>
      <c r="B234" t="s">
        <v>238</v>
      </c>
      <c r="C234" s="3">
        <v>17080000</v>
      </c>
      <c r="D234" s="3">
        <v>1</v>
      </c>
      <c r="E234" s="3">
        <f>151249672.48*(D234/16)</f>
        <v>9453104.5299999993</v>
      </c>
      <c r="F234" s="3">
        <f t="shared" si="208"/>
        <v>7626895.4700000007</v>
      </c>
      <c r="G234" s="8">
        <f t="shared" si="209"/>
        <v>0.44653954742388763</v>
      </c>
    </row>
    <row r="235" spans="1:7" x14ac:dyDescent="0.25">
      <c r="A235" s="47">
        <v>44793</v>
      </c>
      <c r="B235" t="s">
        <v>238</v>
      </c>
      <c r="C235" s="3">
        <v>15020000</v>
      </c>
      <c r="D235" s="3">
        <v>8</v>
      </c>
      <c r="E235" s="3">
        <f>151249672.48*(D235/16)</f>
        <v>75624836.239999995</v>
      </c>
      <c r="F235" s="3">
        <f t="shared" ref="F235:F236" si="210">(C235*D235)-E235</f>
        <v>44535163.760000005</v>
      </c>
      <c r="G235" s="8">
        <f t="shared" ref="G235:G236" si="211">F235/(E235+F235)</f>
        <v>0.3706321884154461</v>
      </c>
    </row>
    <row r="236" spans="1:7" x14ac:dyDescent="0.25">
      <c r="A236" s="47">
        <v>44793</v>
      </c>
      <c r="B236" t="s">
        <v>334</v>
      </c>
      <c r="C236" s="3">
        <v>22820000</v>
      </c>
      <c r="D236" s="3">
        <v>1</v>
      </c>
      <c r="E236" s="3">
        <f>288746702.44*(D236/16)</f>
        <v>18046668.9025</v>
      </c>
      <c r="F236" s="3">
        <f t="shared" si="210"/>
        <v>4773331.0975000001</v>
      </c>
      <c r="G236" s="8">
        <f t="shared" si="211"/>
        <v>0.20917314187116565</v>
      </c>
    </row>
    <row r="237" spans="1:7" x14ac:dyDescent="0.25">
      <c r="A237" s="47">
        <v>44793</v>
      </c>
      <c r="B237" t="s">
        <v>334</v>
      </c>
      <c r="C237" s="3">
        <v>22810000</v>
      </c>
      <c r="D237" s="3">
        <v>4</v>
      </c>
      <c r="E237" s="3">
        <f>288746702.44*(D237/16)</f>
        <v>72186675.609999999</v>
      </c>
      <c r="F237" s="3">
        <f t="shared" ref="F237:F238" si="212">(C237*D237)-E237</f>
        <v>19053324.390000001</v>
      </c>
      <c r="G237" s="8">
        <f t="shared" ref="G237:G238" si="213">F237/(E237+F237)</f>
        <v>0.20882644004822448</v>
      </c>
    </row>
    <row r="238" spans="1:7" x14ac:dyDescent="0.25">
      <c r="A238" s="47">
        <v>44793</v>
      </c>
      <c r="B238" t="s">
        <v>334</v>
      </c>
      <c r="C238" s="3">
        <v>22800000</v>
      </c>
      <c r="D238" s="3">
        <v>11</v>
      </c>
      <c r="E238" s="3">
        <f>288746702.44*(D238/16)</f>
        <v>198513357.92750001</v>
      </c>
      <c r="F238" s="3">
        <f t="shared" si="212"/>
        <v>52286642.07249999</v>
      </c>
      <c r="G238" s="8">
        <f t="shared" si="213"/>
        <v>0.20847943410087716</v>
      </c>
    </row>
    <row r="239" spans="1:7" x14ac:dyDescent="0.25">
      <c r="A239" s="47">
        <v>44801</v>
      </c>
      <c r="B239" t="s">
        <v>238</v>
      </c>
      <c r="C239" s="3">
        <v>15380000</v>
      </c>
      <c r="D239" s="3">
        <v>2</v>
      </c>
      <c r="E239" s="3">
        <f t="shared" ref="E239:E242" si="214">(147089212.64*(D239/16))+((C239*D239)*$K$1)</f>
        <v>19493511.579999998</v>
      </c>
      <c r="F239" s="3">
        <f t="shared" ref="F239:F245" si="215">(C239*D239)-E239</f>
        <v>11266488.420000002</v>
      </c>
      <c r="G239" s="8">
        <f t="shared" ref="G239:G245" si="216">F239/(E239+F239)</f>
        <v>0.36627075487646299</v>
      </c>
    </row>
    <row r="240" spans="1:7" x14ac:dyDescent="0.25">
      <c r="A240" s="47">
        <v>44801</v>
      </c>
      <c r="B240" t="s">
        <v>238</v>
      </c>
      <c r="C240" s="3">
        <v>15350000</v>
      </c>
      <c r="D240" s="3">
        <v>1</v>
      </c>
      <c r="E240" s="3">
        <f t="shared" si="214"/>
        <v>9745675.7899999991</v>
      </c>
      <c r="F240" s="3">
        <f t="shared" si="215"/>
        <v>5604324.2100000009</v>
      </c>
      <c r="G240" s="8">
        <f t="shared" si="216"/>
        <v>0.3651025543973942</v>
      </c>
    </row>
    <row r="241" spans="1:11" x14ac:dyDescent="0.25">
      <c r="A241" s="47">
        <v>44801</v>
      </c>
      <c r="B241" t="s">
        <v>238</v>
      </c>
      <c r="C241" s="3">
        <v>15340000</v>
      </c>
      <c r="D241" s="3">
        <v>5</v>
      </c>
      <c r="E241" s="3">
        <f t="shared" si="214"/>
        <v>48726578.949999996</v>
      </c>
      <c r="F241" s="3">
        <f t="shared" si="215"/>
        <v>27973421.050000004</v>
      </c>
      <c r="G241" s="8">
        <f t="shared" si="216"/>
        <v>0.36471213885267278</v>
      </c>
    </row>
    <row r="242" spans="1:11" x14ac:dyDescent="0.25">
      <c r="A242" s="47">
        <v>44801</v>
      </c>
      <c r="B242" t="s">
        <v>238</v>
      </c>
      <c r="C242" s="3">
        <v>15330000</v>
      </c>
      <c r="D242" s="3">
        <v>7</v>
      </c>
      <c r="E242" s="3">
        <f t="shared" si="214"/>
        <v>68214690.529999986</v>
      </c>
      <c r="F242" s="3">
        <f t="shared" si="215"/>
        <v>39095309.470000014</v>
      </c>
      <c r="G242" s="8">
        <f t="shared" si="216"/>
        <v>0.36432121395955658</v>
      </c>
    </row>
    <row r="243" spans="1:11" x14ac:dyDescent="0.25">
      <c r="A243" s="47">
        <v>44801</v>
      </c>
      <c r="B243" t="s">
        <v>238</v>
      </c>
      <c r="C243" s="3">
        <v>15280000</v>
      </c>
      <c r="D243" s="3">
        <v>1</v>
      </c>
      <c r="E243" s="3">
        <f>(147089212.64*(D243/16))+((C243*D243)*$K$1)</f>
        <v>9743155.7899999991</v>
      </c>
      <c r="F243" s="3">
        <f t="shared" si="215"/>
        <v>5536844.2100000009</v>
      </c>
      <c r="G243" s="8">
        <f t="shared" si="216"/>
        <v>0.36235891426701577</v>
      </c>
    </row>
    <row r="244" spans="1:11" x14ac:dyDescent="0.25">
      <c r="A244" s="47">
        <v>44801</v>
      </c>
      <c r="B244" t="s">
        <v>299</v>
      </c>
      <c r="C244" s="3">
        <v>16600000</v>
      </c>
      <c r="D244" s="3">
        <v>2</v>
      </c>
      <c r="E244" s="3">
        <f t="shared" ref="E244:E250" si="217">(147089212.64*(D244/16))+((C244*D244)*$K$1)</f>
        <v>19581351.579999998</v>
      </c>
      <c r="F244" s="3">
        <f t="shared" si="215"/>
        <v>13618648.420000002</v>
      </c>
      <c r="G244" s="8">
        <f t="shared" si="216"/>
        <v>0.41020025361445789</v>
      </c>
    </row>
    <row r="245" spans="1:11" x14ac:dyDescent="0.25">
      <c r="A245" s="47">
        <v>44801</v>
      </c>
      <c r="B245" t="s">
        <v>299</v>
      </c>
      <c r="C245" s="3">
        <v>15290000</v>
      </c>
      <c r="D245" s="3">
        <v>1</v>
      </c>
      <c r="E245" s="3">
        <f t="shared" si="217"/>
        <v>9743515.7899999991</v>
      </c>
      <c r="F245" s="3">
        <f t="shared" si="215"/>
        <v>5546484.2100000009</v>
      </c>
      <c r="G245" s="8">
        <f t="shared" si="216"/>
        <v>0.36275240091563121</v>
      </c>
    </row>
    <row r="246" spans="1:11" x14ac:dyDescent="0.25">
      <c r="A246" s="47">
        <v>44801</v>
      </c>
      <c r="B246" t="s">
        <v>299</v>
      </c>
      <c r="C246" s="3">
        <v>15190000</v>
      </c>
      <c r="D246" s="3">
        <v>1</v>
      </c>
      <c r="E246" s="3">
        <f t="shared" si="217"/>
        <v>9739915.7899999991</v>
      </c>
      <c r="F246" s="3">
        <f t="shared" ref="F246" si="218">(C246*D246)-E246</f>
        <v>5450084.2100000009</v>
      </c>
      <c r="G246" s="8">
        <f t="shared" ref="G246" si="219">F246/(E246+F246)</f>
        <v>0.3587942205398289</v>
      </c>
    </row>
    <row r="247" spans="1:11" x14ac:dyDescent="0.25">
      <c r="A247" s="47">
        <v>44801</v>
      </c>
      <c r="B247" t="s">
        <v>299</v>
      </c>
      <c r="C247" s="3">
        <v>15180000</v>
      </c>
      <c r="D247" s="3">
        <v>1</v>
      </c>
      <c r="E247" s="3">
        <f t="shared" si="217"/>
        <v>9739555.7899999991</v>
      </c>
      <c r="F247" s="3">
        <f t="shared" ref="F247:F250" si="220">(C247*D247)-E247</f>
        <v>5440444.2100000009</v>
      </c>
      <c r="G247" s="8">
        <f t="shared" ref="G247:G250" si="221">F247/(E247+F247)</f>
        <v>0.35839553425559956</v>
      </c>
    </row>
    <row r="248" spans="1:11" x14ac:dyDescent="0.25">
      <c r="A248" s="47">
        <v>44801</v>
      </c>
      <c r="B248" t="s">
        <v>299</v>
      </c>
      <c r="C248" s="3">
        <v>15150000</v>
      </c>
      <c r="D248" s="3">
        <v>1</v>
      </c>
      <c r="E248" s="3">
        <f t="shared" si="217"/>
        <v>9738475.7899999991</v>
      </c>
      <c r="F248" s="3">
        <f t="shared" si="220"/>
        <v>5411524.2100000009</v>
      </c>
      <c r="G248" s="8">
        <f t="shared" si="221"/>
        <v>0.35719631749174924</v>
      </c>
    </row>
    <row r="249" spans="1:11" x14ac:dyDescent="0.25">
      <c r="A249" s="47">
        <v>44801</v>
      </c>
      <c r="B249" t="s">
        <v>299</v>
      </c>
      <c r="C249" s="3">
        <v>15120000</v>
      </c>
      <c r="D249" s="3">
        <v>2</v>
      </c>
      <c r="E249" s="3">
        <f t="shared" si="217"/>
        <v>19474791.579999998</v>
      </c>
      <c r="F249" s="3">
        <f t="shared" si="220"/>
        <v>10765208.420000002</v>
      </c>
      <c r="G249" s="8">
        <f t="shared" si="221"/>
        <v>0.35599234193121698</v>
      </c>
    </row>
    <row r="250" spans="1:11" x14ac:dyDescent="0.25">
      <c r="A250" s="47">
        <v>44801</v>
      </c>
      <c r="B250" t="s">
        <v>299</v>
      </c>
      <c r="C250" s="3">
        <v>15070000</v>
      </c>
      <c r="D250" s="3">
        <v>1</v>
      </c>
      <c r="E250" s="3">
        <f t="shared" si="217"/>
        <v>9735595.7899999991</v>
      </c>
      <c r="F250" s="3">
        <f t="shared" si="220"/>
        <v>5334404.2100000009</v>
      </c>
      <c r="G250" s="8">
        <f t="shared" si="221"/>
        <v>0.35397506370272069</v>
      </c>
    </row>
    <row r="251" spans="1:11" x14ac:dyDescent="0.25">
      <c r="A251" s="47">
        <v>44801</v>
      </c>
      <c r="B251" t="s">
        <v>299</v>
      </c>
      <c r="C251" s="3">
        <v>15060000</v>
      </c>
      <c r="D251" s="3">
        <v>7</v>
      </c>
      <c r="E251" s="3">
        <f>(147089212.64*(D251/16))+((C251*D251)*$K$1)</f>
        <v>68146650.529999986</v>
      </c>
      <c r="F251" s="3">
        <f t="shared" ref="F251" si="222">(C251*D251)-E251</f>
        <v>37273349.470000014</v>
      </c>
      <c r="G251" s="8">
        <f t="shared" ref="G251" si="223">F251/(E251+F251)</f>
        <v>0.35357000066401073</v>
      </c>
    </row>
    <row r="252" spans="1:11" x14ac:dyDescent="0.25">
      <c r="E252" s="3">
        <f>SUM(E242:E251)</f>
        <v>233857698.95999998</v>
      </c>
      <c r="F252" s="3">
        <f>SUM(F242:F251)</f>
        <v>133472301.04000004</v>
      </c>
      <c r="J252" s="8">
        <f>F252/(F252+E252)</f>
        <v>0.3633580187841996</v>
      </c>
      <c r="K252" s="3">
        <f>F252+E252</f>
        <v>367330000</v>
      </c>
    </row>
    <row r="253" spans="1:11" x14ac:dyDescent="0.25">
      <c r="A253" s="47">
        <v>44821</v>
      </c>
      <c r="B253" t="s">
        <v>299</v>
      </c>
      <c r="C253" s="3">
        <v>11790000</v>
      </c>
      <c r="D253" s="3">
        <v>1</v>
      </c>
      <c r="E253" s="3">
        <f t="shared" ref="E253:E255" si="224">(157503516.71*(D253/16))+((C253*D253)*$K$1)</f>
        <v>10268409.794375001</v>
      </c>
      <c r="F253" s="3">
        <f t="shared" ref="F253" si="225">(C253*D253)-E253</f>
        <v>1521590.2056249995</v>
      </c>
      <c r="G253" s="8">
        <f t="shared" ref="G253" si="226">F253/(E253+F253)</f>
        <v>0.12905769343723489</v>
      </c>
    </row>
    <row r="254" spans="1:11" x14ac:dyDescent="0.25">
      <c r="A254" s="47">
        <v>44821</v>
      </c>
      <c r="B254" t="s">
        <v>299</v>
      </c>
      <c r="C254" s="3">
        <v>11770000</v>
      </c>
      <c r="D254" s="3">
        <v>4</v>
      </c>
      <c r="E254" s="3">
        <f t="shared" si="224"/>
        <v>41070759.177500002</v>
      </c>
      <c r="F254" s="3">
        <f t="shared" ref="F254:F256" si="227">(C254*D254)-E254</f>
        <v>6009240.8224999979</v>
      </c>
      <c r="G254" s="8">
        <f t="shared" ref="G254:G256" si="228">F254/(E254+F254)</f>
        <v>0.12763892995964313</v>
      </c>
    </row>
    <row r="255" spans="1:11" x14ac:dyDescent="0.25">
      <c r="A255" s="47">
        <v>44821</v>
      </c>
      <c r="B255" t="s">
        <v>299</v>
      </c>
      <c r="C255" s="3">
        <v>11760000</v>
      </c>
      <c r="D255" s="3">
        <v>1</v>
      </c>
      <c r="E255" s="3">
        <f t="shared" si="224"/>
        <v>10267329.794375001</v>
      </c>
      <c r="F255" s="3">
        <f t="shared" si="227"/>
        <v>1492670.2056249995</v>
      </c>
      <c r="G255" s="8">
        <f t="shared" si="228"/>
        <v>0.12692773857355438</v>
      </c>
    </row>
    <row r="256" spans="1:11" x14ac:dyDescent="0.25">
      <c r="A256" s="47">
        <v>44821</v>
      </c>
      <c r="B256" t="s">
        <v>299</v>
      </c>
      <c r="C256" s="3">
        <v>11660000</v>
      </c>
      <c r="D256" s="3">
        <v>2</v>
      </c>
      <c r="E256" s="3">
        <f>(157503516.71*(D256/16))+((C256*D256)*$K$1)</f>
        <v>20527459.588750001</v>
      </c>
      <c r="F256" s="3">
        <f t="shared" si="227"/>
        <v>2792540.411249999</v>
      </c>
      <c r="G256" s="8">
        <f t="shared" si="228"/>
        <v>0.11974873118567748</v>
      </c>
    </row>
    <row r="257" spans="1:13" x14ac:dyDescent="0.25">
      <c r="A257" s="47">
        <v>44821</v>
      </c>
      <c r="B257" t="s">
        <v>238</v>
      </c>
      <c r="C257" s="3">
        <v>15030000</v>
      </c>
      <c r="D257" s="3">
        <v>2</v>
      </c>
      <c r="E257" s="3">
        <f t="shared" ref="E257:E261" si="229">(142431038.72*(D257/16))+((C257*D257)*$K$1)</f>
        <v>18886039.84</v>
      </c>
      <c r="F257" s="3">
        <f t="shared" ref="F257:F263" si="230">(C257*D257)-E257</f>
        <v>11173960.16</v>
      </c>
      <c r="G257" s="8">
        <f t="shared" ref="G257:G263" si="231">F257/(E257+F257)</f>
        <v>0.37172189487691287</v>
      </c>
    </row>
    <row r="258" spans="1:13" x14ac:dyDescent="0.25">
      <c r="A258" s="47">
        <v>44821</v>
      </c>
      <c r="B258" t="s">
        <v>238</v>
      </c>
      <c r="C258" s="3">
        <v>15020000</v>
      </c>
      <c r="D258" s="3">
        <v>8</v>
      </c>
      <c r="E258" s="3">
        <f t="shared" si="229"/>
        <v>75541279.359999999</v>
      </c>
      <c r="F258" s="3">
        <f t="shared" si="230"/>
        <v>44618720.640000001</v>
      </c>
      <c r="G258" s="8">
        <f t="shared" si="231"/>
        <v>0.37132756857523302</v>
      </c>
    </row>
    <row r="259" spans="1:13" x14ac:dyDescent="0.25">
      <c r="A259" s="47">
        <v>44821</v>
      </c>
      <c r="B259" t="s">
        <v>238</v>
      </c>
      <c r="C259" s="3">
        <v>15000000</v>
      </c>
      <c r="D259" s="3">
        <v>1</v>
      </c>
      <c r="E259" s="3">
        <f t="shared" si="229"/>
        <v>9441939.9199999999</v>
      </c>
      <c r="F259" s="3">
        <f t="shared" si="230"/>
        <v>5558060.0800000001</v>
      </c>
      <c r="G259" s="8">
        <f t="shared" si="231"/>
        <v>0.37053733866666666</v>
      </c>
    </row>
    <row r="260" spans="1:13" x14ac:dyDescent="0.25">
      <c r="A260" s="47">
        <v>44821</v>
      </c>
      <c r="B260" t="s">
        <v>238</v>
      </c>
      <c r="C260" s="3">
        <v>15000000</v>
      </c>
      <c r="D260" s="3">
        <v>1</v>
      </c>
      <c r="E260" s="3">
        <f t="shared" si="229"/>
        <v>9441939.9199999999</v>
      </c>
      <c r="F260" s="3">
        <f t="shared" si="230"/>
        <v>5558060.0800000001</v>
      </c>
      <c r="G260" s="8">
        <f t="shared" si="231"/>
        <v>0.37053733866666666</v>
      </c>
    </row>
    <row r="261" spans="1:13" x14ac:dyDescent="0.25">
      <c r="A261" s="47">
        <v>44821</v>
      </c>
      <c r="B261" t="s">
        <v>238</v>
      </c>
      <c r="C261" s="3">
        <v>15000000</v>
      </c>
      <c r="D261" s="3">
        <v>3</v>
      </c>
      <c r="E261" s="3">
        <f t="shared" si="229"/>
        <v>28325819.759999998</v>
      </c>
      <c r="F261" s="3">
        <f t="shared" si="230"/>
        <v>16674180.240000002</v>
      </c>
      <c r="G261" s="8">
        <f t="shared" si="231"/>
        <v>0.37053733866666672</v>
      </c>
    </row>
    <row r="262" spans="1:13" x14ac:dyDescent="0.25">
      <c r="A262" s="47">
        <v>44821</v>
      </c>
      <c r="B262" t="s">
        <v>238</v>
      </c>
      <c r="C262" s="3">
        <v>15000000</v>
      </c>
      <c r="D262" s="3">
        <v>1</v>
      </c>
      <c r="E262" s="3">
        <f>(142431038.72*(D262/16))+((C262*D262)*$K$1)</f>
        <v>9441939.9199999999</v>
      </c>
      <c r="F262" s="3">
        <f t="shared" si="230"/>
        <v>5558060.0800000001</v>
      </c>
      <c r="G262" s="8">
        <f t="shared" si="231"/>
        <v>0.37053733866666666</v>
      </c>
    </row>
    <row r="263" spans="1:13" x14ac:dyDescent="0.25">
      <c r="A263" s="47">
        <v>44821</v>
      </c>
      <c r="B263" t="s">
        <v>299</v>
      </c>
      <c r="C263" s="3">
        <v>15150000</v>
      </c>
      <c r="D263" s="3">
        <v>2</v>
      </c>
      <c r="E263" s="3">
        <f t="shared" ref="E263:E265" si="232">(157503516.71*(D263/16))+((C263*D263)*$K$1)</f>
        <v>20778739.588750001</v>
      </c>
      <c r="F263" s="3">
        <f t="shared" si="230"/>
        <v>9521260.411249999</v>
      </c>
      <c r="G263" s="8">
        <f t="shared" si="231"/>
        <v>0.31423301687293725</v>
      </c>
      <c r="K263" s="2"/>
      <c r="L263" s="21"/>
      <c r="M263" s="4"/>
    </row>
    <row r="264" spans="1:13" x14ac:dyDescent="0.25">
      <c r="A264" s="47">
        <v>44821</v>
      </c>
      <c r="B264" t="s">
        <v>299</v>
      </c>
      <c r="C264" s="3">
        <v>12530000</v>
      </c>
      <c r="D264" s="3">
        <v>3</v>
      </c>
      <c r="E264" s="3">
        <f t="shared" si="232"/>
        <v>30885149.383125</v>
      </c>
      <c r="F264" s="3">
        <f t="shared" ref="F264:F268" si="233">(C264*D264)-E264</f>
        <v>6704850.6168750003</v>
      </c>
      <c r="G264" s="8">
        <f t="shared" ref="G264:G268" si="234">F264/(E264+F264)</f>
        <v>0.17836793340981644</v>
      </c>
    </row>
    <row r="265" spans="1:13" x14ac:dyDescent="0.25">
      <c r="A265" s="47">
        <v>44821</v>
      </c>
      <c r="B265" t="s">
        <v>299</v>
      </c>
      <c r="C265" s="3">
        <v>12500000</v>
      </c>
      <c r="D265" s="3">
        <v>1</v>
      </c>
      <c r="E265" s="3">
        <f t="shared" si="232"/>
        <v>10293969.794375001</v>
      </c>
      <c r="F265" s="3">
        <f t="shared" si="233"/>
        <v>2206030.2056249995</v>
      </c>
      <c r="G265" s="8">
        <f t="shared" si="234"/>
        <v>0.17648241644999996</v>
      </c>
    </row>
    <row r="266" spans="1:13" x14ac:dyDescent="0.25">
      <c r="A266" s="47">
        <v>44821</v>
      </c>
      <c r="B266" t="s">
        <v>299</v>
      </c>
      <c r="C266" s="3">
        <v>14100000</v>
      </c>
      <c r="D266" s="3">
        <v>1</v>
      </c>
      <c r="E266" s="3">
        <f>(157503516.71*(D266/16))+((C266*D266)*$K$1)</f>
        <v>10351569.794375001</v>
      </c>
      <c r="F266" s="3">
        <f t="shared" si="233"/>
        <v>3748430.2056249995</v>
      </c>
      <c r="G266" s="8">
        <f t="shared" si="234"/>
        <v>0.26584611387411344</v>
      </c>
    </row>
    <row r="267" spans="1:13" x14ac:dyDescent="0.25">
      <c r="E267" s="3">
        <f>SUM(E253:E266)</f>
        <v>305522345.63562495</v>
      </c>
      <c r="F267" s="3">
        <f>SUM(F253:F266)</f>
        <v>123137654.364375</v>
      </c>
      <c r="J267" s="8">
        <f>F267/(F267+E267)</f>
        <v>0.28726182607281997</v>
      </c>
      <c r="K267" s="3">
        <f>F267+E267</f>
        <v>428659999.99999994</v>
      </c>
    </row>
    <row r="268" spans="1:13" x14ac:dyDescent="0.25">
      <c r="A268" s="47">
        <v>44843</v>
      </c>
      <c r="B268" t="s">
        <v>238</v>
      </c>
      <c r="C268" s="3">
        <v>14610000</v>
      </c>
      <c r="D268" s="3">
        <v>1</v>
      </c>
      <c r="E268" s="3">
        <f t="shared" ref="E268:E275" si="235">(143259396.67*(D268/16))+((C268*D268)*$K$1)</f>
        <v>9479672.2918749992</v>
      </c>
      <c r="F268" s="3">
        <f t="shared" si="233"/>
        <v>5130327.7081250008</v>
      </c>
      <c r="G268" s="8">
        <f t="shared" si="234"/>
        <v>0.35115179384839157</v>
      </c>
    </row>
    <row r="269" spans="1:13" x14ac:dyDescent="0.25">
      <c r="A269" s="47">
        <v>44843</v>
      </c>
      <c r="B269" t="s">
        <v>238</v>
      </c>
      <c r="C269" s="3">
        <v>14600000</v>
      </c>
      <c r="D269" s="3">
        <v>1</v>
      </c>
      <c r="E269" s="3">
        <f t="shared" si="235"/>
        <v>9479312.2918749992</v>
      </c>
      <c r="F269" s="3">
        <f t="shared" ref="F269:F275" si="236">(C269*D269)-E269</f>
        <v>5120687.7081250008</v>
      </c>
      <c r="G269" s="8">
        <f t="shared" ref="G269:G275" si="237">F269/(E269+F269)</f>
        <v>0.35073203480308224</v>
      </c>
    </row>
    <row r="270" spans="1:13" x14ac:dyDescent="0.25">
      <c r="A270" s="47">
        <v>44843</v>
      </c>
      <c r="B270" t="s">
        <v>238</v>
      </c>
      <c r="C270" s="3">
        <v>14570000</v>
      </c>
      <c r="D270" s="3">
        <v>1</v>
      </c>
      <c r="E270" s="3">
        <f t="shared" si="235"/>
        <v>9478232.2918749992</v>
      </c>
      <c r="F270" s="3">
        <f t="shared" si="236"/>
        <v>5091767.7081250008</v>
      </c>
      <c r="G270" s="8">
        <f t="shared" si="237"/>
        <v>0.34946930048901859</v>
      </c>
    </row>
    <row r="271" spans="1:13" x14ac:dyDescent="0.25">
      <c r="A271" s="47">
        <v>44843</v>
      </c>
      <c r="B271" t="s">
        <v>238</v>
      </c>
      <c r="C271" s="3">
        <v>14540000</v>
      </c>
      <c r="D271" s="3">
        <v>1</v>
      </c>
      <c r="E271" s="3">
        <f t="shared" si="235"/>
        <v>9477152.2918749992</v>
      </c>
      <c r="F271" s="3">
        <f t="shared" si="236"/>
        <v>5062847.7081250008</v>
      </c>
      <c r="G271" s="8">
        <f t="shared" si="237"/>
        <v>0.34820135544188452</v>
      </c>
    </row>
    <row r="272" spans="1:13" x14ac:dyDescent="0.25">
      <c r="A272" s="47">
        <v>44843</v>
      </c>
      <c r="B272" t="s">
        <v>238</v>
      </c>
      <c r="C272" s="3">
        <v>14300000</v>
      </c>
      <c r="D272" s="3">
        <v>3</v>
      </c>
      <c r="E272" s="3">
        <f t="shared" si="235"/>
        <v>28405536.875624999</v>
      </c>
      <c r="F272" s="3">
        <f t="shared" si="236"/>
        <v>14494463.124375001</v>
      </c>
      <c r="G272" s="8">
        <f t="shared" si="237"/>
        <v>0.33786627329545454</v>
      </c>
    </row>
    <row r="273" spans="1:11" x14ac:dyDescent="0.25">
      <c r="A273" s="47">
        <v>44843</v>
      </c>
      <c r="B273" t="s">
        <v>238</v>
      </c>
      <c r="C273" s="3">
        <v>14290000</v>
      </c>
      <c r="D273" s="3">
        <v>1</v>
      </c>
      <c r="E273" s="3">
        <f t="shared" si="235"/>
        <v>9468152.2918749992</v>
      </c>
      <c r="F273" s="3">
        <f t="shared" si="236"/>
        <v>4821847.7081250008</v>
      </c>
      <c r="G273" s="8">
        <f t="shared" si="237"/>
        <v>0.33742811113540944</v>
      </c>
    </row>
    <row r="274" spans="1:11" x14ac:dyDescent="0.25">
      <c r="A274" s="47">
        <v>44843</v>
      </c>
      <c r="B274" t="s">
        <v>238</v>
      </c>
      <c r="C274" s="3">
        <v>14270000</v>
      </c>
      <c r="D274" s="3">
        <v>2</v>
      </c>
      <c r="E274" s="3">
        <f t="shared" si="235"/>
        <v>18934864.583749998</v>
      </c>
      <c r="F274" s="3">
        <f t="shared" si="236"/>
        <v>9605135.4162500016</v>
      </c>
      <c r="G274" s="8">
        <f t="shared" si="237"/>
        <v>0.33654994450770853</v>
      </c>
    </row>
    <row r="275" spans="1:11" x14ac:dyDescent="0.25">
      <c r="A275" s="47">
        <v>44843</v>
      </c>
      <c r="B275" t="s">
        <v>238</v>
      </c>
      <c r="C275" s="3">
        <v>13920000</v>
      </c>
      <c r="D275" s="3">
        <v>1</v>
      </c>
      <c r="E275" s="3">
        <f t="shared" si="235"/>
        <v>9454832.2918749992</v>
      </c>
      <c r="F275" s="3">
        <f t="shared" si="236"/>
        <v>4465167.7081250008</v>
      </c>
      <c r="G275" s="8">
        <f t="shared" si="237"/>
        <v>0.32077354225035926</v>
      </c>
    </row>
    <row r="276" spans="1:11" x14ac:dyDescent="0.25">
      <c r="A276" s="47">
        <v>44843</v>
      </c>
      <c r="B276" t="s">
        <v>193</v>
      </c>
      <c r="C276" s="3">
        <v>18270000</v>
      </c>
      <c r="D276" s="3">
        <v>3</v>
      </c>
      <c r="E276" s="3">
        <f>(206660017.84*(D276/16))+((C276*D276)*$K$1)</f>
        <v>40721913.344999999</v>
      </c>
      <c r="F276" s="3">
        <f t="shared" ref="F276" si="238">(C276*D276)-E276</f>
        <v>14088086.655000001</v>
      </c>
      <c r="G276" s="8">
        <f t="shared" ref="G276" si="239">F276/(E276+F276)</f>
        <v>0.25703496907498635</v>
      </c>
    </row>
    <row r="277" spans="1:11" x14ac:dyDescent="0.25">
      <c r="A277" s="47">
        <v>44843</v>
      </c>
      <c r="B277" t="s">
        <v>193</v>
      </c>
      <c r="C277" s="3">
        <v>18260000</v>
      </c>
      <c r="D277" s="3">
        <v>10</v>
      </c>
      <c r="E277" s="3">
        <f t="shared" ref="E277:E278" si="240">(206660017.84*(D277/16))+((C277*D277)*$K$1)</f>
        <v>135736111.15000001</v>
      </c>
      <c r="F277" s="3">
        <f t="shared" ref="F277:F279" si="241">(C277*D277)-E277</f>
        <v>46863888.849999994</v>
      </c>
      <c r="G277" s="8">
        <f t="shared" ref="G277:G279" si="242">F277/(E277+F277)</f>
        <v>0.2566478031215772</v>
      </c>
    </row>
    <row r="278" spans="1:11" x14ac:dyDescent="0.25">
      <c r="A278" s="47">
        <v>44843</v>
      </c>
      <c r="B278" t="s">
        <v>193</v>
      </c>
      <c r="C278" s="3">
        <v>18250000</v>
      </c>
      <c r="D278" s="3">
        <v>3</v>
      </c>
      <c r="E278" s="3">
        <f t="shared" si="240"/>
        <v>40719753.344999999</v>
      </c>
      <c r="F278" s="3">
        <f t="shared" si="241"/>
        <v>14030246.655000001</v>
      </c>
      <c r="G278" s="8">
        <f t="shared" si="242"/>
        <v>0.25626021287671236</v>
      </c>
    </row>
    <row r="279" spans="1:11" x14ac:dyDescent="0.25">
      <c r="A279" s="47">
        <v>44846</v>
      </c>
      <c r="B279" t="s">
        <v>238</v>
      </c>
      <c r="C279" s="3">
        <v>13600000</v>
      </c>
      <c r="D279" s="3">
        <v>2</v>
      </c>
      <c r="E279" s="3">
        <f t="shared" ref="E279:E280" si="243">(143259396.67*(D279/16))+((C279*D279)*$K$1)</f>
        <v>18886624.583749998</v>
      </c>
      <c r="F279" s="3">
        <f t="shared" si="241"/>
        <v>8313375.4162500016</v>
      </c>
      <c r="G279" s="8">
        <f t="shared" si="242"/>
        <v>0.30563880206801475</v>
      </c>
    </row>
    <row r="280" spans="1:11" x14ac:dyDescent="0.25">
      <c r="A280" s="47">
        <v>44845</v>
      </c>
      <c r="B280" t="s">
        <v>238</v>
      </c>
      <c r="C280" s="3">
        <v>13380000</v>
      </c>
      <c r="D280" s="3">
        <v>2</v>
      </c>
      <c r="E280" s="3">
        <f t="shared" si="243"/>
        <v>18870784.583749998</v>
      </c>
      <c r="F280" s="3">
        <f t="shared" ref="F280:F288" si="244">(C280*D280)-E280</f>
        <v>7889215.4162500016</v>
      </c>
      <c r="G280" s="8">
        <f t="shared" ref="G280:G288" si="245">F280/(E280+F280)</f>
        <v>0.29481373005418543</v>
      </c>
    </row>
    <row r="281" spans="1:11" x14ac:dyDescent="0.25">
      <c r="A281" s="47">
        <v>44846</v>
      </c>
      <c r="B281" t="s">
        <v>238</v>
      </c>
      <c r="C281" s="3">
        <v>13600000</v>
      </c>
      <c r="D281" s="3">
        <v>1</v>
      </c>
      <c r="E281" s="3">
        <f>(143259396.67*(D281/16))+((C281*D281)*$K$1)</f>
        <v>9443312.2918749992</v>
      </c>
      <c r="F281" s="3">
        <f t="shared" si="244"/>
        <v>4156687.7081250008</v>
      </c>
      <c r="G281" s="8">
        <f t="shared" si="245"/>
        <v>0.30563880206801475</v>
      </c>
    </row>
    <row r="282" spans="1:11" x14ac:dyDescent="0.25">
      <c r="E282" s="3">
        <f>SUM(E268:E281)</f>
        <v>368556254.50999999</v>
      </c>
      <c r="F282" s="3">
        <f>SUM(F268:F281)</f>
        <v>149133745.48999998</v>
      </c>
      <c r="J282" s="8">
        <f>F282/(F282+E282)</f>
        <v>0.28807538389769938</v>
      </c>
      <c r="K282" s="3">
        <f>F282+E282</f>
        <v>517690000</v>
      </c>
    </row>
    <row r="283" spans="1:11" x14ac:dyDescent="0.25">
      <c r="A283" s="47">
        <v>44871</v>
      </c>
      <c r="B283" t="s">
        <v>191</v>
      </c>
      <c r="C283" s="3">
        <v>17630000</v>
      </c>
      <c r="D283" s="3">
        <v>1</v>
      </c>
      <c r="E283" s="3">
        <f t="shared" ref="E283:E290" si="246">(433001333.4*(D283/40))+((C283*D283)*$K$1)</f>
        <v>11459713.335000001</v>
      </c>
      <c r="F283" s="3">
        <f t="shared" si="244"/>
        <v>6170286.6649999991</v>
      </c>
      <c r="G283" s="8">
        <f t="shared" si="245"/>
        <v>0.34998789931934199</v>
      </c>
    </row>
    <row r="284" spans="1:11" x14ac:dyDescent="0.25">
      <c r="A284" s="47">
        <v>44871</v>
      </c>
      <c r="B284" t="s">
        <v>191</v>
      </c>
      <c r="C284" s="3">
        <v>15980000</v>
      </c>
      <c r="D284" s="3">
        <v>1</v>
      </c>
      <c r="E284" s="3">
        <f t="shared" si="246"/>
        <v>11400313.335000001</v>
      </c>
      <c r="F284" s="3">
        <f t="shared" si="244"/>
        <v>4579686.6649999991</v>
      </c>
      <c r="G284" s="8">
        <f t="shared" si="245"/>
        <v>0.28658865237797243</v>
      </c>
    </row>
    <row r="285" spans="1:11" x14ac:dyDescent="0.25">
      <c r="A285" s="47">
        <v>44871</v>
      </c>
      <c r="B285" t="s">
        <v>191</v>
      </c>
      <c r="C285" s="3">
        <v>15970000</v>
      </c>
      <c r="D285" s="3">
        <v>1</v>
      </c>
      <c r="E285" s="3">
        <f t="shared" si="246"/>
        <v>11399953.335000001</v>
      </c>
      <c r="F285" s="3">
        <f t="shared" si="244"/>
        <v>4570046.6649999991</v>
      </c>
      <c r="G285" s="8">
        <f t="shared" si="245"/>
        <v>0.28616447495303687</v>
      </c>
    </row>
    <row r="286" spans="1:11" x14ac:dyDescent="0.25">
      <c r="A286" s="47">
        <v>44871</v>
      </c>
      <c r="B286" t="s">
        <v>191</v>
      </c>
      <c r="C286" s="3">
        <v>15940000</v>
      </c>
      <c r="D286" s="3">
        <v>4</v>
      </c>
      <c r="E286" s="3">
        <f t="shared" si="246"/>
        <v>45595493.340000004</v>
      </c>
      <c r="F286" s="3">
        <f t="shared" si="244"/>
        <v>18164506.659999996</v>
      </c>
      <c r="G286" s="8">
        <f t="shared" si="245"/>
        <v>0.28488874937264735</v>
      </c>
    </row>
    <row r="287" spans="1:11" x14ac:dyDescent="0.25">
      <c r="A287" s="47">
        <v>44871</v>
      </c>
      <c r="B287" t="s">
        <v>191</v>
      </c>
      <c r="C287" s="3">
        <v>15770000</v>
      </c>
      <c r="D287" s="3">
        <v>5</v>
      </c>
      <c r="E287" s="3">
        <f t="shared" si="246"/>
        <v>56963766.674999997</v>
      </c>
      <c r="F287" s="3">
        <f t="shared" si="244"/>
        <v>21886233.325000003</v>
      </c>
      <c r="G287" s="8">
        <f t="shared" si="245"/>
        <v>0.27756795592897909</v>
      </c>
    </row>
    <row r="288" spans="1:11" x14ac:dyDescent="0.25">
      <c r="A288" s="47">
        <v>44871</v>
      </c>
      <c r="B288" t="s">
        <v>191</v>
      </c>
      <c r="C288" s="3">
        <v>15330000</v>
      </c>
      <c r="D288" s="3">
        <v>5</v>
      </c>
      <c r="E288" s="3">
        <f t="shared" si="246"/>
        <v>56884566.674999997</v>
      </c>
      <c r="F288" s="3">
        <f t="shared" si="244"/>
        <v>19765433.325000003</v>
      </c>
      <c r="G288" s="8">
        <f t="shared" si="245"/>
        <v>0.25786605772994131</v>
      </c>
    </row>
    <row r="289" spans="1:7" x14ac:dyDescent="0.25">
      <c r="A289" s="47">
        <v>44876</v>
      </c>
      <c r="B289" t="s">
        <v>191</v>
      </c>
      <c r="C289" s="3">
        <v>14900000</v>
      </c>
      <c r="D289" s="3">
        <v>2</v>
      </c>
      <c r="E289" s="3">
        <f t="shared" si="246"/>
        <v>22722866.670000002</v>
      </c>
      <c r="F289" s="3">
        <f t="shared" ref="F289" si="247">(C289*D289)-E289</f>
        <v>7077133.3299999982</v>
      </c>
      <c r="G289" s="8">
        <f t="shared" ref="G289" si="248">F289/(E289+F289)</f>
        <v>0.23748769563758385</v>
      </c>
    </row>
    <row r="290" spans="1:7" x14ac:dyDescent="0.25">
      <c r="A290" s="47">
        <v>44876</v>
      </c>
      <c r="B290" t="s">
        <v>191</v>
      </c>
      <c r="C290" s="3">
        <v>14720000</v>
      </c>
      <c r="D290" s="3">
        <v>18</v>
      </c>
      <c r="E290" s="3">
        <f t="shared" si="246"/>
        <v>204389160.03</v>
      </c>
      <c r="F290" s="3">
        <f t="shared" ref="F290" si="249">(C290*D290)-E290</f>
        <v>60570839.969999999</v>
      </c>
      <c r="G290" s="8">
        <f t="shared" ref="G290" si="250">F290/(E290+F290)</f>
        <v>0.22860371365489129</v>
      </c>
    </row>
    <row r="291" spans="1:7" x14ac:dyDescent="0.25">
      <c r="A291" s="47">
        <v>44876</v>
      </c>
      <c r="B291" t="s">
        <v>191</v>
      </c>
      <c r="C291" s="3">
        <v>14710000</v>
      </c>
      <c r="D291" s="3">
        <v>2</v>
      </c>
      <c r="E291" s="3">
        <f>(433001333.4*(D291/40))+((C291*D291)*$K$1)</f>
        <v>22709186.670000002</v>
      </c>
      <c r="F291" s="3">
        <f t="shared" ref="F291" si="251">(C291*D291)-E291</f>
        <v>6710813.3299999982</v>
      </c>
      <c r="G291" s="8">
        <f t="shared" ref="G291" si="252">F291/(E291+F291)</f>
        <v>0.22810378416043503</v>
      </c>
    </row>
    <row r="292" spans="1:7" x14ac:dyDescent="0.25">
      <c r="A292" s="47">
        <v>44884</v>
      </c>
      <c r="B292" t="s">
        <v>334</v>
      </c>
      <c r="C292" s="3">
        <v>20050000</v>
      </c>
      <c r="D292" s="3">
        <v>3</v>
      </c>
      <c r="E292" s="3">
        <f>(72323186.033*(D292/4))+((C292*D292)*$K$1)</f>
        <v>56407789.524750009</v>
      </c>
      <c r="F292" s="3">
        <f t="shared" ref="F292" si="253">(C292*D292)-E292</f>
        <v>3742210.4752499908</v>
      </c>
      <c r="G292" s="8">
        <f t="shared" ref="G292" si="254">F292/(E292+F292)</f>
        <v>6.221463799251855E-2</v>
      </c>
    </row>
    <row r="293" spans="1:7" x14ac:dyDescent="0.25">
      <c r="A293" s="47">
        <v>44884</v>
      </c>
      <c r="B293" t="s">
        <v>334</v>
      </c>
      <c r="C293" s="3">
        <v>20030000</v>
      </c>
      <c r="D293" s="3">
        <v>1</v>
      </c>
      <c r="E293" s="3">
        <f>(72323186.033*(D293/4))+((C293*D293)*$K$1)</f>
        <v>18801876.508250002</v>
      </c>
      <c r="F293" s="3">
        <f t="shared" ref="F293" si="255">(C293*D293)-E293</f>
        <v>1228123.4917499982</v>
      </c>
      <c r="G293" s="8">
        <f t="shared" ref="G293" si="256">F293/(E293+F293)</f>
        <v>6.1314203282576044E-2</v>
      </c>
    </row>
    <row r="294" spans="1:7" x14ac:dyDescent="0.25">
      <c r="A294" s="47">
        <v>44889</v>
      </c>
      <c r="B294" t="s">
        <v>238</v>
      </c>
      <c r="C294" s="3">
        <v>13100000</v>
      </c>
      <c r="D294" s="3">
        <v>1</v>
      </c>
      <c r="E294" s="3">
        <f t="shared" ref="E294:E300" si="257">(193803151.294*(D294/20))+((C294*D294)*$K$1)</f>
        <v>10161757.5647</v>
      </c>
      <c r="F294" s="3">
        <f t="shared" ref="F294:F298" si="258">(C294*D294)-E294</f>
        <v>2938242.4353</v>
      </c>
      <c r="G294" s="8">
        <f t="shared" ref="G294:G298" si="259">F294/(E294+F294)</f>
        <v>0.22429331567175573</v>
      </c>
    </row>
    <row r="295" spans="1:7" x14ac:dyDescent="0.25">
      <c r="A295" s="47">
        <v>44889</v>
      </c>
      <c r="B295" t="s">
        <v>238</v>
      </c>
      <c r="C295" s="3">
        <v>13090000</v>
      </c>
      <c r="D295" s="3">
        <v>2</v>
      </c>
      <c r="E295" s="3">
        <f t="shared" si="257"/>
        <v>20322795.1294</v>
      </c>
      <c r="F295" s="3">
        <f t="shared" si="258"/>
        <v>5857204.8706</v>
      </c>
      <c r="G295" s="8">
        <f t="shared" si="259"/>
        <v>0.22372822271199388</v>
      </c>
    </row>
    <row r="296" spans="1:7" x14ac:dyDescent="0.25">
      <c r="A296" s="47">
        <v>44889</v>
      </c>
      <c r="B296" t="s">
        <v>238</v>
      </c>
      <c r="C296" s="3">
        <v>13080000</v>
      </c>
      <c r="D296" s="3">
        <v>2</v>
      </c>
      <c r="E296" s="3">
        <f t="shared" si="257"/>
        <v>20322075.1294</v>
      </c>
      <c r="F296" s="3">
        <f t="shared" si="258"/>
        <v>5837924.8706</v>
      </c>
      <c r="G296" s="8">
        <f t="shared" si="259"/>
        <v>0.22316226569571865</v>
      </c>
    </row>
    <row r="297" spans="1:7" x14ac:dyDescent="0.25">
      <c r="A297" s="47">
        <v>44889</v>
      </c>
      <c r="B297" t="s">
        <v>238</v>
      </c>
      <c r="C297" s="3">
        <v>13020000</v>
      </c>
      <c r="D297" s="3">
        <v>7</v>
      </c>
      <c r="E297" s="3">
        <f t="shared" si="257"/>
        <v>71112142.952899992</v>
      </c>
      <c r="F297" s="3">
        <f t="shared" si="258"/>
        <v>20027857.047100008</v>
      </c>
      <c r="G297" s="8">
        <f t="shared" si="259"/>
        <v>0.21974826692012298</v>
      </c>
    </row>
    <row r="298" spans="1:7" x14ac:dyDescent="0.25">
      <c r="A298" s="47">
        <v>44889</v>
      </c>
      <c r="B298" t="s">
        <v>238</v>
      </c>
      <c r="C298" s="3">
        <v>13000000</v>
      </c>
      <c r="D298" s="3">
        <v>1</v>
      </c>
      <c r="E298" s="3">
        <f t="shared" si="257"/>
        <v>10158157.5647</v>
      </c>
      <c r="F298" s="3">
        <f t="shared" si="258"/>
        <v>2841842.4353</v>
      </c>
      <c r="G298" s="8">
        <f t="shared" si="259"/>
        <v>0.21860326425384616</v>
      </c>
    </row>
    <row r="299" spans="1:7" x14ac:dyDescent="0.25">
      <c r="A299" s="47">
        <v>44889</v>
      </c>
      <c r="B299" t="s">
        <v>238</v>
      </c>
      <c r="C299" s="3">
        <v>12460000</v>
      </c>
      <c r="D299" s="3">
        <v>1</v>
      </c>
      <c r="E299" s="3">
        <f t="shared" si="257"/>
        <v>10138717.5647</v>
      </c>
      <c r="F299" s="3">
        <f t="shared" ref="F299" si="260">(C299*D299)-E299</f>
        <v>2321282.4353</v>
      </c>
      <c r="G299" s="8">
        <f t="shared" ref="G299" si="261">F299/(E299+F299)</f>
        <v>0.18629875082664527</v>
      </c>
    </row>
    <row r="300" spans="1:7" x14ac:dyDescent="0.25">
      <c r="A300" s="47">
        <v>44889</v>
      </c>
      <c r="B300" t="s">
        <v>238</v>
      </c>
      <c r="C300" s="3">
        <v>12440000</v>
      </c>
      <c r="D300" s="3">
        <v>3</v>
      </c>
      <c r="E300" s="3">
        <f t="shared" si="257"/>
        <v>30413992.6941</v>
      </c>
      <c r="F300" s="3">
        <f t="shared" ref="F300" si="262">(C300*D300)-E300</f>
        <v>6906007.3059</v>
      </c>
      <c r="G300" s="8">
        <f t="shared" ref="G300" si="263">F300/(E300+F300)</f>
        <v>0.1850484272749196</v>
      </c>
    </row>
    <row r="301" spans="1:7" x14ac:dyDescent="0.25">
      <c r="A301" s="47">
        <v>44889</v>
      </c>
      <c r="B301" t="s">
        <v>238</v>
      </c>
      <c r="C301" s="3">
        <v>12120000</v>
      </c>
      <c r="D301" s="3">
        <v>2</v>
      </c>
      <c r="E301" s="3">
        <f>(193803151.294*(D301/20))+((C301*D301)*$K$1)</f>
        <v>20252955.1294</v>
      </c>
      <c r="F301" s="3">
        <f t="shared" ref="F301:F302" si="264">(C301*D301)-E301</f>
        <v>3987044.8706</v>
      </c>
      <c r="G301" s="8">
        <f t="shared" ref="G301:G302" si="265">F301/(E301+F301)</f>
        <v>0.16448204911716172</v>
      </c>
    </row>
    <row r="302" spans="1:7" x14ac:dyDescent="0.25">
      <c r="A302" s="47">
        <v>44889</v>
      </c>
      <c r="B302" t="s">
        <v>238</v>
      </c>
      <c r="C302" s="3">
        <v>12110000</v>
      </c>
      <c r="D302" s="3">
        <v>1</v>
      </c>
      <c r="E302" s="3">
        <f t="shared" ref="E302" si="266">(193803151.294*(D302/20))+((C302*D302)*$K$1)</f>
        <v>10126117.5647</v>
      </c>
      <c r="F302" s="3">
        <f t="shared" si="264"/>
        <v>1983882.4353</v>
      </c>
      <c r="G302" s="8">
        <f t="shared" si="265"/>
        <v>0.16382183611065235</v>
      </c>
    </row>
    <row r="303" spans="1:7" x14ac:dyDescent="0.25">
      <c r="A303" s="47">
        <v>44889</v>
      </c>
      <c r="B303" t="s">
        <v>301</v>
      </c>
      <c r="C303" s="3">
        <v>14900000</v>
      </c>
      <c r="D303" s="3">
        <v>8</v>
      </c>
      <c r="E303" s="3">
        <f>(196616929.229*(D303/16))+((C303*D303)*$K$1)</f>
        <v>102599664.6145</v>
      </c>
      <c r="F303" s="3">
        <f t="shared" ref="F303" si="267">(C303*D303)-E303</f>
        <v>16600335.385499999</v>
      </c>
      <c r="G303" s="8">
        <f t="shared" ref="G303" si="268">F303/(E303+F303)</f>
        <v>0.1392645586031879</v>
      </c>
    </row>
    <row r="304" spans="1:7" x14ac:dyDescent="0.25">
      <c r="A304" s="47">
        <v>44889</v>
      </c>
      <c r="B304" t="s">
        <v>301</v>
      </c>
      <c r="C304" s="3">
        <v>14890000</v>
      </c>
      <c r="D304" s="3">
        <v>8</v>
      </c>
      <c r="E304" s="3">
        <f>(196616929.229*(D304/16))+((C304*D304)*$K$1)</f>
        <v>102596784.6145</v>
      </c>
      <c r="F304" s="3">
        <f t="shared" ref="F304" si="269">(C304*D304)-E304</f>
        <v>16523215.385499999</v>
      </c>
      <c r="G304" s="8">
        <f t="shared" ref="G304" si="270">F304/(E304+F304)</f>
        <v>0.13871067314892543</v>
      </c>
    </row>
    <row r="305" spans="1:13" x14ac:dyDescent="0.25">
      <c r="A305" s="47">
        <v>44895</v>
      </c>
      <c r="B305" t="s">
        <v>238</v>
      </c>
      <c r="C305" s="3">
        <v>12430000</v>
      </c>
      <c r="D305" s="3">
        <v>2</v>
      </c>
      <c r="E305" s="3">
        <f>(187034997.81*(D305/20))+((C305*D305)*$K$1)</f>
        <v>19598459.780999999</v>
      </c>
      <c r="F305" s="3">
        <f t="shared" ref="F305" si="271">(C305*D305)-E305</f>
        <v>5261540.2190000005</v>
      </c>
      <c r="G305" s="8">
        <f t="shared" ref="G305" si="272">F305/(E305+F305)</f>
        <v>0.21164683101367662</v>
      </c>
    </row>
    <row r="306" spans="1:13" x14ac:dyDescent="0.25">
      <c r="A306" s="47">
        <v>44895</v>
      </c>
      <c r="B306" t="s">
        <v>238</v>
      </c>
      <c r="C306" s="3">
        <v>12420000</v>
      </c>
      <c r="D306" s="3">
        <v>1</v>
      </c>
      <c r="E306" s="3">
        <f t="shared" ref="E306:E317" si="273">(187034997.81*(D306/20))+((C306*D306)*$K$1)</f>
        <v>9798869.8904999997</v>
      </c>
      <c r="F306" s="3">
        <f t="shared" ref="F306:F319" si="274">(C306*D306)-E306</f>
        <v>2621130.1095000003</v>
      </c>
      <c r="G306" s="8">
        <f t="shared" ref="G306:G319" si="275">F306/(E306+F306)</f>
        <v>0.2110410716183575</v>
      </c>
    </row>
    <row r="307" spans="1:13" x14ac:dyDescent="0.25">
      <c r="A307" s="47">
        <v>44895</v>
      </c>
      <c r="B307" t="s">
        <v>238</v>
      </c>
      <c r="C307" s="3">
        <v>12380000</v>
      </c>
      <c r="D307" s="3">
        <v>4</v>
      </c>
      <c r="E307" s="3">
        <f t="shared" si="273"/>
        <v>39189719.561999999</v>
      </c>
      <c r="F307" s="3">
        <f t="shared" si="274"/>
        <v>10330280.438000001</v>
      </c>
      <c r="G307" s="8">
        <f t="shared" si="275"/>
        <v>0.2086082479402262</v>
      </c>
    </row>
    <row r="308" spans="1:13" x14ac:dyDescent="0.25">
      <c r="A308" s="47">
        <v>44895</v>
      </c>
      <c r="B308" t="s">
        <v>238</v>
      </c>
      <c r="C308" s="3">
        <v>12370000</v>
      </c>
      <c r="D308" s="3">
        <v>1</v>
      </c>
      <c r="E308" s="3">
        <f>(187034997.81*(D308/20))+((C308*D308)*$K$1)</f>
        <v>9797069.8904999997</v>
      </c>
      <c r="F308" s="3">
        <f t="shared" si="274"/>
        <v>2572930.1095000003</v>
      </c>
      <c r="G308" s="8">
        <f t="shared" si="275"/>
        <v>0.20799758362974941</v>
      </c>
    </row>
    <row r="309" spans="1:13" x14ac:dyDescent="0.25">
      <c r="A309" s="47">
        <v>44895</v>
      </c>
      <c r="B309" t="s">
        <v>238</v>
      </c>
      <c r="C309" s="3">
        <v>12320000</v>
      </c>
      <c r="D309" s="3">
        <v>1</v>
      </c>
      <c r="E309" s="3">
        <f t="shared" si="273"/>
        <v>9795269.8904999997</v>
      </c>
      <c r="F309" s="3">
        <f t="shared" si="274"/>
        <v>2524730.1095000003</v>
      </c>
      <c r="G309" s="8">
        <f t="shared" si="275"/>
        <v>0.20492939200487015</v>
      </c>
    </row>
    <row r="310" spans="1:13" x14ac:dyDescent="0.25">
      <c r="A310" s="47">
        <v>44895</v>
      </c>
      <c r="B310" t="s">
        <v>238</v>
      </c>
      <c r="C310" s="3">
        <v>12280000</v>
      </c>
      <c r="D310" s="3">
        <v>3</v>
      </c>
      <c r="E310" s="3">
        <f t="shared" si="273"/>
        <v>29381489.671500001</v>
      </c>
      <c r="F310" s="3">
        <f t="shared" si="274"/>
        <v>7458510.3284999989</v>
      </c>
      <c r="G310" s="8">
        <f t="shared" si="275"/>
        <v>0.20245684930781757</v>
      </c>
    </row>
    <row r="311" spans="1:13" x14ac:dyDescent="0.25">
      <c r="A311" s="47">
        <v>44895</v>
      </c>
      <c r="B311" t="s">
        <v>238</v>
      </c>
      <c r="C311" s="3">
        <v>12220000</v>
      </c>
      <c r="D311" s="3">
        <v>1</v>
      </c>
      <c r="E311" s="3">
        <f t="shared" si="273"/>
        <v>9791669.8904999997</v>
      </c>
      <c r="F311" s="3">
        <f t="shared" si="274"/>
        <v>2428330.1095000003</v>
      </c>
      <c r="G311" s="8">
        <f t="shared" si="275"/>
        <v>0.19871768490180033</v>
      </c>
    </row>
    <row r="312" spans="1:13" x14ac:dyDescent="0.25">
      <c r="A312" s="47">
        <v>44895</v>
      </c>
      <c r="B312" t="s">
        <v>238</v>
      </c>
      <c r="C312" s="3">
        <v>12200000</v>
      </c>
      <c r="D312" s="3">
        <v>7</v>
      </c>
      <c r="E312" s="3">
        <f t="shared" si="273"/>
        <v>68536649.233500004</v>
      </c>
      <c r="F312" s="3">
        <f t="shared" si="274"/>
        <v>16863350.766499996</v>
      </c>
      <c r="G312" s="8">
        <f t="shared" si="275"/>
        <v>0.19746312372950814</v>
      </c>
    </row>
    <row r="313" spans="1:13" x14ac:dyDescent="0.25">
      <c r="A313" s="47">
        <v>44895</v>
      </c>
      <c r="B313" t="s">
        <v>170</v>
      </c>
      <c r="C313" s="3">
        <v>16380000</v>
      </c>
      <c r="D313" s="3">
        <v>2</v>
      </c>
      <c r="E313" s="3">
        <f t="shared" si="273"/>
        <v>19882859.780999999</v>
      </c>
      <c r="F313" s="3">
        <f t="shared" si="274"/>
        <v>12877140.219000001</v>
      </c>
      <c r="G313" s="8">
        <f t="shared" si="275"/>
        <v>0.39307509826007325</v>
      </c>
    </row>
    <row r="314" spans="1:13" x14ac:dyDescent="0.25">
      <c r="A314" s="47">
        <v>44895</v>
      </c>
      <c r="B314" t="s">
        <v>170</v>
      </c>
      <c r="C314" s="3">
        <v>16370000</v>
      </c>
      <c r="D314" s="3">
        <v>1</v>
      </c>
      <c r="E314" s="3">
        <f t="shared" si="273"/>
        <v>9941069.8904999997</v>
      </c>
      <c r="F314" s="3">
        <f t="shared" si="274"/>
        <v>6428930.1095000003</v>
      </c>
      <c r="G314" s="8">
        <f t="shared" si="275"/>
        <v>0.39272633533903484</v>
      </c>
    </row>
    <row r="315" spans="1:13" x14ac:dyDescent="0.25">
      <c r="A315" s="47">
        <v>44895</v>
      </c>
      <c r="B315" t="s">
        <v>170</v>
      </c>
      <c r="C315" s="3">
        <v>16350000</v>
      </c>
      <c r="D315" s="3">
        <v>11</v>
      </c>
      <c r="E315" s="3">
        <f t="shared" si="273"/>
        <v>109343848.79550001</v>
      </c>
      <c r="F315" s="3">
        <f t="shared" si="274"/>
        <v>70506151.20449999</v>
      </c>
      <c r="G315" s="8">
        <f t="shared" si="275"/>
        <v>0.39202752963302745</v>
      </c>
    </row>
    <row r="316" spans="1:13" x14ac:dyDescent="0.25">
      <c r="A316" s="47">
        <v>44895</v>
      </c>
      <c r="B316" t="s">
        <v>170</v>
      </c>
      <c r="C316" s="3">
        <v>16340000</v>
      </c>
      <c r="D316" s="3">
        <v>1</v>
      </c>
      <c r="E316" s="3">
        <f t="shared" si="273"/>
        <v>9939989.8904999997</v>
      </c>
      <c r="F316" s="3">
        <f t="shared" si="274"/>
        <v>6400010.1095000003</v>
      </c>
      <c r="G316" s="8">
        <f t="shared" si="275"/>
        <v>0.39167748528151775</v>
      </c>
    </row>
    <row r="317" spans="1:13" x14ac:dyDescent="0.25">
      <c r="A317" s="47">
        <v>44895</v>
      </c>
      <c r="B317" t="s">
        <v>170</v>
      </c>
      <c r="C317" s="3">
        <v>16100000</v>
      </c>
      <c r="D317" s="3">
        <v>1</v>
      </c>
      <c r="E317" s="3">
        <f t="shared" si="273"/>
        <v>9931349.8904999997</v>
      </c>
      <c r="F317" s="3">
        <f t="shared" si="274"/>
        <v>6168650.1095000003</v>
      </c>
      <c r="G317" s="8">
        <f t="shared" si="275"/>
        <v>0.38314596953416152</v>
      </c>
      <c r="K317" s="16"/>
      <c r="M317" s="3"/>
    </row>
    <row r="318" spans="1:13" x14ac:dyDescent="0.25">
      <c r="E318" s="3">
        <f>SUM(E283:E317)</f>
        <v>1281868162.6789999</v>
      </c>
      <c r="F318" s="3">
        <f>SUM(F283:F317)</f>
        <v>392731837.32099986</v>
      </c>
      <c r="J318" s="8">
        <f>F318/(F318+E318)</f>
        <v>0.23452277398841509</v>
      </c>
      <c r="K318" s="3">
        <f>F318+E318</f>
        <v>1674599999.9999998</v>
      </c>
      <c r="L318" s="8"/>
      <c r="M318" s="3"/>
    </row>
    <row r="319" spans="1:13" x14ac:dyDescent="0.25">
      <c r="A319" s="47">
        <v>44904</v>
      </c>
      <c r="B319" t="s">
        <v>412</v>
      </c>
      <c r="C319" s="3">
        <v>19450000</v>
      </c>
      <c r="D319" s="3">
        <v>3</v>
      </c>
      <c r="E319" s="3">
        <f>(616255422.2*(D319/36))+((C319*D319)*$K$1)</f>
        <v>53455218.516666666</v>
      </c>
      <c r="F319" s="3">
        <f t="shared" si="274"/>
        <v>4894781.4833333343</v>
      </c>
      <c r="G319" s="8">
        <f t="shared" si="275"/>
        <v>8.3886572122250799E-2</v>
      </c>
    </row>
    <row r="320" spans="1:13" x14ac:dyDescent="0.25">
      <c r="A320" s="47">
        <v>44904</v>
      </c>
      <c r="B320" t="s">
        <v>412</v>
      </c>
      <c r="C320" s="3">
        <v>19250000</v>
      </c>
      <c r="D320" s="3">
        <v>1</v>
      </c>
      <c r="E320" s="3">
        <f>(616255422.2*(D320/36))+((C320*D320)*$K$1)</f>
        <v>17811206.172222223</v>
      </c>
      <c r="F320" s="3">
        <f t="shared" ref="F320" si="276">(C320*D320)-E320</f>
        <v>1438793.8277777769</v>
      </c>
      <c r="G320" s="8">
        <f t="shared" ref="G320" si="277">F320/(E320+F320)</f>
        <v>7.4742536507936455E-2</v>
      </c>
    </row>
    <row r="321" spans="1:16" x14ac:dyDescent="0.25">
      <c r="A321" s="47">
        <v>44904</v>
      </c>
      <c r="B321" t="s">
        <v>412</v>
      </c>
      <c r="C321" s="3">
        <v>18800000</v>
      </c>
      <c r="D321" s="3">
        <v>4</v>
      </c>
      <c r="E321" s="3">
        <f>(616255422.2*(D321/36))+((C321*D321)*$K$1)</f>
        <v>71180024.688888893</v>
      </c>
      <c r="F321" s="3">
        <f t="shared" ref="F321:F322" si="278">(C321*D321)-E321</f>
        <v>4019975.3111111075</v>
      </c>
      <c r="G321" s="8">
        <f t="shared" ref="G321:G327" si="279">F321/(E321+F321)</f>
        <v>5.3457118498817915E-2</v>
      </c>
    </row>
    <row r="322" spans="1:16" x14ac:dyDescent="0.25">
      <c r="A322" s="47">
        <v>44904</v>
      </c>
      <c r="B322" t="s">
        <v>412</v>
      </c>
      <c r="C322" s="3">
        <v>18760000</v>
      </c>
      <c r="D322" s="3">
        <v>16</v>
      </c>
      <c r="E322" s="3">
        <f>(616255422.2*(D322/36))+((C322*D322)*$K$1)</f>
        <v>284697058.75555557</v>
      </c>
      <c r="F322" s="3">
        <f t="shared" si="278"/>
        <v>15462941.24444443</v>
      </c>
      <c r="G322" s="8">
        <f t="shared" si="279"/>
        <v>5.1515662461501965E-2</v>
      </c>
    </row>
    <row r="323" spans="1:16" x14ac:dyDescent="0.25">
      <c r="A323" s="47">
        <v>44904</v>
      </c>
      <c r="B323" t="s">
        <v>412</v>
      </c>
      <c r="C323" s="3">
        <v>19560000</v>
      </c>
      <c r="D323" s="3">
        <v>3</v>
      </c>
      <c r="E323" s="3">
        <f t="shared" ref="E323:E326" si="280">(616255422.2*(D323/36))+((C323*D323)*$K$1)</f>
        <v>53467098.516666666</v>
      </c>
      <c r="F323" s="3">
        <f t="shared" ref="F323:F327" si="281">(C323*D323)-E323</f>
        <v>5212901.4833333343</v>
      </c>
      <c r="G323" s="8">
        <f t="shared" si="279"/>
        <v>8.883608526471258E-2</v>
      </c>
    </row>
    <row r="324" spans="1:16" x14ac:dyDescent="0.25">
      <c r="A324" s="47">
        <v>44904</v>
      </c>
      <c r="B324" t="s">
        <v>412</v>
      </c>
      <c r="C324" s="3">
        <v>19550000</v>
      </c>
      <c r="D324" s="3">
        <v>4</v>
      </c>
      <c r="E324" s="3">
        <f t="shared" si="280"/>
        <v>71288024.688888893</v>
      </c>
      <c r="F324" s="3">
        <f t="shared" si="281"/>
        <v>6911975.3111111075</v>
      </c>
      <c r="G324" s="8">
        <f t="shared" si="279"/>
        <v>8.8388431088377337E-2</v>
      </c>
    </row>
    <row r="325" spans="1:16" x14ac:dyDescent="0.25">
      <c r="A325" s="47">
        <v>44904</v>
      </c>
      <c r="B325" t="s">
        <v>412</v>
      </c>
      <c r="C325" s="3">
        <v>19540000</v>
      </c>
      <c r="D325" s="3">
        <v>3</v>
      </c>
      <c r="E325" s="3">
        <f t="shared" si="280"/>
        <v>53464938.516666666</v>
      </c>
      <c r="F325" s="3">
        <f t="shared" si="281"/>
        <v>5155061.4833333343</v>
      </c>
      <c r="G325" s="8">
        <f t="shared" si="279"/>
        <v>8.7940318719435931E-2</v>
      </c>
    </row>
    <row r="326" spans="1:16" x14ac:dyDescent="0.25">
      <c r="A326" s="47">
        <v>44904</v>
      </c>
      <c r="B326" t="s">
        <v>412</v>
      </c>
      <c r="C326" s="3">
        <v>18850000</v>
      </c>
      <c r="D326" s="3">
        <v>2</v>
      </c>
      <c r="E326" s="3">
        <f t="shared" si="280"/>
        <v>35593612.344444446</v>
      </c>
      <c r="F326" s="3">
        <f t="shared" si="281"/>
        <v>2106387.6555555537</v>
      </c>
      <c r="G326" s="8">
        <f t="shared" si="279"/>
        <v>5.5872351606248108E-2</v>
      </c>
    </row>
    <row r="327" spans="1:16" x14ac:dyDescent="0.25">
      <c r="A327" s="47">
        <v>44919</v>
      </c>
      <c r="B327" t="s">
        <v>231</v>
      </c>
      <c r="C327" s="3">
        <v>400000</v>
      </c>
      <c r="D327" s="3">
        <v>500</v>
      </c>
      <c r="E327" s="3">
        <f>(287549125*(D327/1000))+((C327*D327)*$K$1)</f>
        <v>150974562.5</v>
      </c>
      <c r="F327" s="3">
        <f t="shared" si="281"/>
        <v>49025437.5</v>
      </c>
      <c r="G327" s="8">
        <f t="shared" si="279"/>
        <v>0.24512718750000001</v>
      </c>
    </row>
    <row r="328" spans="1:16" x14ac:dyDescent="0.25">
      <c r="A328" s="47">
        <v>44919</v>
      </c>
      <c r="B328" t="s">
        <v>231</v>
      </c>
      <c r="C328" s="3">
        <v>371000</v>
      </c>
      <c r="D328" s="3">
        <v>500</v>
      </c>
      <c r="E328" s="3">
        <f>(287549125*(D328/1000))+((C328*D328)*$K$1)</f>
        <v>150452562.5</v>
      </c>
      <c r="F328" s="3">
        <f t="shared" ref="F328" si="282">(C328*D328)-E328</f>
        <v>35047437.5</v>
      </c>
      <c r="G328" s="8">
        <f t="shared" ref="G328" si="283">F328/(E328+F328)</f>
        <v>0.1889349730458221</v>
      </c>
    </row>
    <row r="331" spans="1:16" x14ac:dyDescent="0.25">
      <c r="J331" s="67" t="s">
        <v>49</v>
      </c>
      <c r="K331" s="67" t="s">
        <v>362</v>
      </c>
      <c r="L331" s="67" t="s">
        <v>363</v>
      </c>
      <c r="M331" s="67" t="s">
        <v>364</v>
      </c>
    </row>
    <row r="332" spans="1:16" x14ac:dyDescent="0.25">
      <c r="J332" t="s">
        <v>334</v>
      </c>
      <c r="K332" s="2">
        <v>288746702.43177003</v>
      </c>
      <c r="L332" s="21">
        <v>16</v>
      </c>
      <c r="M332" s="4">
        <f t="shared" ref="M332:M339" si="284">K332/L332</f>
        <v>18046668.901985627</v>
      </c>
    </row>
    <row r="333" spans="1:16" x14ac:dyDescent="0.25">
      <c r="J333" t="s">
        <v>191</v>
      </c>
      <c r="K333" s="2">
        <v>433001333.39414001</v>
      </c>
      <c r="L333" s="21">
        <v>40</v>
      </c>
      <c r="M333" s="4">
        <f t="shared" si="284"/>
        <v>10825033.3348535</v>
      </c>
      <c r="N333" s="2">
        <v>15000000</v>
      </c>
      <c r="O333" s="4">
        <f>N333-M333</f>
        <v>4174966.6651464999</v>
      </c>
      <c r="P333" s="8">
        <f>O333/N333</f>
        <v>0.27833111100976665</v>
      </c>
    </row>
    <row r="334" spans="1:16" x14ac:dyDescent="0.25">
      <c r="J334" t="s">
        <v>193</v>
      </c>
      <c r="K334" s="2">
        <v>206660017.83026999</v>
      </c>
      <c r="L334" s="21">
        <v>16</v>
      </c>
      <c r="M334" s="4">
        <f t="shared" si="284"/>
        <v>12916251.114391875</v>
      </c>
    </row>
    <row r="335" spans="1:16" x14ac:dyDescent="0.25">
      <c r="J335" t="s">
        <v>238</v>
      </c>
      <c r="K335" s="2">
        <v>187034997.808</v>
      </c>
      <c r="L335" s="21">
        <v>20</v>
      </c>
      <c r="M335" s="4">
        <f t="shared" si="284"/>
        <v>9351749.8903999999</v>
      </c>
    </row>
    <row r="336" spans="1:16" x14ac:dyDescent="0.25">
      <c r="J336" t="s">
        <v>299</v>
      </c>
      <c r="K336" s="2">
        <v>157503516.70726201</v>
      </c>
      <c r="L336" s="21">
        <v>16</v>
      </c>
      <c r="M336" s="4">
        <f t="shared" si="284"/>
        <v>9843969.7942038756</v>
      </c>
    </row>
    <row r="337" spans="10:13" x14ac:dyDescent="0.25">
      <c r="J337" t="s">
        <v>170</v>
      </c>
      <c r="K337" s="2">
        <v>205562422.065</v>
      </c>
      <c r="L337" s="21">
        <v>16</v>
      </c>
      <c r="M337" s="4">
        <f t="shared" si="284"/>
        <v>12847651.3790625</v>
      </c>
    </row>
    <row r="338" spans="10:13" x14ac:dyDescent="0.25">
      <c r="J338" t="s">
        <v>301</v>
      </c>
      <c r="K338" s="2">
        <v>196616929.229</v>
      </c>
      <c r="L338" s="21">
        <v>16</v>
      </c>
      <c r="M338" s="4">
        <f t="shared" si="284"/>
        <v>12288558.0768125</v>
      </c>
    </row>
    <row r="339" spans="10:13" x14ac:dyDescent="0.25">
      <c r="J339" t="s">
        <v>412</v>
      </c>
      <c r="K339" s="2">
        <v>616255422.19799995</v>
      </c>
      <c r="L339" s="21">
        <f>4*9</f>
        <v>36</v>
      </c>
      <c r="M339" s="4">
        <f t="shared" si="284"/>
        <v>17118206.172166664</v>
      </c>
    </row>
    <row r="342" spans="10:13" x14ac:dyDescent="0.25">
      <c r="J342">
        <v>72323186.033000007</v>
      </c>
    </row>
    <row r="343" spans="10:13" x14ac:dyDescent="0.25">
      <c r="J343">
        <v>287549125</v>
      </c>
    </row>
  </sheetData>
  <pageMargins left="0.7" right="0.7" top="0.75" bottom="0.75" header="0.3" footer="0.3"/>
  <pageSetup scale="4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037A7-5D50-4D4E-B20C-D45DC461B0AA}">
  <sheetPr>
    <tabColor rgb="FFFFFF00"/>
  </sheetPr>
  <dimension ref="A1:P62"/>
  <sheetViews>
    <sheetView tabSelected="1" workbookViewId="0">
      <selection activeCell="G3" sqref="G3"/>
    </sheetView>
  </sheetViews>
  <sheetFormatPr defaultRowHeight="15" x14ac:dyDescent="0.25"/>
  <cols>
    <col min="1" max="1" width="31.5703125" customWidth="1"/>
    <col min="2" max="2" width="13.28515625" bestFit="1" customWidth="1"/>
    <col min="5" max="5" width="23.5703125" bestFit="1" customWidth="1"/>
    <col min="6" max="6" width="14.28515625" bestFit="1" customWidth="1"/>
    <col min="9" max="9" width="18.85546875" bestFit="1" customWidth="1"/>
    <col min="10" max="10" width="15.28515625" bestFit="1" customWidth="1"/>
    <col min="11" max="11" width="21.7109375" bestFit="1" customWidth="1"/>
    <col min="12" max="12" width="14.28515625" customWidth="1"/>
    <col min="13" max="14" width="17" bestFit="1" customWidth="1"/>
    <col min="16" max="16" width="14.28515625" bestFit="1" customWidth="1"/>
  </cols>
  <sheetData>
    <row r="1" spans="1:16" x14ac:dyDescent="0.25">
      <c r="A1" s="57" t="s">
        <v>117</v>
      </c>
      <c r="B1" t="s">
        <v>26</v>
      </c>
      <c r="D1" t="s">
        <v>252</v>
      </c>
      <c r="J1" t="s">
        <v>26</v>
      </c>
      <c r="M1" t="s">
        <v>149</v>
      </c>
      <c r="N1" t="s">
        <v>150</v>
      </c>
    </row>
    <row r="2" spans="1:16" x14ac:dyDescent="0.25">
      <c r="A2" t="s">
        <v>6</v>
      </c>
      <c r="B2" s="22">
        <v>98300</v>
      </c>
      <c r="D2" t="s">
        <v>6</v>
      </c>
      <c r="F2" s="2"/>
      <c r="I2" t="s">
        <v>107</v>
      </c>
      <c r="J2" s="22">
        <v>4.57</v>
      </c>
      <c r="L2" t="s">
        <v>119</v>
      </c>
      <c r="M2" s="22">
        <v>8.68</v>
      </c>
      <c r="N2" s="22">
        <v>1063</v>
      </c>
    </row>
    <row r="3" spans="1:16" x14ac:dyDescent="0.25">
      <c r="A3" t="s">
        <v>1</v>
      </c>
      <c r="B3" s="22">
        <v>27280</v>
      </c>
      <c r="E3" t="s">
        <v>8</v>
      </c>
      <c r="F3" s="22">
        <v>145.9</v>
      </c>
      <c r="I3" t="s">
        <v>109</v>
      </c>
      <c r="J3" s="22">
        <v>18.010000000000002</v>
      </c>
      <c r="L3" t="s">
        <v>120</v>
      </c>
      <c r="M3" s="22">
        <v>9.7100000000000009</v>
      </c>
      <c r="N3" s="22">
        <v>1089</v>
      </c>
    </row>
    <row r="4" spans="1:16" x14ac:dyDescent="0.25">
      <c r="A4" t="s">
        <v>7</v>
      </c>
      <c r="B4" s="22">
        <v>36280</v>
      </c>
      <c r="C4" t="s">
        <v>347</v>
      </c>
      <c r="D4" t="s">
        <v>4</v>
      </c>
      <c r="F4" s="2"/>
      <c r="I4" t="s">
        <v>110</v>
      </c>
      <c r="J4" s="22">
        <v>63.36</v>
      </c>
      <c r="L4" t="s">
        <v>121</v>
      </c>
      <c r="M4" s="22">
        <v>11.15</v>
      </c>
      <c r="N4" s="22">
        <v>1205</v>
      </c>
    </row>
    <row r="5" spans="1:16" x14ac:dyDescent="0.25">
      <c r="A5" t="s">
        <v>4</v>
      </c>
      <c r="B5" s="22">
        <v>41900</v>
      </c>
      <c r="E5" t="s">
        <v>13</v>
      </c>
      <c r="F5" s="22">
        <v>11940</v>
      </c>
      <c r="I5" t="s">
        <v>111</v>
      </c>
      <c r="J5" s="22">
        <v>55.98</v>
      </c>
      <c r="M5" s="2"/>
      <c r="N5" s="2"/>
    </row>
    <row r="6" spans="1:16" x14ac:dyDescent="0.25">
      <c r="A6" t="s">
        <v>3</v>
      </c>
      <c r="B6" s="22">
        <v>20490</v>
      </c>
      <c r="D6" s="17"/>
      <c r="E6" s="17"/>
      <c r="F6" s="17"/>
      <c r="I6" t="s">
        <v>112</v>
      </c>
      <c r="J6" s="22">
        <v>1341</v>
      </c>
      <c r="K6" t="s">
        <v>303</v>
      </c>
      <c r="L6" t="s">
        <v>122</v>
      </c>
      <c r="M6" s="22">
        <v>14.19</v>
      </c>
      <c r="N6" s="22">
        <v>1971</v>
      </c>
    </row>
    <row r="7" spans="1:16" x14ac:dyDescent="0.25">
      <c r="A7" t="s">
        <v>2</v>
      </c>
      <c r="B7" s="22">
        <v>48870</v>
      </c>
      <c r="D7" t="s">
        <v>248</v>
      </c>
      <c r="F7" s="2"/>
      <c r="I7" t="s">
        <v>114</v>
      </c>
      <c r="J7" s="22">
        <v>598</v>
      </c>
      <c r="L7" t="s">
        <v>123</v>
      </c>
      <c r="M7" s="22">
        <v>18.989999999999998</v>
      </c>
      <c r="N7" s="22">
        <v>2091</v>
      </c>
    </row>
    <row r="8" spans="1:16" x14ac:dyDescent="0.25">
      <c r="A8" t="s">
        <v>5</v>
      </c>
      <c r="B8" s="22">
        <v>12550</v>
      </c>
      <c r="C8" t="s">
        <v>117</v>
      </c>
      <c r="D8" t="s">
        <v>153</v>
      </c>
      <c r="I8" t="s">
        <v>113</v>
      </c>
      <c r="J8" s="22">
        <v>868.3</v>
      </c>
      <c r="L8" t="s">
        <v>124</v>
      </c>
      <c r="M8" s="22">
        <v>15.32</v>
      </c>
      <c r="N8" s="22">
        <v>2490</v>
      </c>
    </row>
    <row r="9" spans="1:16" x14ac:dyDescent="0.25">
      <c r="E9" t="s">
        <v>163</v>
      </c>
      <c r="F9" s="22">
        <v>167.9</v>
      </c>
      <c r="I9" t="s">
        <v>43</v>
      </c>
      <c r="J9" s="22">
        <v>41900</v>
      </c>
      <c r="M9" s="2"/>
      <c r="N9" s="2"/>
      <c r="P9" s="3"/>
    </row>
    <row r="10" spans="1:16" x14ac:dyDescent="0.25">
      <c r="A10" s="57" t="s">
        <v>160</v>
      </c>
      <c r="D10" t="s">
        <v>157</v>
      </c>
      <c r="L10" t="s">
        <v>125</v>
      </c>
      <c r="M10" s="22">
        <v>22.45</v>
      </c>
      <c r="N10" s="22">
        <v>3279</v>
      </c>
      <c r="P10" s="3"/>
    </row>
    <row r="11" spans="1:16" x14ac:dyDescent="0.25">
      <c r="A11" t="s">
        <v>153</v>
      </c>
      <c r="B11" s="22">
        <v>82470</v>
      </c>
      <c r="E11" t="s">
        <v>166</v>
      </c>
      <c r="F11" s="22">
        <v>11570</v>
      </c>
      <c r="L11" t="s">
        <v>126</v>
      </c>
      <c r="M11" s="22">
        <v>25.48</v>
      </c>
      <c r="N11" s="22">
        <v>3100</v>
      </c>
      <c r="P11" s="3"/>
    </row>
    <row r="12" spans="1:16" x14ac:dyDescent="0.25">
      <c r="A12" t="s">
        <v>154</v>
      </c>
      <c r="B12" s="22">
        <v>37930</v>
      </c>
      <c r="C12" t="s">
        <v>347</v>
      </c>
      <c r="D12" s="17"/>
      <c r="E12" s="17"/>
      <c r="F12" s="17"/>
      <c r="I12" t="s">
        <v>205</v>
      </c>
      <c r="J12" s="22">
        <v>211900</v>
      </c>
      <c r="L12" t="s">
        <v>127</v>
      </c>
      <c r="M12" s="22">
        <v>37.28</v>
      </c>
      <c r="N12" s="22">
        <v>3025</v>
      </c>
      <c r="P12" s="3"/>
    </row>
    <row r="13" spans="1:16" x14ac:dyDescent="0.25">
      <c r="A13" t="s">
        <v>155</v>
      </c>
      <c r="B13" s="22">
        <v>28150</v>
      </c>
      <c r="D13" t="s">
        <v>249</v>
      </c>
      <c r="I13" t="s">
        <v>206</v>
      </c>
      <c r="J13" s="22">
        <v>194000</v>
      </c>
      <c r="M13" s="2"/>
      <c r="N13" s="2"/>
      <c r="P13" s="3"/>
    </row>
    <row r="14" spans="1:16" x14ac:dyDescent="0.25">
      <c r="A14" t="s">
        <v>156</v>
      </c>
      <c r="B14" s="22">
        <v>26800</v>
      </c>
      <c r="D14" t="s">
        <v>177</v>
      </c>
      <c r="I14" t="s">
        <v>55</v>
      </c>
      <c r="J14" s="22">
        <v>167.4</v>
      </c>
      <c r="L14" t="s">
        <v>128</v>
      </c>
      <c r="M14" s="22">
        <v>72.62</v>
      </c>
      <c r="N14" s="22">
        <v>8528</v>
      </c>
      <c r="P14" s="3"/>
    </row>
    <row r="15" spans="1:16" x14ac:dyDescent="0.25">
      <c r="A15" t="s">
        <v>157</v>
      </c>
      <c r="B15" s="22">
        <v>34540</v>
      </c>
      <c r="E15" t="s">
        <v>183</v>
      </c>
      <c r="F15" s="22">
        <v>144</v>
      </c>
      <c r="I15" t="s">
        <v>59</v>
      </c>
      <c r="J15" s="22">
        <v>85</v>
      </c>
      <c r="L15" t="s">
        <v>130</v>
      </c>
      <c r="M15" s="22">
        <v>93</v>
      </c>
      <c r="N15" s="22">
        <v>9600</v>
      </c>
      <c r="P15" s="3"/>
    </row>
    <row r="16" spans="1:16" x14ac:dyDescent="0.25">
      <c r="A16" t="s">
        <v>158</v>
      </c>
      <c r="B16" s="22">
        <v>42930</v>
      </c>
      <c r="D16" t="s">
        <v>181</v>
      </c>
      <c r="I16" t="s">
        <v>60</v>
      </c>
      <c r="J16" s="22">
        <v>864.6</v>
      </c>
      <c r="L16" t="s">
        <v>129</v>
      </c>
      <c r="M16" s="22">
        <v>72.62</v>
      </c>
      <c r="N16" s="22">
        <v>9426</v>
      </c>
      <c r="P16" s="3"/>
    </row>
    <row r="17" spans="1:16" x14ac:dyDescent="0.25">
      <c r="A17" t="s">
        <v>159</v>
      </c>
      <c r="B17" s="22">
        <v>11490</v>
      </c>
      <c r="E17" t="s">
        <v>184</v>
      </c>
      <c r="F17" s="22">
        <v>13250</v>
      </c>
      <c r="G17" t="s">
        <v>347</v>
      </c>
      <c r="I17" t="s">
        <v>200</v>
      </c>
      <c r="J17" s="22">
        <v>517.9</v>
      </c>
      <c r="M17" s="2"/>
      <c r="N17" s="2"/>
      <c r="P17" s="3"/>
    </row>
    <row r="18" spans="1:16" x14ac:dyDescent="0.25">
      <c r="D18" s="17"/>
      <c r="E18" s="17"/>
      <c r="F18" s="17"/>
      <c r="I18" t="s">
        <v>151</v>
      </c>
      <c r="J18" s="22">
        <v>1694</v>
      </c>
      <c r="L18" t="s">
        <v>134</v>
      </c>
      <c r="M18" s="22">
        <v>64.09</v>
      </c>
      <c r="N18" s="22">
        <v>9006</v>
      </c>
      <c r="P18" s="3"/>
    </row>
    <row r="19" spans="1:16" x14ac:dyDescent="0.25">
      <c r="A19" s="57" t="s">
        <v>182</v>
      </c>
      <c r="D19" t="s">
        <v>250</v>
      </c>
      <c r="I19" t="s">
        <v>201</v>
      </c>
      <c r="J19" s="22">
        <v>79870</v>
      </c>
      <c r="L19" t="s">
        <v>135</v>
      </c>
      <c r="M19" s="22">
        <v>62.3</v>
      </c>
      <c r="N19" s="22">
        <v>7721</v>
      </c>
      <c r="P19" s="3"/>
    </row>
    <row r="20" spans="1:16" x14ac:dyDescent="0.25">
      <c r="A20" t="s">
        <v>175</v>
      </c>
      <c r="B20" s="22">
        <v>27000</v>
      </c>
      <c r="D20" t="s">
        <v>247</v>
      </c>
      <c r="I20" t="s">
        <v>202</v>
      </c>
      <c r="J20" s="22">
        <v>10950</v>
      </c>
      <c r="L20" t="s">
        <v>136</v>
      </c>
      <c r="M20" s="22">
        <v>62.99</v>
      </c>
      <c r="N20" s="22">
        <v>8367</v>
      </c>
      <c r="P20" s="3"/>
    </row>
    <row r="21" spans="1:16" x14ac:dyDescent="0.25">
      <c r="A21" t="s">
        <v>176</v>
      </c>
      <c r="B21" s="22">
        <v>45480</v>
      </c>
      <c r="E21" t="s">
        <v>241</v>
      </c>
      <c r="F21" s="22">
        <v>159.1</v>
      </c>
      <c r="I21" t="s">
        <v>63</v>
      </c>
      <c r="J21" s="22">
        <v>10990</v>
      </c>
      <c r="M21" s="2"/>
      <c r="N21" s="2"/>
      <c r="P21" s="3"/>
    </row>
    <row r="22" spans="1:16" x14ac:dyDescent="0.25">
      <c r="A22" t="s">
        <v>177</v>
      </c>
      <c r="B22" s="22">
        <v>9112</v>
      </c>
      <c r="D22" t="s">
        <v>243</v>
      </c>
      <c r="I22" t="s">
        <v>64</v>
      </c>
      <c r="J22" s="22">
        <v>10880</v>
      </c>
      <c r="L22" t="s">
        <v>131</v>
      </c>
      <c r="M22" s="22">
        <v>409.5</v>
      </c>
      <c r="N22" s="22">
        <v>20000</v>
      </c>
      <c r="P22" s="3"/>
    </row>
    <row r="23" spans="1:16" x14ac:dyDescent="0.25">
      <c r="A23" t="s">
        <v>178</v>
      </c>
      <c r="B23" s="22">
        <v>17950</v>
      </c>
      <c r="E23" t="s">
        <v>251</v>
      </c>
      <c r="F23" s="22">
        <v>9919</v>
      </c>
      <c r="I23" t="s">
        <v>203</v>
      </c>
      <c r="J23" s="22">
        <v>592.79999999999995</v>
      </c>
      <c r="L23" t="s">
        <v>132</v>
      </c>
      <c r="M23" s="22">
        <v>160</v>
      </c>
      <c r="N23" s="22">
        <v>20600</v>
      </c>
      <c r="P23" s="3"/>
    </row>
    <row r="24" spans="1:16" x14ac:dyDescent="0.25">
      <c r="A24" t="s">
        <v>179</v>
      </c>
      <c r="B24" s="22">
        <v>33000</v>
      </c>
      <c r="I24" t="s">
        <v>204</v>
      </c>
      <c r="J24" s="22">
        <v>13900</v>
      </c>
      <c r="L24" t="s">
        <v>133</v>
      </c>
      <c r="M24" s="22">
        <v>178.1</v>
      </c>
      <c r="N24" s="22">
        <v>21290</v>
      </c>
      <c r="P24" s="3"/>
    </row>
    <row r="25" spans="1:16" x14ac:dyDescent="0.25">
      <c r="A25" t="s">
        <v>180</v>
      </c>
      <c r="B25" s="22">
        <v>71000</v>
      </c>
      <c r="D25" t="s">
        <v>253</v>
      </c>
      <c r="F25" s="37"/>
      <c r="P25" s="3"/>
    </row>
    <row r="26" spans="1:16" x14ac:dyDescent="0.25">
      <c r="A26" t="s">
        <v>181</v>
      </c>
      <c r="B26" s="22">
        <v>31950</v>
      </c>
      <c r="D26" t="s">
        <v>413</v>
      </c>
      <c r="E26" t="s">
        <v>9</v>
      </c>
      <c r="F26" s="22">
        <v>49950</v>
      </c>
      <c r="I26" t="s">
        <v>315</v>
      </c>
      <c r="J26" s="22">
        <v>550000</v>
      </c>
      <c r="L26" t="s">
        <v>148</v>
      </c>
      <c r="M26" s="22">
        <v>152000</v>
      </c>
      <c r="N26" s="22">
        <v>167100</v>
      </c>
      <c r="P26" s="3"/>
    </row>
    <row r="27" spans="1:16" x14ac:dyDescent="0.25">
      <c r="B27" s="37"/>
      <c r="E27" t="s">
        <v>10</v>
      </c>
      <c r="F27" s="22">
        <v>1484</v>
      </c>
      <c r="L27" s="37"/>
      <c r="M27" s="37"/>
      <c r="P27" s="3"/>
    </row>
    <row r="28" spans="1:16" x14ac:dyDescent="0.25">
      <c r="A28" s="57" t="s">
        <v>194</v>
      </c>
      <c r="E28" t="s">
        <v>11</v>
      </c>
      <c r="F28" s="22">
        <v>23970</v>
      </c>
      <c r="H28" t="s">
        <v>196</v>
      </c>
      <c r="M28" s="37"/>
      <c r="P28" s="3"/>
    </row>
    <row r="29" spans="1:16" x14ac:dyDescent="0.25">
      <c r="A29" t="s">
        <v>247</v>
      </c>
      <c r="B29" s="22">
        <v>11380</v>
      </c>
      <c r="E29" t="s">
        <v>12</v>
      </c>
      <c r="F29" s="22">
        <v>332.4</v>
      </c>
      <c r="H29" t="s">
        <v>256</v>
      </c>
      <c r="I29" t="s">
        <v>190</v>
      </c>
      <c r="K29" s="4" t="s">
        <v>198</v>
      </c>
      <c r="L29" t="s">
        <v>197</v>
      </c>
      <c r="M29" s="37"/>
      <c r="P29" s="3"/>
    </row>
    <row r="30" spans="1:16" x14ac:dyDescent="0.25">
      <c r="A30" t="s">
        <v>242</v>
      </c>
      <c r="B30" s="22">
        <v>76280</v>
      </c>
      <c r="E30" t="s">
        <v>14</v>
      </c>
      <c r="F30" s="22">
        <v>3902</v>
      </c>
      <c r="H30" t="s">
        <v>117</v>
      </c>
      <c r="I30" t="s">
        <v>191</v>
      </c>
      <c r="J30" s="22">
        <v>15690000</v>
      </c>
      <c r="K30" s="4">
        <f>'Ship Component Reqs'!S13</f>
        <v>68943117.772000015</v>
      </c>
      <c r="L30" s="25">
        <f>'Ship Component Reqs'!S14</f>
        <v>0.12205778233127967</v>
      </c>
      <c r="M30" s="37" t="s">
        <v>304</v>
      </c>
      <c r="P30" s="3"/>
    </row>
    <row r="31" spans="1:16" x14ac:dyDescent="0.25">
      <c r="A31" t="s">
        <v>240</v>
      </c>
      <c r="B31" s="22">
        <v>31420</v>
      </c>
      <c r="C31" t="s">
        <v>347</v>
      </c>
      <c r="E31" t="s">
        <v>15</v>
      </c>
      <c r="F31" s="22">
        <v>6173</v>
      </c>
      <c r="H31" t="s">
        <v>117</v>
      </c>
      <c r="I31" t="s">
        <v>192</v>
      </c>
      <c r="J31" s="22">
        <v>30010000</v>
      </c>
      <c r="K31" s="4">
        <f>'Ship Component Reqs'!S43</f>
        <v>-12614786.938999996</v>
      </c>
      <c r="L31" s="25">
        <f>'Ship Component Reqs'!S44</f>
        <v>-0.42035278037320878</v>
      </c>
      <c r="M31" s="37" t="s">
        <v>304</v>
      </c>
      <c r="P31" s="3"/>
    </row>
    <row r="32" spans="1:16" x14ac:dyDescent="0.25">
      <c r="A32" t="s">
        <v>246</v>
      </c>
      <c r="B32" s="22">
        <v>19100</v>
      </c>
      <c r="E32" t="s">
        <v>16</v>
      </c>
      <c r="F32" s="22">
        <v>579.4</v>
      </c>
      <c r="H32" t="s">
        <v>117</v>
      </c>
      <c r="I32" t="s">
        <v>193</v>
      </c>
      <c r="J32" s="22">
        <v>14540000</v>
      </c>
      <c r="K32" s="4">
        <f>'Ship Component Reqs'!S28</f>
        <v>-34156414.883000016</v>
      </c>
      <c r="L32" s="25">
        <f>'Ship Component Reqs'!S29</f>
        <v>-0.14682090303903034</v>
      </c>
      <c r="M32" s="37" t="s">
        <v>304</v>
      </c>
      <c r="P32" s="3"/>
    </row>
    <row r="33" spans="1:16" x14ac:dyDescent="0.25">
      <c r="A33" t="s">
        <v>243</v>
      </c>
      <c r="B33" s="22">
        <v>38800</v>
      </c>
      <c r="H33" t="s">
        <v>117</v>
      </c>
      <c r="I33" t="s">
        <v>334</v>
      </c>
      <c r="J33" s="22">
        <v>20230000</v>
      </c>
      <c r="K33" s="4">
        <f>'Ship Component Reqs'!S57</f>
        <v>-6976346.6279999912</v>
      </c>
      <c r="L33" s="25">
        <f>'Ship Component Reqs'!S58</f>
        <v>-8.6212884676223317E-2</v>
      </c>
      <c r="M33" s="37" t="s">
        <v>304</v>
      </c>
      <c r="P33" s="3"/>
    </row>
    <row r="34" spans="1:16" x14ac:dyDescent="0.25">
      <c r="A34" t="s">
        <v>244</v>
      </c>
      <c r="B34" s="22">
        <v>45040</v>
      </c>
      <c r="P34" s="3"/>
    </row>
    <row r="35" spans="1:16" x14ac:dyDescent="0.25">
      <c r="A35" t="s">
        <v>245</v>
      </c>
      <c r="B35" s="22">
        <v>37110</v>
      </c>
      <c r="H35" t="s">
        <v>160</v>
      </c>
      <c r="I35" t="s">
        <v>280</v>
      </c>
      <c r="J35" s="22">
        <v>39000000</v>
      </c>
      <c r="K35" s="4">
        <f>'Ship Component Reqs'!S117</f>
        <v>-5985271.1969999969</v>
      </c>
      <c r="L35" s="25">
        <f>'Ship Component Reqs'!R118</f>
        <v>-5.1156164076923048E-2</v>
      </c>
      <c r="M35" s="37"/>
      <c r="P35" s="3"/>
    </row>
    <row r="36" spans="1:16" x14ac:dyDescent="0.25">
      <c r="A36" s="57"/>
      <c r="F36" s="4"/>
      <c r="H36" t="s">
        <v>160</v>
      </c>
      <c r="I36" t="s">
        <v>161</v>
      </c>
      <c r="J36" s="22">
        <v>35840000</v>
      </c>
      <c r="K36" s="4">
        <f>'Ship Component Reqs'!S72</f>
        <v>-20539650.956</v>
      </c>
      <c r="L36" s="25">
        <f>'Ship Component Reqs'!S73</f>
        <v>-0.19103097987351192</v>
      </c>
      <c r="M36" s="37"/>
      <c r="P36" s="3"/>
    </row>
    <row r="37" spans="1:16" x14ac:dyDescent="0.25">
      <c r="A37" s="57" t="s">
        <v>207</v>
      </c>
      <c r="B37" s="22">
        <v>517700</v>
      </c>
      <c r="F37" s="4"/>
      <c r="H37" t="s">
        <v>160</v>
      </c>
      <c r="I37" t="s">
        <v>170</v>
      </c>
      <c r="J37" s="22">
        <v>15340000</v>
      </c>
      <c r="K37" s="4">
        <f>'Ship Component Reqs'!S87</f>
        <v>-7307958.6660000086</v>
      </c>
      <c r="L37" s="25">
        <f>'Ship Component Reqs'!R88</f>
        <v>-2.9774929375814899E-2</v>
      </c>
      <c r="M37" s="37" t="s">
        <v>304</v>
      </c>
      <c r="P37" s="3"/>
    </row>
    <row r="38" spans="1:16" x14ac:dyDescent="0.25">
      <c r="A38" t="s">
        <v>208</v>
      </c>
      <c r="B38" s="22">
        <v>990</v>
      </c>
      <c r="F38" s="4"/>
      <c r="H38" t="s">
        <v>160</v>
      </c>
      <c r="I38" t="s">
        <v>412</v>
      </c>
      <c r="J38" s="22">
        <v>17190000</v>
      </c>
      <c r="K38" s="4">
        <f>'Ship Component Reqs'!S102</f>
        <v>-121619386.722</v>
      </c>
      <c r="L38" s="25">
        <f>'Ship Component Reqs'!S103</f>
        <v>-0.19652799871049059</v>
      </c>
      <c r="M38" s="37" t="s">
        <v>304</v>
      </c>
      <c r="P38" s="3"/>
    </row>
    <row r="39" spans="1:16" x14ac:dyDescent="0.25">
      <c r="A39" t="s">
        <v>209</v>
      </c>
      <c r="B39" s="22">
        <v>2398</v>
      </c>
      <c r="F39" s="4"/>
      <c r="H39" t="s">
        <v>160</v>
      </c>
      <c r="I39" t="s">
        <v>291</v>
      </c>
      <c r="J39" s="22">
        <v>14450000</v>
      </c>
      <c r="K39" s="4">
        <f>'Ship Component Reqs'!S132</f>
        <v>-2751585.6680000015</v>
      </c>
      <c r="L39" s="25">
        <f>'Ship Component Reqs'!R133</f>
        <v>-0.19042115349480979</v>
      </c>
      <c r="P39" s="3"/>
    </row>
    <row r="40" spans="1:16" x14ac:dyDescent="0.25">
      <c r="A40" t="s">
        <v>210</v>
      </c>
      <c r="B40" s="22">
        <v>15780</v>
      </c>
      <c r="F40" s="4"/>
      <c r="H40" t="s">
        <v>182</v>
      </c>
      <c r="I40" t="s">
        <v>185</v>
      </c>
      <c r="J40" s="22">
        <v>35000000</v>
      </c>
      <c r="K40" s="4">
        <f>'Ship Component Reqs'!S147</f>
        <v>-6647075.2719999999</v>
      </c>
      <c r="L40" s="25">
        <f>'Ship Component Reqs'!R165</f>
        <v>-9.4958218171428563E-2</v>
      </c>
      <c r="P40" s="3"/>
    </row>
    <row r="41" spans="1:16" x14ac:dyDescent="0.25">
      <c r="A41" s="57" t="s">
        <v>220</v>
      </c>
      <c r="H41" t="s">
        <v>182</v>
      </c>
      <c r="I41" t="s">
        <v>302</v>
      </c>
      <c r="J41" s="22">
        <v>15050000</v>
      </c>
      <c r="K41" s="4">
        <f>'Ship Component Reqs'!S162</f>
        <v>-200847557.63999999</v>
      </c>
      <c r="L41" s="25">
        <f>'Ship Component Reqs'!S163</f>
        <v>-0.37070424075304537</v>
      </c>
      <c r="M41" s="37" t="s">
        <v>304</v>
      </c>
      <c r="P41" s="3"/>
    </row>
    <row r="42" spans="1:16" x14ac:dyDescent="0.25">
      <c r="A42" t="s">
        <v>216</v>
      </c>
      <c r="B42" s="22">
        <v>51000</v>
      </c>
      <c r="H42" t="s">
        <v>194</v>
      </c>
      <c r="I42" t="s">
        <v>238</v>
      </c>
      <c r="J42" s="22">
        <v>15100000</v>
      </c>
      <c r="K42" s="4">
        <f>'Ship Component Reqs'!S177</f>
        <v>46036718.428000003</v>
      </c>
      <c r="L42" s="25">
        <f>'Ship Component Reqs'!S178</f>
        <v>0.15243946499337749</v>
      </c>
      <c r="M42" s="37" t="s">
        <v>304</v>
      </c>
      <c r="P42" s="3"/>
    </row>
    <row r="43" spans="1:16" x14ac:dyDescent="0.25">
      <c r="A43" t="s">
        <v>217</v>
      </c>
      <c r="B43" s="22">
        <v>64000</v>
      </c>
      <c r="H43" t="s">
        <v>194</v>
      </c>
      <c r="I43" t="s">
        <v>299</v>
      </c>
      <c r="J43" s="22">
        <v>14850000</v>
      </c>
      <c r="K43" s="4">
        <f>'Ship Component Reqs'!S192</f>
        <v>4320537.6789999902</v>
      </c>
      <c r="L43" s="25">
        <f>'Ship Component Reqs'!S193</f>
        <v>1.818408114057235E-2</v>
      </c>
      <c r="M43" s="37" t="s">
        <v>304</v>
      </c>
      <c r="P43" s="3"/>
    </row>
    <row r="44" spans="1:16" x14ac:dyDescent="0.25">
      <c r="A44" t="s">
        <v>218</v>
      </c>
      <c r="B44" s="22">
        <v>696000</v>
      </c>
      <c r="H44" t="s">
        <v>194</v>
      </c>
      <c r="I44" t="s">
        <v>301</v>
      </c>
      <c r="J44" s="22">
        <v>14050000</v>
      </c>
      <c r="K44" s="4">
        <f>'Ship Component Reqs'!S207</f>
        <v>-31963426.726999998</v>
      </c>
      <c r="L44" s="25">
        <f>'Ship Component Reqs'!S208</f>
        <v>-0.14218606195284697</v>
      </c>
      <c r="M44" s="37" t="s">
        <v>304</v>
      </c>
      <c r="P44" s="3"/>
    </row>
    <row r="45" spans="1:16" x14ac:dyDescent="0.25">
      <c r="A45" t="s">
        <v>219</v>
      </c>
      <c r="B45" s="22">
        <v>15750</v>
      </c>
      <c r="H45" t="s">
        <v>160</v>
      </c>
      <c r="I45" t="s">
        <v>306</v>
      </c>
      <c r="J45" s="22">
        <v>4830000</v>
      </c>
      <c r="K45" s="4">
        <f>'BP Tech 2 Manufacture Nonship'!S26</f>
        <v>297567.74143999815</v>
      </c>
      <c r="L45" s="25">
        <f>'BP Tech 2 Manufacture Nonship'!S27</f>
        <v>2.0536076013802494E-2</v>
      </c>
      <c r="P45" s="3"/>
    </row>
    <row r="46" spans="1:16" x14ac:dyDescent="0.25">
      <c r="A46" t="s">
        <v>220</v>
      </c>
      <c r="B46" s="22">
        <v>369000</v>
      </c>
      <c r="H46" t="s">
        <v>257</v>
      </c>
      <c r="P46" s="3"/>
    </row>
    <row r="47" spans="1:16" x14ac:dyDescent="0.25">
      <c r="A47" s="57" t="s">
        <v>307</v>
      </c>
      <c r="H47" t="str">
        <f>'BP Tech 1 Manufacture'!A71</f>
        <v>Sense-Heuristic Neurolink Enhancer (Reaction)</v>
      </c>
      <c r="J47" s="22">
        <f>B46</f>
        <v>369000</v>
      </c>
      <c r="K47" s="4">
        <f>'BP Tech 1 Manufacture'!C83</f>
        <v>74432500</v>
      </c>
      <c r="L47" s="25">
        <f>'BP Tech 1 Manufacture'!D83</f>
        <v>0.2017140921409214</v>
      </c>
      <c r="M47" s="37" t="s">
        <v>304</v>
      </c>
    </row>
    <row r="48" spans="1:16" x14ac:dyDescent="0.25">
      <c r="A48" t="s">
        <v>282</v>
      </c>
      <c r="B48" s="22">
        <v>62260</v>
      </c>
      <c r="C48" t="s">
        <v>347</v>
      </c>
      <c r="H48" t="str">
        <f>'BP Tech 1 Manufacture'!A35</f>
        <v>Helium Fuel Block</v>
      </c>
      <c r="J48" s="22">
        <f>J24</f>
        <v>13900</v>
      </c>
      <c r="K48" s="4">
        <f>'BP Tech 1 Manufacture'!G55</f>
        <v>-610879.40000000596</v>
      </c>
      <c r="L48" s="25">
        <f>'BP Tech 1 Manufacture'!G56</f>
        <v>-3.9239427029805112E-3</v>
      </c>
      <c r="M48" s="37" t="s">
        <v>304</v>
      </c>
    </row>
    <row r="49" spans="1:13" x14ac:dyDescent="0.25">
      <c r="A49" t="s">
        <v>201</v>
      </c>
      <c r="B49" s="22">
        <v>65730</v>
      </c>
      <c r="H49" t="str">
        <f>A61</f>
        <v>Ubiquitous Moon Mining Crystal Type A Tech 2</v>
      </c>
      <c r="J49" s="22">
        <f>B62</f>
        <v>1114000</v>
      </c>
      <c r="K49" s="4">
        <f>'BP Tech 2 Manufacture Nonship'!I8</f>
        <v>17997315</v>
      </c>
      <c r="L49" s="25">
        <f>'BP Tech 2 Manufacture Nonship'!I9</f>
        <v>0.32311157989228007</v>
      </c>
    </row>
    <row r="50" spans="1:13" x14ac:dyDescent="0.25">
      <c r="A50" t="s">
        <v>283</v>
      </c>
      <c r="B50" s="22">
        <v>25800</v>
      </c>
      <c r="H50" t="s">
        <v>117</v>
      </c>
      <c r="I50" t="s">
        <v>281</v>
      </c>
      <c r="J50" s="22">
        <v>1275000</v>
      </c>
      <c r="K50" s="4">
        <f>'BP Tech 2 Manufacture Nonship'!J39</f>
        <v>21295039.658999998</v>
      </c>
      <c r="L50" s="25">
        <f>'BP Tech 2 Manufacture Nonship'!J40</f>
        <v>0.16870698878193696</v>
      </c>
      <c r="M50" s="37" t="s">
        <v>304</v>
      </c>
    </row>
    <row r="51" spans="1:13" x14ac:dyDescent="0.25">
      <c r="A51" t="s">
        <v>284</v>
      </c>
      <c r="B51" s="22">
        <v>111100</v>
      </c>
    </row>
    <row r="52" spans="1:13" x14ac:dyDescent="0.25">
      <c r="A52" t="s">
        <v>281</v>
      </c>
      <c r="B52" s="22">
        <v>1300000</v>
      </c>
    </row>
    <row r="53" spans="1:13" x14ac:dyDescent="0.25">
      <c r="A53" s="57" t="s">
        <v>306</v>
      </c>
    </row>
    <row r="54" spans="1:13" x14ac:dyDescent="0.25">
      <c r="A54" t="s">
        <v>308</v>
      </c>
      <c r="B54" s="22">
        <v>7700</v>
      </c>
    </row>
    <row r="55" spans="1:13" x14ac:dyDescent="0.25">
      <c r="A55" t="s">
        <v>311</v>
      </c>
      <c r="B55" s="22">
        <v>9490</v>
      </c>
    </row>
    <row r="56" spans="1:13" x14ac:dyDescent="0.25">
      <c r="A56" t="s">
        <v>312</v>
      </c>
      <c r="B56" s="22">
        <v>75460</v>
      </c>
    </row>
    <row r="57" spans="1:13" x14ac:dyDescent="0.25">
      <c r="A57" t="s">
        <v>313</v>
      </c>
      <c r="B57" s="22">
        <v>78990</v>
      </c>
    </row>
    <row r="58" spans="1:13" x14ac:dyDescent="0.25">
      <c r="A58" t="s">
        <v>309</v>
      </c>
      <c r="B58" s="22">
        <v>26230</v>
      </c>
    </row>
    <row r="59" spans="1:13" x14ac:dyDescent="0.25">
      <c r="A59" t="s">
        <v>244</v>
      </c>
      <c r="B59" s="22">
        <v>40000</v>
      </c>
    </row>
    <row r="60" spans="1:13" x14ac:dyDescent="0.25">
      <c r="A60" t="s">
        <v>310</v>
      </c>
      <c r="B60" s="22">
        <v>2079000</v>
      </c>
    </row>
    <row r="61" spans="1:13" x14ac:dyDescent="0.25">
      <c r="A61" s="57" t="s">
        <v>316</v>
      </c>
    </row>
    <row r="62" spans="1:13" x14ac:dyDescent="0.25">
      <c r="A62" t="s">
        <v>316</v>
      </c>
      <c r="B62" s="22">
        <v>1114000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76656-33A7-4D2C-AC61-0C4AFB4FC105}">
  <sheetPr>
    <tabColor theme="4"/>
  </sheetPr>
  <dimension ref="A1:Q92"/>
  <sheetViews>
    <sheetView topLeftCell="A67" workbookViewId="0">
      <selection activeCell="D80" sqref="D80"/>
    </sheetView>
  </sheetViews>
  <sheetFormatPr defaultRowHeight="15" x14ac:dyDescent="0.25"/>
  <cols>
    <col min="1" max="1" width="18.140625" bestFit="1" customWidth="1"/>
    <col min="2" max="2" width="11.5703125" bestFit="1" customWidth="1"/>
    <col min="3" max="4" width="15.28515625" bestFit="1" customWidth="1"/>
    <col min="5" max="5" width="12.5703125" bestFit="1" customWidth="1"/>
    <col min="6" max="6" width="14.28515625" bestFit="1" customWidth="1"/>
    <col min="7" max="9" width="15.28515625" bestFit="1" customWidth="1"/>
    <col min="10" max="10" width="18.42578125" style="2" bestFit="1" customWidth="1"/>
    <col min="11" max="11" width="10.5703125" bestFit="1" customWidth="1"/>
    <col min="15" max="15" width="14" bestFit="1" customWidth="1"/>
  </cols>
  <sheetData>
    <row r="1" spans="1:17" x14ac:dyDescent="0.25">
      <c r="A1" t="s">
        <v>266</v>
      </c>
    </row>
    <row r="2" spans="1:17" x14ac:dyDescent="0.25">
      <c r="A2" t="s">
        <v>49</v>
      </c>
      <c r="B2" t="s">
        <v>17</v>
      </c>
      <c r="C2" t="s">
        <v>18</v>
      </c>
      <c r="D2" t="s">
        <v>50</v>
      </c>
      <c r="E2" t="s">
        <v>26</v>
      </c>
      <c r="F2" t="s">
        <v>83</v>
      </c>
      <c r="M2" t="s">
        <v>51</v>
      </c>
      <c r="N2" t="s">
        <v>52</v>
      </c>
      <c r="O2" s="24">
        <v>-131760</v>
      </c>
      <c r="P2" s="24">
        <v>2109952088</v>
      </c>
      <c r="Q2" t="s">
        <v>53</v>
      </c>
    </row>
    <row r="3" spans="1:17" x14ac:dyDescent="0.25">
      <c r="A3" t="s">
        <v>63</v>
      </c>
      <c r="B3" s="5">
        <v>995</v>
      </c>
      <c r="C3">
        <v>357</v>
      </c>
      <c r="D3" s="27">
        <f t="shared" ref="D3:D8" si="0">C3-B3</f>
        <v>-638</v>
      </c>
      <c r="E3" s="5">
        <v>10597.9</v>
      </c>
      <c r="F3" s="2">
        <f t="shared" ref="F3:F8" si="1">IF(D3&lt;0,0,D3*E3)</f>
        <v>0</v>
      </c>
      <c r="M3" t="s">
        <v>51</v>
      </c>
      <c r="N3" t="s">
        <v>52</v>
      </c>
      <c r="O3" s="24">
        <v>-109800</v>
      </c>
      <c r="P3" s="24">
        <v>2110083848</v>
      </c>
      <c r="Q3" t="s">
        <v>53</v>
      </c>
    </row>
    <row r="4" spans="1:17" x14ac:dyDescent="0.25">
      <c r="A4" t="s">
        <v>64</v>
      </c>
      <c r="B4" s="5">
        <v>515</v>
      </c>
      <c r="C4">
        <v>802</v>
      </c>
      <c r="D4" s="27">
        <f t="shared" si="0"/>
        <v>287</v>
      </c>
      <c r="E4" s="5">
        <v>11150</v>
      </c>
      <c r="F4" s="2">
        <f t="shared" si="1"/>
        <v>3200050</v>
      </c>
      <c r="M4" t="s">
        <v>56</v>
      </c>
      <c r="N4" t="s">
        <v>57</v>
      </c>
      <c r="O4" s="24">
        <v>-170640</v>
      </c>
      <c r="P4" s="24">
        <v>2110193648</v>
      </c>
      <c r="Q4" t="s">
        <v>58</v>
      </c>
    </row>
    <row r="5" spans="1:17" x14ac:dyDescent="0.25">
      <c r="A5" t="s">
        <v>59</v>
      </c>
      <c r="B5" s="5">
        <v>3712</v>
      </c>
      <c r="C5">
        <v>31185</v>
      </c>
      <c r="D5" s="27">
        <f t="shared" si="0"/>
        <v>27473</v>
      </c>
      <c r="E5" s="5">
        <v>266.38</v>
      </c>
      <c r="F5" s="2">
        <f t="shared" si="1"/>
        <v>7318257.7400000002</v>
      </c>
      <c r="H5">
        <f>D5-11120</f>
        <v>16353</v>
      </c>
      <c r="I5">
        <v>190.01</v>
      </c>
      <c r="J5" s="2">
        <f>0</f>
        <v>0</v>
      </c>
      <c r="M5" t="s">
        <v>56</v>
      </c>
      <c r="N5" t="s">
        <v>57</v>
      </c>
      <c r="O5" s="24">
        <v>-142200</v>
      </c>
      <c r="P5" s="24">
        <v>2110364288</v>
      </c>
      <c r="Q5" t="s">
        <v>58</v>
      </c>
    </row>
    <row r="6" spans="1:17" x14ac:dyDescent="0.25">
      <c r="A6" t="s">
        <v>55</v>
      </c>
      <c r="B6" s="5">
        <v>7318</v>
      </c>
      <c r="C6">
        <v>15147</v>
      </c>
      <c r="D6" s="27">
        <f t="shared" si="0"/>
        <v>7829</v>
      </c>
      <c r="E6" s="5">
        <v>187.62</v>
      </c>
      <c r="F6" s="2">
        <f t="shared" si="1"/>
        <v>1468876.98</v>
      </c>
      <c r="M6" t="s">
        <v>61</v>
      </c>
      <c r="N6" t="s">
        <v>57</v>
      </c>
      <c r="O6" s="24">
        <v>-261360</v>
      </c>
      <c r="P6" s="24">
        <v>2110506488</v>
      </c>
      <c r="Q6" t="s">
        <v>62</v>
      </c>
    </row>
    <row r="7" spans="1:17" x14ac:dyDescent="0.25">
      <c r="A7" t="s">
        <v>60</v>
      </c>
      <c r="B7" s="5">
        <v>69784</v>
      </c>
      <c r="C7">
        <v>40095</v>
      </c>
      <c r="D7" s="27">
        <f t="shared" si="0"/>
        <v>-29689</v>
      </c>
      <c r="E7" s="5">
        <v>639.99</v>
      </c>
      <c r="F7" s="2">
        <f t="shared" si="1"/>
        <v>0</v>
      </c>
      <c r="G7" s="2">
        <f>D7*E7</f>
        <v>-19000663.109999999</v>
      </c>
      <c r="M7" t="s">
        <v>61</v>
      </c>
      <c r="N7" t="s">
        <v>57</v>
      </c>
      <c r="O7" s="24">
        <v>-217800</v>
      </c>
      <c r="P7" s="24">
        <v>2110767848</v>
      </c>
      <c r="Q7" t="s">
        <v>62</v>
      </c>
    </row>
    <row r="8" spans="1:17" x14ac:dyDescent="0.25">
      <c r="A8" t="s">
        <v>54</v>
      </c>
      <c r="B8" s="5">
        <f>157</f>
        <v>157</v>
      </c>
      <c r="C8">
        <v>1782</v>
      </c>
      <c r="D8" s="27">
        <f t="shared" si="0"/>
        <v>1625</v>
      </c>
      <c r="E8" s="5">
        <v>4399.9799999999996</v>
      </c>
      <c r="F8" s="2">
        <f t="shared" si="1"/>
        <v>7149967.4999999991</v>
      </c>
      <c r="M8" t="s">
        <v>65</v>
      </c>
      <c r="N8" t="s">
        <v>57</v>
      </c>
      <c r="O8" s="24">
        <v>-263520</v>
      </c>
      <c r="P8" s="24">
        <v>2110985648</v>
      </c>
      <c r="Q8" t="s">
        <v>66</v>
      </c>
    </row>
    <row r="9" spans="1:17" x14ac:dyDescent="0.25">
      <c r="D9" s="27">
        <f>D8-44</f>
        <v>1581</v>
      </c>
      <c r="E9" t="s">
        <v>22</v>
      </c>
      <c r="F9" s="2">
        <f>IF(J9&lt;&gt;0,SUM(F3:F8)+J9,SUM(F3:F8))</f>
        <v>19137152.219999999</v>
      </c>
      <c r="J9" s="2">
        <f>IF(SUM(J2:J8)&lt;&gt;0,SUM(J2:J8),0)</f>
        <v>0</v>
      </c>
      <c r="M9" t="s">
        <v>65</v>
      </c>
      <c r="N9" t="s">
        <v>57</v>
      </c>
      <c r="O9" s="24">
        <v>-219600</v>
      </c>
      <c r="P9" s="24">
        <v>2111249168</v>
      </c>
      <c r="Q9" t="s">
        <v>66</v>
      </c>
    </row>
    <row r="10" spans="1:17" x14ac:dyDescent="0.25">
      <c r="M10" t="s">
        <v>67</v>
      </c>
      <c r="N10" t="s">
        <v>57</v>
      </c>
      <c r="O10" s="24">
        <v>-599280</v>
      </c>
      <c r="P10" s="24">
        <v>2111468768</v>
      </c>
      <c r="Q10" t="s">
        <v>68</v>
      </c>
    </row>
    <row r="11" spans="1:17" x14ac:dyDescent="0.25">
      <c r="M11" t="s">
        <v>67</v>
      </c>
      <c r="N11" t="s">
        <v>57</v>
      </c>
      <c r="O11" s="24">
        <v>-499400</v>
      </c>
      <c r="P11" s="24">
        <v>2112068048</v>
      </c>
      <c r="Q11" t="s">
        <v>68</v>
      </c>
    </row>
    <row r="12" spans="1:17" x14ac:dyDescent="0.25">
      <c r="A12">
        <v>4000</v>
      </c>
      <c r="B12">
        <v>19988.86</v>
      </c>
      <c r="C12" s="2">
        <f>A12*B12</f>
        <v>79955440</v>
      </c>
      <c r="D12" s="4">
        <f>C12-F9</f>
        <v>60818287.780000001</v>
      </c>
      <c r="M12" t="s">
        <v>69</v>
      </c>
      <c r="N12" t="s">
        <v>57</v>
      </c>
      <c r="O12" s="24">
        <v>-179280</v>
      </c>
      <c r="P12" s="24">
        <v>2112567448</v>
      </c>
      <c r="Q12" t="s">
        <v>70</v>
      </c>
    </row>
    <row r="13" spans="1:17" x14ac:dyDescent="0.25">
      <c r="A13" t="s">
        <v>71</v>
      </c>
      <c r="D13">
        <v>759699</v>
      </c>
      <c r="G13" s="8">
        <f>D17/(F9+D13+D15+D16)</f>
        <v>2.4675406194163481</v>
      </c>
      <c r="M13" t="s">
        <v>69</v>
      </c>
      <c r="N13" t="s">
        <v>57</v>
      </c>
      <c r="O13" s="24">
        <v>-149400</v>
      </c>
      <c r="P13" s="24">
        <v>2112746728</v>
      </c>
      <c r="Q13" t="s">
        <v>70</v>
      </c>
    </row>
    <row r="14" spans="1:17" x14ac:dyDescent="0.25">
      <c r="A14" t="s">
        <v>72</v>
      </c>
      <c r="D14">
        <v>5864</v>
      </c>
      <c r="E14" t="s">
        <v>73</v>
      </c>
      <c r="F14" s="4">
        <f>C12-F9-D13-D14</f>
        <v>60052724.780000001</v>
      </c>
      <c r="M14" t="s">
        <v>74</v>
      </c>
      <c r="N14" t="s">
        <v>57</v>
      </c>
      <c r="O14" s="24">
        <v>-131760</v>
      </c>
      <c r="P14" s="24">
        <v>2112896128</v>
      </c>
      <c r="Q14" t="s">
        <v>75</v>
      </c>
    </row>
    <row r="15" spans="1:17" x14ac:dyDescent="0.25">
      <c r="A15" t="s">
        <v>76</v>
      </c>
      <c r="C15" s="25">
        <v>2.9399999999999999E-2</v>
      </c>
      <c r="D15" s="4">
        <f>C12*C15</f>
        <v>2350689.9359999998</v>
      </c>
      <c r="H15" s="2"/>
      <c r="M15" t="s">
        <v>74</v>
      </c>
      <c r="N15" t="s">
        <v>57</v>
      </c>
      <c r="O15" s="24">
        <v>-109800</v>
      </c>
      <c r="P15" s="24">
        <v>2113027888</v>
      </c>
      <c r="Q15" t="s">
        <v>75</v>
      </c>
    </row>
    <row r="16" spans="1:17" x14ac:dyDescent="0.25">
      <c r="A16" t="s">
        <v>77</v>
      </c>
      <c r="C16" s="25">
        <v>0.01</v>
      </c>
      <c r="D16" s="26">
        <f>C12*C16</f>
        <v>799554.4</v>
      </c>
      <c r="M16" t="s">
        <v>78</v>
      </c>
      <c r="N16" t="s">
        <v>79</v>
      </c>
      <c r="O16" s="24">
        <v>-98000</v>
      </c>
      <c r="P16" s="24">
        <v>2113137688</v>
      </c>
      <c r="Q16" t="s">
        <v>80</v>
      </c>
    </row>
    <row r="17" spans="1:15" x14ac:dyDescent="0.25">
      <c r="D17" s="4">
        <f>D12-(SUM(D13:D16))+(O17*1%)</f>
        <v>56869644.443999998</v>
      </c>
      <c r="E17" t="s">
        <v>81</v>
      </c>
      <c r="O17" s="2">
        <f>SUM(O2:O16)</f>
        <v>-3283600</v>
      </c>
    </row>
    <row r="18" spans="1:15" s="17" customFormat="1" x14ac:dyDescent="0.25">
      <c r="J18" s="30"/>
      <c r="O18" s="17" t="s">
        <v>82</v>
      </c>
    </row>
    <row r="19" spans="1:15" x14ac:dyDescent="0.25">
      <c r="A19" t="s">
        <v>105</v>
      </c>
      <c r="C19" t="s">
        <v>106</v>
      </c>
      <c r="D19">
        <v>50</v>
      </c>
    </row>
    <row r="20" spans="1:15" x14ac:dyDescent="0.25">
      <c r="A20" t="s">
        <v>108</v>
      </c>
      <c r="B20" t="s">
        <v>103</v>
      </c>
      <c r="C20" t="s">
        <v>17</v>
      </c>
      <c r="D20" t="s">
        <v>18</v>
      </c>
      <c r="E20" t="s">
        <v>50</v>
      </c>
      <c r="H20" t="s">
        <v>48</v>
      </c>
      <c r="I20" t="s">
        <v>83</v>
      </c>
    </row>
    <row r="21" spans="1:15" x14ac:dyDescent="0.25">
      <c r="A21" t="s">
        <v>107</v>
      </c>
      <c r="B21">
        <v>12011</v>
      </c>
      <c r="C21">
        <v>9575792</v>
      </c>
      <c r="D21" s="3">
        <f>_xlfn.CEILING.MATH(ROUNDUP(B21*$D$19*((1-10%)*(1-1%)),2))</f>
        <v>535091</v>
      </c>
      <c r="E21" s="3">
        <f>IF(C21&gt;D21,0,D21-C21)</f>
        <v>0</v>
      </c>
      <c r="F21" s="16"/>
      <c r="G21" t="s">
        <v>107</v>
      </c>
      <c r="H21">
        <v>5.29</v>
      </c>
      <c r="I21" s="4">
        <f>D21*H21</f>
        <v>2830631.39</v>
      </c>
      <c r="J21" s="7"/>
    </row>
    <row r="22" spans="1:15" x14ac:dyDescent="0.25">
      <c r="A22" t="s">
        <v>109</v>
      </c>
      <c r="B22">
        <v>9764</v>
      </c>
      <c r="C22">
        <v>3149636</v>
      </c>
      <c r="D22" s="3">
        <f t="shared" ref="D22:D27" si="2">_xlfn.CEILING.MATH(ROUNDUP(B22*$D$19*((1-10%)*(1-1%)),2))</f>
        <v>434987</v>
      </c>
      <c r="E22" s="3">
        <f>IF(C22&gt;D22,0,D22-C22)</f>
        <v>0</v>
      </c>
      <c r="F22" s="16"/>
      <c r="G22" t="s">
        <v>109</v>
      </c>
      <c r="H22">
        <v>4.26</v>
      </c>
      <c r="I22" s="4">
        <f t="shared" ref="I22:I27" si="3">D22*H22</f>
        <v>1853044.6199999999</v>
      </c>
    </row>
    <row r="23" spans="1:15" x14ac:dyDescent="0.25">
      <c r="A23" t="s">
        <v>110</v>
      </c>
      <c r="B23">
        <v>2863</v>
      </c>
      <c r="C23">
        <v>1212290</v>
      </c>
      <c r="D23" s="3">
        <f t="shared" si="2"/>
        <v>127547</v>
      </c>
      <c r="E23" s="3">
        <f>IF(C23&gt;D23,0,D23-C23)</f>
        <v>0</v>
      </c>
      <c r="F23" s="16"/>
      <c r="G23" t="s">
        <v>110</v>
      </c>
      <c r="H23">
        <v>64.709999999999994</v>
      </c>
      <c r="I23" s="4">
        <f t="shared" si="3"/>
        <v>8253566.3699999992</v>
      </c>
    </row>
    <row r="24" spans="1:15" x14ac:dyDescent="0.25">
      <c r="A24" t="s">
        <v>111</v>
      </c>
      <c r="B24">
        <v>1097</v>
      </c>
      <c r="C24">
        <v>324343</v>
      </c>
      <c r="D24" s="3">
        <f t="shared" si="2"/>
        <v>48872</v>
      </c>
      <c r="E24" s="3">
        <f>IF(C24&gt;D24,0,D24-C24)</f>
        <v>0</v>
      </c>
      <c r="F24" s="16"/>
      <c r="G24" t="s">
        <v>111</v>
      </c>
      <c r="H24">
        <v>16</v>
      </c>
      <c r="I24" s="4">
        <f t="shared" si="3"/>
        <v>781952</v>
      </c>
    </row>
    <row r="25" spans="1:15" x14ac:dyDescent="0.25">
      <c r="A25" t="s">
        <v>112</v>
      </c>
      <c r="B25">
        <v>553</v>
      </c>
      <c r="C25">
        <v>155378</v>
      </c>
      <c r="D25" s="3">
        <f t="shared" si="2"/>
        <v>24637</v>
      </c>
      <c r="E25" s="3">
        <f>IF(C25&gt;D25,0,D25-C25)</f>
        <v>0</v>
      </c>
      <c r="F25" s="16"/>
      <c r="G25" t="s">
        <v>112</v>
      </c>
      <c r="H25">
        <v>310</v>
      </c>
      <c r="I25" s="4">
        <f t="shared" si="3"/>
        <v>7637470</v>
      </c>
    </row>
    <row r="26" spans="1:15" x14ac:dyDescent="0.25">
      <c r="A26" t="s">
        <v>113</v>
      </c>
      <c r="B26">
        <v>378</v>
      </c>
      <c r="C26">
        <v>5985</v>
      </c>
      <c r="D26" s="3">
        <f t="shared" si="2"/>
        <v>16840</v>
      </c>
      <c r="E26" s="3">
        <f>IF(C26&gt;D26,0,D26)</f>
        <v>16840</v>
      </c>
      <c r="F26" s="16"/>
      <c r="G26" t="s">
        <v>113</v>
      </c>
      <c r="H26">
        <v>519.95000000000005</v>
      </c>
      <c r="I26" s="4">
        <f t="shared" si="3"/>
        <v>8755958</v>
      </c>
      <c r="J26" s="2">
        <f>SUM(I26:I27)</f>
        <v>13311821</v>
      </c>
    </row>
    <row r="27" spans="1:15" x14ac:dyDescent="0.25">
      <c r="A27" t="s">
        <v>114</v>
      </c>
      <c r="B27">
        <v>228</v>
      </c>
      <c r="C27">
        <v>454</v>
      </c>
      <c r="D27" s="3">
        <f t="shared" si="2"/>
        <v>10158</v>
      </c>
      <c r="E27" s="3">
        <f>IF(C27&gt;D27,0,D27)</f>
        <v>10158</v>
      </c>
      <c r="F27" s="16"/>
      <c r="G27" t="s">
        <v>114</v>
      </c>
      <c r="H27">
        <v>448.5</v>
      </c>
      <c r="I27" s="4">
        <f t="shared" si="3"/>
        <v>4555863</v>
      </c>
    </row>
    <row r="28" spans="1:15" x14ac:dyDescent="0.25">
      <c r="C28" t="s">
        <v>48</v>
      </c>
      <c r="D28" t="s">
        <v>83</v>
      </c>
      <c r="I28" s="4">
        <f>SUM(I21:I27)</f>
        <v>34668485.379999995</v>
      </c>
    </row>
    <row r="29" spans="1:15" x14ac:dyDescent="0.25">
      <c r="A29" t="s">
        <v>105</v>
      </c>
      <c r="C29" s="2">
        <v>849990.19</v>
      </c>
      <c r="D29" s="4">
        <f>C29*D19</f>
        <v>42499509.5</v>
      </c>
    </row>
    <row r="30" spans="1:15" x14ac:dyDescent="0.25">
      <c r="D30" t="s">
        <v>115</v>
      </c>
    </row>
    <row r="31" spans="1:15" x14ac:dyDescent="0.25">
      <c r="C31" t="s">
        <v>116</v>
      </c>
      <c r="D31" s="4">
        <f>D29</f>
        <v>42499509.5</v>
      </c>
      <c r="F31" t="s">
        <v>45</v>
      </c>
    </row>
    <row r="32" spans="1:15" x14ac:dyDescent="0.25">
      <c r="C32" t="s">
        <v>108</v>
      </c>
      <c r="D32" s="2">
        <f>I28</f>
        <v>34668485.379999995</v>
      </c>
      <c r="F32" s="8">
        <f>1-(D32/D31)</f>
        <v>0.18426151765351562</v>
      </c>
    </row>
    <row r="34" spans="1:15" s="17" customFormat="1" x14ac:dyDescent="0.25">
      <c r="J34" s="30"/>
      <c r="O34" s="17" t="s">
        <v>82</v>
      </c>
    </row>
    <row r="35" spans="1:15" x14ac:dyDescent="0.25">
      <c r="A35" t="s">
        <v>204</v>
      </c>
      <c r="B35" s="21" t="s">
        <v>17</v>
      </c>
      <c r="C35" s="21" t="s">
        <v>103</v>
      </c>
      <c r="D35" s="21" t="s">
        <v>18</v>
      </c>
      <c r="E35" s="21" t="s">
        <v>50</v>
      </c>
      <c r="F35" s="21" t="s">
        <v>360</v>
      </c>
      <c r="G35" s="21" t="s">
        <v>361</v>
      </c>
      <c r="H35" s="21" t="s">
        <v>268</v>
      </c>
      <c r="I35" t="s">
        <v>338</v>
      </c>
      <c r="J35" s="2">
        <v>40</v>
      </c>
    </row>
    <row r="36" spans="1:15" x14ac:dyDescent="0.25">
      <c r="A36" t="s">
        <v>201</v>
      </c>
      <c r="B36" s="65">
        <f>301+132</f>
        <v>433</v>
      </c>
      <c r="C36">
        <v>1</v>
      </c>
      <c r="D36" s="42">
        <f>_xlfn.CEILING.MATH(ROUNDUP(C36*$J$36*((1-10%)*(1-1%)),2))</f>
        <v>250</v>
      </c>
      <c r="E36" s="63">
        <f>D36-B36</f>
        <v>-183</v>
      </c>
      <c r="F36" s="4">
        <f>Pricing!J19</f>
        <v>79870</v>
      </c>
      <c r="G36" s="4">
        <f t="shared" ref="G36:G46" si="4">D36*F36</f>
        <v>19967500</v>
      </c>
      <c r="H36" s="2">
        <f t="shared" ref="H36:H39" si="5">IF(E36&lt;0,0,E36*F36)</f>
        <v>0</v>
      </c>
      <c r="I36" t="s">
        <v>339</v>
      </c>
      <c r="J36" s="2">
        <v>280</v>
      </c>
    </row>
    <row r="37" spans="1:15" x14ac:dyDescent="0.25">
      <c r="A37" t="s">
        <v>202</v>
      </c>
      <c r="B37" s="65">
        <v>4709</v>
      </c>
      <c r="C37">
        <v>4</v>
      </c>
      <c r="D37" s="42">
        <f>_xlfn.CEILING.MATH(ROUNDUP(C37*$J$36*((1-10%)*(1-1%)),2))</f>
        <v>998</v>
      </c>
      <c r="E37" s="63">
        <f t="shared" ref="E37:E40" si="6">D37-B37</f>
        <v>-3711</v>
      </c>
      <c r="F37" s="4">
        <f>Pricing!J20</f>
        <v>10950</v>
      </c>
      <c r="G37" s="4">
        <f t="shared" si="4"/>
        <v>10928100</v>
      </c>
      <c r="H37" s="2">
        <f t="shared" si="5"/>
        <v>0</v>
      </c>
      <c r="J37" s="2">
        <f>J36*J35</f>
        <v>11200</v>
      </c>
    </row>
    <row r="38" spans="1:15" x14ac:dyDescent="0.25">
      <c r="A38" t="s">
        <v>63</v>
      </c>
      <c r="B38" s="65">
        <v>350</v>
      </c>
      <c r="C38">
        <v>4</v>
      </c>
      <c r="D38" s="42">
        <f>_xlfn.CEILING.MATH(ROUNDUP(C38*$J$36*((1-10%)*(1-1%)),2))</f>
        <v>998</v>
      </c>
      <c r="E38" s="63">
        <f t="shared" si="6"/>
        <v>648</v>
      </c>
      <c r="F38" s="4">
        <f>Pricing!J21</f>
        <v>10990</v>
      </c>
      <c r="G38" s="4">
        <f t="shared" si="4"/>
        <v>10968020</v>
      </c>
      <c r="H38" s="2">
        <f t="shared" si="5"/>
        <v>7121520</v>
      </c>
      <c r="I38" s="4">
        <f>Pricing!K21</f>
        <v>0</v>
      </c>
    </row>
    <row r="39" spans="1:15" x14ac:dyDescent="0.25">
      <c r="A39" t="s">
        <v>64</v>
      </c>
      <c r="B39" s="65">
        <v>515</v>
      </c>
      <c r="C39">
        <v>9</v>
      </c>
      <c r="D39" s="42">
        <f>_xlfn.CEILING.MATH(ROUNDUP(C39*$J$36*((1-10%)*(1-1%)),2))</f>
        <v>2246</v>
      </c>
      <c r="E39" s="63">
        <f t="shared" si="6"/>
        <v>1731</v>
      </c>
      <c r="F39" s="4">
        <f>Pricing!J22</f>
        <v>10880</v>
      </c>
      <c r="G39" s="4">
        <f t="shared" si="4"/>
        <v>24436480</v>
      </c>
      <c r="H39" s="2">
        <f t="shared" si="5"/>
        <v>18833280</v>
      </c>
      <c r="I39" s="4">
        <f>Pricing!K22</f>
        <v>0</v>
      </c>
    </row>
    <row r="40" spans="1:15" x14ac:dyDescent="0.25">
      <c r="A40" t="s">
        <v>203</v>
      </c>
      <c r="B40" s="65">
        <v>5489</v>
      </c>
      <c r="C40">
        <v>22</v>
      </c>
      <c r="D40" s="42">
        <f>_xlfn.CEILING.MATH(ROUNDUP(C40*$J$36*((1-10%)*(1-1%)),2))</f>
        <v>5489</v>
      </c>
      <c r="E40" s="63">
        <f t="shared" si="6"/>
        <v>0</v>
      </c>
      <c r="F40" s="4">
        <f>Pricing!J23</f>
        <v>592.79999999999995</v>
      </c>
      <c r="G40" s="4">
        <f t="shared" si="4"/>
        <v>3253879.1999999997</v>
      </c>
      <c r="H40" s="2">
        <f t="shared" ref="H40" si="7">IF(E40&lt;0,0,E40*F40)</f>
        <v>0</v>
      </c>
      <c r="I40" s="4"/>
      <c r="J40" s="52"/>
    </row>
    <row r="41" spans="1:15" x14ac:dyDescent="0.25">
      <c r="B41" s="40"/>
      <c r="D41" s="3"/>
      <c r="E41" s="63"/>
      <c r="F41" s="4"/>
      <c r="G41" s="4">
        <f t="shared" si="4"/>
        <v>0</v>
      </c>
      <c r="H41" s="2">
        <f t="shared" ref="H41:H46" si="8">IF(E41&lt;0,0,E41*F41)</f>
        <v>0</v>
      </c>
      <c r="I41" s="4"/>
      <c r="J41" s="8"/>
    </row>
    <row r="42" spans="1:15" x14ac:dyDescent="0.25">
      <c r="B42" s="65"/>
      <c r="D42" s="3"/>
      <c r="E42" s="64"/>
      <c r="F42" s="4"/>
      <c r="G42" s="4">
        <f t="shared" si="4"/>
        <v>0</v>
      </c>
      <c r="H42" s="2">
        <f t="shared" si="8"/>
        <v>0</v>
      </c>
      <c r="I42" s="4"/>
      <c r="J42"/>
    </row>
    <row r="43" spans="1:15" x14ac:dyDescent="0.25">
      <c r="A43" t="s">
        <v>59</v>
      </c>
      <c r="B43" s="65">
        <v>14848</v>
      </c>
      <c r="C43">
        <v>350</v>
      </c>
      <c r="D43" s="42">
        <f>_xlfn.CEILING.MATH(ROUNDUP(C43*$J$36*((1-10%)*(1-1%)),2))</f>
        <v>87318</v>
      </c>
      <c r="E43" s="63">
        <f t="shared" ref="E43:E46" si="9">D43-B43</f>
        <v>72470</v>
      </c>
      <c r="F43" s="4">
        <f>Pricing!J15</f>
        <v>85</v>
      </c>
      <c r="G43" s="4">
        <f t="shared" si="4"/>
        <v>7422030</v>
      </c>
      <c r="H43" s="2">
        <f t="shared" si="8"/>
        <v>6159950</v>
      </c>
    </row>
    <row r="44" spans="1:15" x14ac:dyDescent="0.25">
      <c r="A44" t="s">
        <v>55</v>
      </c>
      <c r="B44" s="65">
        <v>14145</v>
      </c>
      <c r="C44">
        <v>170</v>
      </c>
      <c r="D44" s="42">
        <f>_xlfn.CEILING.MATH(ROUNDUP(C44*$J$36*((1-10%)*(1-1%)),2))</f>
        <v>42412</v>
      </c>
      <c r="E44" s="63">
        <f t="shared" si="9"/>
        <v>28267</v>
      </c>
      <c r="F44" s="4">
        <f>Pricing!J14</f>
        <v>167.4</v>
      </c>
      <c r="G44" s="4">
        <f t="shared" si="4"/>
        <v>7099768.7999999998</v>
      </c>
      <c r="H44" s="2">
        <f t="shared" si="8"/>
        <v>4731895.8</v>
      </c>
    </row>
    <row r="45" spans="1:15" x14ac:dyDescent="0.25">
      <c r="A45" t="s">
        <v>200</v>
      </c>
      <c r="B45" s="65">
        <v>112266</v>
      </c>
      <c r="C45">
        <v>450</v>
      </c>
      <c r="D45" s="42">
        <f>_xlfn.CEILING.MATH(ROUNDUP(C45*$J$36*((1-10%)*(1-1%)),2))</f>
        <v>112266</v>
      </c>
      <c r="E45" s="63">
        <f t="shared" si="9"/>
        <v>0</v>
      </c>
      <c r="F45" s="4">
        <f>Pricing!J17</f>
        <v>517.9</v>
      </c>
      <c r="G45" s="4">
        <f t="shared" si="4"/>
        <v>58142561.399999999</v>
      </c>
      <c r="H45" s="2">
        <f t="shared" si="8"/>
        <v>0</v>
      </c>
    </row>
    <row r="46" spans="1:15" x14ac:dyDescent="0.25">
      <c r="A46" t="s">
        <v>54</v>
      </c>
      <c r="B46" s="65">
        <v>423</v>
      </c>
      <c r="C46">
        <v>20</v>
      </c>
      <c r="D46" s="42">
        <f>_xlfn.CEILING.MATH(ROUNDUP(C46*$J$36*((1-10%)*(1-1%)),2))</f>
        <v>4990</v>
      </c>
      <c r="E46" s="63">
        <f t="shared" si="9"/>
        <v>4567</v>
      </c>
      <c r="F46" s="4">
        <f>Pricing!J18</f>
        <v>1694</v>
      </c>
      <c r="G46" s="26">
        <f t="shared" si="4"/>
        <v>8453060</v>
      </c>
      <c r="H46" s="28">
        <f t="shared" si="8"/>
        <v>7736498</v>
      </c>
    </row>
    <row r="47" spans="1:15" x14ac:dyDescent="0.25">
      <c r="D47">
        <f>D43-72470</f>
        <v>14848</v>
      </c>
      <c r="E47" s="27"/>
      <c r="F47" t="s">
        <v>22</v>
      </c>
      <c r="G47" s="2">
        <f>SUM(G36:G46)</f>
        <v>150671399.40000001</v>
      </c>
      <c r="H47" s="2">
        <f>SUM(H36:H46)</f>
        <v>44583143.799999997</v>
      </c>
    </row>
    <row r="48" spans="1:15" x14ac:dyDescent="0.25">
      <c r="B48" t="s">
        <v>138</v>
      </c>
      <c r="C48" t="s">
        <v>229</v>
      </c>
    </row>
    <row r="49" spans="1:15" x14ac:dyDescent="0.25">
      <c r="A49" t="s">
        <v>204</v>
      </c>
      <c r="B49" s="4">
        <f>J37</f>
        <v>11200</v>
      </c>
      <c r="C49" s="4">
        <f>Pricing!J24</f>
        <v>13900</v>
      </c>
      <c r="F49" s="1" t="s">
        <v>342</v>
      </c>
      <c r="G49" s="28">
        <f>B49*C49</f>
        <v>155680000</v>
      </c>
      <c r="H49" s="26">
        <f>G49</f>
        <v>155680000</v>
      </c>
    </row>
    <row r="50" spans="1:15" x14ac:dyDescent="0.25">
      <c r="B50" s="4"/>
      <c r="C50" s="4"/>
      <c r="F50" s="1" t="s">
        <v>343</v>
      </c>
      <c r="G50" s="2">
        <f>G47</f>
        <v>150671399.40000001</v>
      </c>
      <c r="H50" s="4">
        <f>H47</f>
        <v>44583143.799999997</v>
      </c>
      <c r="I50" t="s">
        <v>345</v>
      </c>
      <c r="K50" s="8">
        <f>H50/G50</f>
        <v>0.29589652699542124</v>
      </c>
    </row>
    <row r="51" spans="1:15" x14ac:dyDescent="0.25">
      <c r="F51" s="1" t="s">
        <v>340</v>
      </c>
      <c r="G51" s="2">
        <v>15000</v>
      </c>
      <c r="H51" s="2">
        <v>15000</v>
      </c>
      <c r="I51" s="8"/>
      <c r="J51" s="2">
        <f>G50+G51</f>
        <v>150686399.40000001</v>
      </c>
    </row>
    <row r="52" spans="1:15" x14ac:dyDescent="0.25">
      <c r="B52" s="4"/>
      <c r="C52" s="2"/>
      <c r="D52" s="4"/>
      <c r="E52" s="25">
        <v>3.5999999999999997E-2</v>
      </c>
      <c r="F52" s="1" t="s">
        <v>77</v>
      </c>
      <c r="G52" s="4">
        <f>G49*E52</f>
        <v>5604480</v>
      </c>
      <c r="H52" s="4">
        <f>H49*E52</f>
        <v>5604480</v>
      </c>
    </row>
    <row r="53" spans="1:15" x14ac:dyDescent="0.25">
      <c r="D53" s="2"/>
      <c r="E53" s="25">
        <v>0.03</v>
      </c>
      <c r="F53" s="1" t="s">
        <v>296</v>
      </c>
      <c r="G53" s="26">
        <v>0</v>
      </c>
      <c r="H53" s="26">
        <v>0</v>
      </c>
      <c r="J53" s="2" t="s">
        <v>358</v>
      </c>
      <c r="K53" t="s">
        <v>359</v>
      </c>
    </row>
    <row r="54" spans="1:15" x14ac:dyDescent="0.25">
      <c r="D54" s="2"/>
      <c r="F54" s="1" t="s">
        <v>341</v>
      </c>
      <c r="G54" s="26">
        <f>SUM(G50:G53)</f>
        <v>156290879.40000001</v>
      </c>
      <c r="H54" s="26">
        <f>SUM(H50:H53)</f>
        <v>50202623.799999997</v>
      </c>
      <c r="I54" t="s">
        <v>356</v>
      </c>
      <c r="J54" s="4">
        <f>H54*110%</f>
        <v>55222886.18</v>
      </c>
      <c r="K54" s="2">
        <f>J54/J37</f>
        <v>4930.6148375000002</v>
      </c>
    </row>
    <row r="55" spans="1:15" x14ac:dyDescent="0.25">
      <c r="C55" s="25"/>
      <c r="D55" s="26"/>
      <c r="F55" s="1" t="s">
        <v>344</v>
      </c>
      <c r="G55" s="4">
        <f>G49-G54</f>
        <v>-610879.40000000596</v>
      </c>
      <c r="H55" s="4">
        <f>H49-H54</f>
        <v>105477376.2</v>
      </c>
      <c r="I55" t="s">
        <v>357</v>
      </c>
      <c r="J55" s="4">
        <f>G54*110%</f>
        <v>171919967.34000003</v>
      </c>
      <c r="K55" s="2">
        <f>J55/J37</f>
        <v>15349.997083928574</v>
      </c>
    </row>
    <row r="56" spans="1:15" x14ac:dyDescent="0.25">
      <c r="D56" s="4"/>
      <c r="F56" s="1" t="s">
        <v>45</v>
      </c>
      <c r="G56" s="8">
        <f>G55/G49</f>
        <v>-3.9239427029805112E-3</v>
      </c>
      <c r="H56" s="8">
        <f>H55/H49</f>
        <v>0.67752682553956833</v>
      </c>
    </row>
    <row r="57" spans="1:15" s="17" customFormat="1" x14ac:dyDescent="0.25">
      <c r="J57" s="30"/>
      <c r="O57" s="17" t="s">
        <v>82</v>
      </c>
    </row>
    <row r="58" spans="1:15" x14ac:dyDescent="0.25">
      <c r="A58" t="s">
        <v>207</v>
      </c>
      <c r="C58" t="s">
        <v>19</v>
      </c>
      <c r="D58">
        <v>150</v>
      </c>
      <c r="E58" t="s">
        <v>211</v>
      </c>
      <c r="F58" s="29">
        <v>0.1</v>
      </c>
    </row>
    <row r="59" spans="1:15" x14ac:dyDescent="0.25">
      <c r="C59" t="s">
        <v>103</v>
      </c>
      <c r="D59" t="s">
        <v>18</v>
      </c>
      <c r="E59" t="s">
        <v>17</v>
      </c>
      <c r="F59" t="s">
        <v>26</v>
      </c>
    </row>
    <row r="60" spans="1:15" x14ac:dyDescent="0.25">
      <c r="A60" t="str">
        <f>Pricing!A38</f>
        <v>Bacteria</v>
      </c>
      <c r="B60" s="37">
        <f>Pricing!B38</f>
        <v>990</v>
      </c>
      <c r="C60">
        <v>80</v>
      </c>
      <c r="D60">
        <f>_xlfn.CEILING.MATH(ROUNDUP(C60*$D$58*((1-10%)*(1-1%)),2))</f>
        <v>10692</v>
      </c>
      <c r="E60" s="22">
        <v>0</v>
      </c>
      <c r="F60" s="42">
        <f>IF(E60&gt;=D60,0,(D60-E60)*B60)</f>
        <v>10585080</v>
      </c>
    </row>
    <row r="61" spans="1:15" x14ac:dyDescent="0.25">
      <c r="A61" t="str">
        <f>Pricing!A39</f>
        <v>Proteins</v>
      </c>
      <c r="B61" s="37">
        <f>Pricing!B39</f>
        <v>2398</v>
      </c>
      <c r="C61">
        <v>40</v>
      </c>
      <c r="D61">
        <f>_xlfn.CEILING.MATH(ROUNDUP(C61*$D$58*((1-10%)*(1-1%)),2))</f>
        <v>5346</v>
      </c>
      <c r="E61" s="22">
        <v>0</v>
      </c>
      <c r="F61" s="42">
        <f>IF(E61&gt;=D61,0,(D61-E61)*B61)</f>
        <v>12819708</v>
      </c>
    </row>
    <row r="62" spans="1:15" x14ac:dyDescent="0.25">
      <c r="A62" t="str">
        <f>Pricing!A40</f>
        <v>Reinforced Carbon Fiber</v>
      </c>
      <c r="B62" s="37">
        <f>Pricing!B40</f>
        <v>15780</v>
      </c>
      <c r="C62">
        <v>10</v>
      </c>
      <c r="D62">
        <f>_xlfn.CEILING.MATH(ROUNDUP(C62*$D$58*((1-10%)*(1-1%)),2))</f>
        <v>1337</v>
      </c>
      <c r="E62" s="22">
        <v>0</v>
      </c>
      <c r="F62" s="43">
        <f>IF(E62&gt;=D62,0,(D62-E62)*B62)</f>
        <v>21097860</v>
      </c>
    </row>
    <row r="63" spans="1:15" x14ac:dyDescent="0.25">
      <c r="A63" t="str">
        <f>A58</f>
        <v>Auto-Integrity Preservation Seal</v>
      </c>
      <c r="D63" s="4"/>
      <c r="E63" s="37"/>
      <c r="F63" s="42">
        <f>SUM(F60:F62)</f>
        <v>44502648</v>
      </c>
    </row>
    <row r="64" spans="1:15" x14ac:dyDescent="0.25">
      <c r="A64" s="4">
        <v>539500</v>
      </c>
      <c r="B64">
        <f>D58</f>
        <v>150</v>
      </c>
      <c r="C64" s="4">
        <f>A64*B64</f>
        <v>80925000</v>
      </c>
      <c r="D64" s="27"/>
      <c r="E64" s="4"/>
      <c r="F64" s="37"/>
    </row>
    <row r="65" spans="1:15" x14ac:dyDescent="0.25">
      <c r="B65" t="s">
        <v>212</v>
      </c>
      <c r="C65" s="44">
        <f>F63</f>
        <v>44502648</v>
      </c>
      <c r="D65" s="27"/>
      <c r="E65" s="4"/>
      <c r="F65" s="37"/>
    </row>
    <row r="66" spans="1:15" x14ac:dyDescent="0.25">
      <c r="C66" s="4">
        <f>C64-C65</f>
        <v>36422352</v>
      </c>
      <c r="D66" s="27"/>
      <c r="F66" s="37"/>
    </row>
    <row r="67" spans="1:15" x14ac:dyDescent="0.25">
      <c r="A67" t="s">
        <v>213</v>
      </c>
      <c r="C67" s="26">
        <f>C64*7%</f>
        <v>5664750.0000000009</v>
      </c>
    </row>
    <row r="68" spans="1:15" x14ac:dyDescent="0.25">
      <c r="A68" t="s">
        <v>214</v>
      </c>
      <c r="C68" s="4">
        <f>C66-C67</f>
        <v>30757602</v>
      </c>
      <c r="D68" s="8">
        <f>C68/C64</f>
        <v>0.3800754031510658</v>
      </c>
    </row>
    <row r="69" spans="1:15" x14ac:dyDescent="0.25">
      <c r="B69" s="4"/>
      <c r="C69" s="41"/>
      <c r="D69" s="4"/>
    </row>
    <row r="70" spans="1:15" s="17" customFormat="1" x14ac:dyDescent="0.25">
      <c r="J70" s="30"/>
      <c r="O70" s="17" t="s">
        <v>82</v>
      </c>
    </row>
    <row r="71" spans="1:15" x14ac:dyDescent="0.25">
      <c r="A71" t="s">
        <v>215</v>
      </c>
      <c r="D71" t="s">
        <v>19</v>
      </c>
      <c r="E71">
        <v>50</v>
      </c>
      <c r="F71" t="s">
        <v>228</v>
      </c>
    </row>
    <row r="72" spans="1:15" x14ac:dyDescent="0.25">
      <c r="A72" t="s">
        <v>222</v>
      </c>
      <c r="B72" t="s">
        <v>223</v>
      </c>
      <c r="C72" t="s">
        <v>226</v>
      </c>
      <c r="D72" t="s">
        <v>224</v>
      </c>
      <c r="E72" t="s">
        <v>225</v>
      </c>
      <c r="F72" s="4" t="s">
        <v>227</v>
      </c>
    </row>
    <row r="73" spans="1:15" x14ac:dyDescent="0.25">
      <c r="A73" t="s">
        <v>216</v>
      </c>
      <c r="B73" s="37">
        <f>Pricing!B42</f>
        <v>51000</v>
      </c>
      <c r="C73">
        <v>40</v>
      </c>
      <c r="D73">
        <f>C73*$E$71</f>
        <v>2000</v>
      </c>
      <c r="E73" s="22">
        <v>0</v>
      </c>
      <c r="F73" s="42">
        <f>IF(E73&gt;=D73,0,(D73-E73)*B73)</f>
        <v>102000000</v>
      </c>
      <c r="G73" s="2" t="s">
        <v>337</v>
      </c>
      <c r="H73" s="42"/>
    </row>
    <row r="74" spans="1:15" x14ac:dyDescent="0.25">
      <c r="A74" t="s">
        <v>217</v>
      </c>
      <c r="B74" s="37">
        <f>Pricing!B43</f>
        <v>64000</v>
      </c>
      <c r="C74">
        <v>40</v>
      </c>
      <c r="D74">
        <f>C74*$E$71</f>
        <v>2000</v>
      </c>
      <c r="E74" s="22">
        <v>0</v>
      </c>
      <c r="F74" s="42">
        <f>IF(E74&gt;=D74,0,(D74-E74)*B74)</f>
        <v>128000000</v>
      </c>
      <c r="G74" s="2" t="s">
        <v>336</v>
      </c>
      <c r="H74" s="42"/>
    </row>
    <row r="75" spans="1:15" x14ac:dyDescent="0.25">
      <c r="A75" t="s">
        <v>218</v>
      </c>
      <c r="B75" s="37">
        <f>Pricing!B44</f>
        <v>696000</v>
      </c>
      <c r="C75">
        <v>1</v>
      </c>
      <c r="D75">
        <f>C75*$E$71</f>
        <v>50</v>
      </c>
      <c r="E75" s="22">
        <v>0</v>
      </c>
      <c r="F75" s="42">
        <f>IF(E75&gt;=D75,0,(D75-E75)*B75)</f>
        <v>34800000</v>
      </c>
      <c r="G75" s="41" t="s">
        <v>337</v>
      </c>
      <c r="H75" s="42"/>
    </row>
    <row r="76" spans="1:15" x14ac:dyDescent="0.25">
      <c r="A76" t="s">
        <v>219</v>
      </c>
      <c r="B76" s="37">
        <f>Pricing!B45</f>
        <v>15750</v>
      </c>
      <c r="C76">
        <v>5</v>
      </c>
      <c r="D76">
        <f>C76*$E$71</f>
        <v>250</v>
      </c>
      <c r="E76" s="22">
        <v>0</v>
      </c>
      <c r="F76" s="43">
        <f>IF(E76&gt;=D76,0,(D76-E76)*B76)</f>
        <v>3937500</v>
      </c>
      <c r="G76" s="2" t="s">
        <v>337</v>
      </c>
      <c r="H76" s="60"/>
    </row>
    <row r="77" spans="1:15" x14ac:dyDescent="0.25">
      <c r="F77" s="42">
        <f>SUM(F73:F76)</f>
        <v>268737500</v>
      </c>
      <c r="H77" s="42"/>
    </row>
    <row r="78" spans="1:15" x14ac:dyDescent="0.25">
      <c r="A78" t="s">
        <v>221</v>
      </c>
    </row>
    <row r="79" spans="1:15" x14ac:dyDescent="0.25">
      <c r="A79" s="4">
        <f>Pricing!B46</f>
        <v>369000</v>
      </c>
      <c r="B79">
        <f>20*E71</f>
        <v>1000</v>
      </c>
      <c r="C79" s="4">
        <f>A79*B79</f>
        <v>369000000</v>
      </c>
      <c r="F79" s="4">
        <v>150000</v>
      </c>
      <c r="G79" s="4">
        <f>F79*B79</f>
        <v>150000000</v>
      </c>
    </row>
    <row r="80" spans="1:15" x14ac:dyDescent="0.25">
      <c r="B80" t="s">
        <v>212</v>
      </c>
      <c r="C80" s="26">
        <f>F77</f>
        <v>268737500</v>
      </c>
      <c r="D80" s="4">
        <f>C80*1.07</f>
        <v>287549125</v>
      </c>
      <c r="G80" s="44">
        <f>F77</f>
        <v>268737500</v>
      </c>
      <c r="H80" s="4">
        <f>G80+G82</f>
        <v>294567500</v>
      </c>
    </row>
    <row r="81" spans="1:10" x14ac:dyDescent="0.25">
      <c r="C81" s="4">
        <f>C79-C80</f>
        <v>100262500</v>
      </c>
      <c r="G81" s="4">
        <f>G79-G80</f>
        <v>-118737500</v>
      </c>
    </row>
    <row r="82" spans="1:10" x14ac:dyDescent="0.25">
      <c r="A82" t="s">
        <v>213</v>
      </c>
      <c r="C82" s="26">
        <f>(C79*7%)</f>
        <v>25830000.000000004</v>
      </c>
      <c r="G82" s="26">
        <f>C82</f>
        <v>25830000.000000004</v>
      </c>
    </row>
    <row r="83" spans="1:10" x14ac:dyDescent="0.25">
      <c r="A83" t="s">
        <v>214</v>
      </c>
      <c r="C83" s="4">
        <f>C81-C82</f>
        <v>74432500</v>
      </c>
      <c r="D83" s="45">
        <f>C83/C79</f>
        <v>0.2017140921409214</v>
      </c>
      <c r="G83" s="4">
        <f>G81-G82</f>
        <v>-144567500</v>
      </c>
      <c r="H83" s="45">
        <f>G83/G79</f>
        <v>-0.96378333333333333</v>
      </c>
    </row>
    <row r="85" spans="1:10" s="17" customFormat="1" x14ac:dyDescent="0.25">
      <c r="J85" s="30"/>
    </row>
    <row r="86" spans="1:10" x14ac:dyDescent="0.25">
      <c r="A86" t="s">
        <v>315</v>
      </c>
    </row>
    <row r="87" spans="1:10" x14ac:dyDescent="0.25">
      <c r="A87" t="s">
        <v>19</v>
      </c>
      <c r="B87">
        <v>50</v>
      </c>
      <c r="C87" t="s">
        <v>97</v>
      </c>
    </row>
    <row r="88" spans="1:10" x14ac:dyDescent="0.25">
      <c r="B88" t="s">
        <v>103</v>
      </c>
      <c r="C88" t="s">
        <v>18</v>
      </c>
      <c r="D88" s="4" t="s">
        <v>17</v>
      </c>
      <c r="E88" t="s">
        <v>26</v>
      </c>
      <c r="F88" t="s">
        <v>317</v>
      </c>
    </row>
    <row r="89" spans="1:10" x14ac:dyDescent="0.25">
      <c r="A89" t="s">
        <v>112</v>
      </c>
      <c r="B89" s="4">
        <v>445</v>
      </c>
      <c r="C89" s="3">
        <f>_xlfn.CEILING.MATH(ROUNDUP(B89*$B$87*((1-10%)*(1-1%)),2))</f>
        <v>19825</v>
      </c>
      <c r="D89" s="4">
        <v>0</v>
      </c>
      <c r="E89" s="4">
        <f>Pricing!J6</f>
        <v>1341</v>
      </c>
      <c r="F89" s="2">
        <f>E89*(C89-D89)</f>
        <v>26585325</v>
      </c>
    </row>
    <row r="90" spans="1:10" x14ac:dyDescent="0.25">
      <c r="B90" s="4"/>
      <c r="D90" s="4"/>
      <c r="F90" s="28">
        <f>(C89*E89)*0.02</f>
        <v>531706.5</v>
      </c>
      <c r="G90" t="s">
        <v>324</v>
      </c>
    </row>
    <row r="91" spans="1:10" x14ac:dyDescent="0.25">
      <c r="B91" s="4"/>
      <c r="D91" s="4"/>
      <c r="F91" s="4">
        <f>SUM(F89:F90)</f>
        <v>27117031.5</v>
      </c>
      <c r="G91" t="s">
        <v>325</v>
      </c>
    </row>
    <row r="92" spans="1:10" s="17" customFormat="1" x14ac:dyDescent="0.25">
      <c r="D92" s="54"/>
      <c r="J92" s="30"/>
    </row>
  </sheetData>
  <sortState xmlns:xlrd2="http://schemas.microsoft.com/office/spreadsheetml/2017/richdata2" ref="A3:J8">
    <sortCondition ref="A3:A8"/>
  </sortState>
  <conditionalFormatting sqref="E36:E46">
    <cfRule type="cellIs" dxfId="62" priority="1" operator="greaterThan">
      <formula>0</formula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0EA55-2A16-4F1E-8AC3-ACB4D1D95448}">
  <sheetPr>
    <tabColor theme="5" tint="-0.249977111117893"/>
  </sheetPr>
  <dimension ref="A1:U90"/>
  <sheetViews>
    <sheetView topLeftCell="A16" workbookViewId="0">
      <selection activeCell="U18" sqref="U18"/>
    </sheetView>
  </sheetViews>
  <sheetFormatPr defaultRowHeight="15" x14ac:dyDescent="0.25"/>
  <cols>
    <col min="1" max="1" width="18.140625" bestFit="1" customWidth="1"/>
    <col min="2" max="2" width="13.28515625" bestFit="1" customWidth="1"/>
    <col min="3" max="4" width="15.28515625" bestFit="1" customWidth="1"/>
    <col min="5" max="5" width="13.28515625" bestFit="1" customWidth="1"/>
    <col min="6" max="6" width="14.28515625" bestFit="1" customWidth="1"/>
    <col min="7" max="8" width="15.28515625" bestFit="1" customWidth="1"/>
    <col min="9" max="9" width="14.28515625" bestFit="1" customWidth="1"/>
    <col min="10" max="10" width="15.85546875" style="49" bestFit="1" customWidth="1"/>
    <col min="12" max="12" width="16.5703125" customWidth="1"/>
    <col min="13" max="13" width="14.7109375" customWidth="1"/>
    <col min="15" max="15" width="14" bestFit="1" customWidth="1"/>
    <col min="16" max="16" width="12" customWidth="1"/>
    <col min="17" max="17" width="13.28515625" bestFit="1" customWidth="1"/>
    <col min="18" max="18" width="15.140625" customWidth="1"/>
    <col min="19" max="19" width="16.140625" customWidth="1"/>
    <col min="20" max="20" width="13" customWidth="1"/>
  </cols>
  <sheetData>
    <row r="1" spans="1:20" x14ac:dyDescent="0.25">
      <c r="A1" t="s">
        <v>316</v>
      </c>
      <c r="O1" s="24"/>
      <c r="P1" s="24"/>
    </row>
    <row r="2" spans="1:20" x14ac:dyDescent="0.25">
      <c r="A2" t="s">
        <v>19</v>
      </c>
      <c r="B2">
        <v>50</v>
      </c>
      <c r="C2" t="s">
        <v>346</v>
      </c>
      <c r="D2">
        <f>B2*1</f>
        <v>50</v>
      </c>
      <c r="O2" s="24"/>
      <c r="P2" s="24"/>
    </row>
    <row r="3" spans="1:20" x14ac:dyDescent="0.25">
      <c r="B3" t="s">
        <v>103</v>
      </c>
      <c r="C3" t="s">
        <v>18</v>
      </c>
      <c r="D3" s="4" t="s">
        <v>17</v>
      </c>
      <c r="E3" t="s">
        <v>26</v>
      </c>
      <c r="F3" t="s">
        <v>317</v>
      </c>
      <c r="O3" s="24"/>
      <c r="P3" s="24"/>
    </row>
    <row r="4" spans="1:20" x14ac:dyDescent="0.25">
      <c r="A4" t="s">
        <v>314</v>
      </c>
      <c r="B4">
        <v>1</v>
      </c>
      <c r="C4" s="3">
        <f>_xlfn.CEILING.MATH(ROUNDUP(B4*$B$2*((1-$B$9)*(1-1%)),2))</f>
        <v>49</v>
      </c>
      <c r="D4" s="4">
        <v>0</v>
      </c>
      <c r="E4" s="4">
        <f>50000</f>
        <v>50000</v>
      </c>
      <c r="F4" s="3">
        <f>E4*(C4-D4)</f>
        <v>2450000</v>
      </c>
      <c r="G4" t="s">
        <v>318</v>
      </c>
      <c r="H4" t="s">
        <v>319</v>
      </c>
      <c r="I4" t="s">
        <v>320</v>
      </c>
      <c r="J4" s="49" t="s">
        <v>321</v>
      </c>
      <c r="O4" s="24"/>
      <c r="P4" s="24"/>
    </row>
    <row r="5" spans="1:20" x14ac:dyDescent="0.25">
      <c r="A5" t="s">
        <v>315</v>
      </c>
      <c r="B5">
        <v>1</v>
      </c>
      <c r="C5" s="3">
        <f>_xlfn.CEILING.MATH(ROUNDUP(B5*$B$2*((1-$B$9)*(1-1%)),2))</f>
        <v>49</v>
      </c>
      <c r="D5" s="4">
        <v>0</v>
      </c>
      <c r="E5" t="s">
        <v>322</v>
      </c>
      <c r="F5" s="49">
        <f>SMALL(H5:J5,1)</f>
        <v>26950000</v>
      </c>
      <c r="H5">
        <f>Pricing!J26*C5</f>
        <v>26950000</v>
      </c>
      <c r="J5" s="49">
        <f>'BP Tech 1 Manufacture'!F91</f>
        <v>27117031.5</v>
      </c>
      <c r="O5" s="24"/>
      <c r="P5" s="24"/>
    </row>
    <row r="6" spans="1:20" x14ac:dyDescent="0.25">
      <c r="A6" t="s">
        <v>15</v>
      </c>
      <c r="B6">
        <v>28</v>
      </c>
      <c r="C6" s="3">
        <f>_xlfn.CEILING.MATH(ROUNDUP(B6*$B$2*((1-$B$9)*(1-1%)),2))</f>
        <v>1345</v>
      </c>
      <c r="D6" s="4">
        <v>0</v>
      </c>
      <c r="E6" s="4">
        <f>Pricing!F31</f>
        <v>6173</v>
      </c>
      <c r="F6" s="51">
        <f>E6*(C6-D6)</f>
        <v>8302685</v>
      </c>
      <c r="G6" s="49"/>
      <c r="O6" s="24"/>
      <c r="P6" s="24"/>
    </row>
    <row r="7" spans="1:20" x14ac:dyDescent="0.25">
      <c r="A7" t="s">
        <v>229</v>
      </c>
      <c r="B7" s="4">
        <f>Pricing!B62</f>
        <v>1114000</v>
      </c>
      <c r="D7" s="27"/>
      <c r="F7" s="49">
        <f>SUM(F4:F6)</f>
        <v>37702685</v>
      </c>
      <c r="G7" t="s">
        <v>323</v>
      </c>
      <c r="H7" s="4">
        <f>D2*B7</f>
        <v>55700000</v>
      </c>
      <c r="O7" s="24"/>
      <c r="P7" s="24"/>
    </row>
    <row r="8" spans="1:20" x14ac:dyDescent="0.25">
      <c r="D8" s="27"/>
      <c r="F8" s="16">
        <f>(F4+F6+LARGE(H5:J5,1))*0.02</f>
        <v>757394.33</v>
      </c>
      <c r="G8" t="s">
        <v>324</v>
      </c>
      <c r="I8" s="4">
        <f>H7-F7</f>
        <v>17997315</v>
      </c>
      <c r="O8" s="24"/>
      <c r="P8" s="24"/>
    </row>
    <row r="9" spans="1:20" x14ac:dyDescent="0.25">
      <c r="A9" t="s">
        <v>104</v>
      </c>
      <c r="B9" s="31">
        <v>0.03</v>
      </c>
      <c r="D9" s="27"/>
      <c r="F9" s="16">
        <f>E13</f>
        <v>7065529.9999999991</v>
      </c>
      <c r="G9" t="s">
        <v>326</v>
      </c>
      <c r="I9" s="59">
        <f>I8/H7</f>
        <v>0.32311157989228007</v>
      </c>
      <c r="O9" s="24"/>
      <c r="P9" s="24"/>
    </row>
    <row r="10" spans="1:20" x14ac:dyDescent="0.25">
      <c r="A10" t="s">
        <v>327</v>
      </c>
      <c r="B10" t="s">
        <v>328</v>
      </c>
      <c r="C10">
        <v>2</v>
      </c>
      <c r="D10" s="16">
        <v>126800</v>
      </c>
      <c r="E10" s="60">
        <f>(C10+(($B$2/10)+((1-$B$13)*($B$2/10)))*D10)</f>
        <v>839417.99999999988</v>
      </c>
      <c r="F10" s="26">
        <f>SUM(F7:F9)</f>
        <v>45525609.329999998</v>
      </c>
      <c r="G10" t="s">
        <v>325</v>
      </c>
      <c r="O10" s="24"/>
      <c r="P10" s="24"/>
    </row>
    <row r="11" spans="1:20" x14ac:dyDescent="0.25">
      <c r="B11" t="s">
        <v>329</v>
      </c>
      <c r="C11">
        <v>2</v>
      </c>
      <c r="D11" s="16">
        <v>148700</v>
      </c>
      <c r="E11" s="60">
        <f>(C11+(($B$2/10)+((1-$B$13)*($B$2/10)))*D11)</f>
        <v>984395.99999999988</v>
      </c>
      <c r="F11" s="4">
        <f>F10/B2</f>
        <v>910512.18660000002</v>
      </c>
      <c r="G11" t="s">
        <v>332</v>
      </c>
      <c r="O11" s="24"/>
      <c r="P11" s="24"/>
    </row>
    <row r="12" spans="1:20" x14ac:dyDescent="0.25">
      <c r="B12" t="s">
        <v>331</v>
      </c>
      <c r="C12">
        <v>1</v>
      </c>
      <c r="D12" s="16">
        <v>791800</v>
      </c>
      <c r="E12" s="44">
        <f>D12*(($B$2/10)+(($B$2/10)*(1-$B$13)))</f>
        <v>5241715.9999999991</v>
      </c>
      <c r="O12" s="24"/>
      <c r="P12" s="24"/>
    </row>
    <row r="13" spans="1:20" x14ac:dyDescent="0.25">
      <c r="A13" t="s">
        <v>330</v>
      </c>
      <c r="B13" s="25">
        <v>0.67600000000000005</v>
      </c>
      <c r="E13" s="16">
        <f>SUM(E10:E12)</f>
        <v>7065529.9999999991</v>
      </c>
      <c r="G13" s="59"/>
      <c r="O13" s="24"/>
      <c r="P13" s="24"/>
    </row>
    <row r="14" spans="1:20" s="17" customFormat="1" x14ac:dyDescent="0.25">
      <c r="L14" s="19"/>
      <c r="M14" s="18"/>
      <c r="S14" s="54"/>
    </row>
    <row r="15" spans="1:20" x14ac:dyDescent="0.25">
      <c r="A15" t="s">
        <v>306</v>
      </c>
      <c r="C15" s="32" t="s">
        <v>19</v>
      </c>
      <c r="D15" s="35">
        <v>1</v>
      </c>
      <c r="E15" t="s">
        <v>17</v>
      </c>
      <c r="F15" t="s">
        <v>18</v>
      </c>
      <c r="H15" t="s">
        <v>20</v>
      </c>
      <c r="I15" t="s">
        <v>26</v>
      </c>
      <c r="J15"/>
      <c r="K15" t="s">
        <v>23</v>
      </c>
      <c r="L15" t="s">
        <v>32</v>
      </c>
      <c r="M15" s="7" t="s">
        <v>33</v>
      </c>
      <c r="O15" t="s">
        <v>31</v>
      </c>
      <c r="R15" t="s">
        <v>47</v>
      </c>
      <c r="T15" s="2">
        <v>0</v>
      </c>
    </row>
    <row r="16" spans="1:20" x14ac:dyDescent="0.25">
      <c r="A16" t="str">
        <f>Pricing!A54</f>
        <v>Transmitter</v>
      </c>
      <c r="B16">
        <v>22</v>
      </c>
      <c r="C16">
        <f>MAX(B16,(_xlfn.CEILING.MATH(ROUNDUP(B16*'Ship Component Reqs'!$D$106*((1-1%)*(1-'Ship Component Reqs'!$B$117)),1),1)))</f>
        <v>64</v>
      </c>
      <c r="D16" s="33" t="s">
        <v>97</v>
      </c>
      <c r="E16" s="5">
        <v>0</v>
      </c>
      <c r="F16">
        <f>IF(C16-E16&lt;0,0,(C16*'Ship Component Reqs'!$D$123)-E16)</f>
        <v>64</v>
      </c>
      <c r="H16" t="s">
        <v>308</v>
      </c>
      <c r="I16" s="22">
        <f>Pricing!B54</f>
        <v>7700</v>
      </c>
      <c r="J16" s="3">
        <f t="shared" ref="J16:J21" si="0">IF(F16&lt;0,0,(F16*I16))</f>
        <v>492800</v>
      </c>
      <c r="L16" t="str">
        <f t="shared" ref="L16:L21" si="1">H16</f>
        <v>Transmitter</v>
      </c>
      <c r="M16" s="3">
        <f>J16+1</f>
        <v>492801</v>
      </c>
      <c r="O16" t="str">
        <f>IF(AND(J16=0,M16=0),"Not Necessary",IF(J16&lt;M16,'Ship Component Reqs'!$H$2,'Ship Component Reqs'!$L$2))</f>
        <v>Jita Buy Price</v>
      </c>
      <c r="Q16" s="2" t="str">
        <f t="shared" ref="Q16:Q22" si="2">IF(O16="Manufacture",M16,"")</f>
        <v/>
      </c>
      <c r="R16" s="2">
        <f t="shared" ref="R16:R21" si="3">SMALL(J16:M16,1)</f>
        <v>492800</v>
      </c>
      <c r="S16" t="s">
        <v>171</v>
      </c>
      <c r="T16" s="2">
        <v>1020000</v>
      </c>
    </row>
    <row r="17" spans="1:21" x14ac:dyDescent="0.25">
      <c r="A17" t="str">
        <f>Pricing!A55</f>
        <v>Miniature Electronics</v>
      </c>
      <c r="B17">
        <v>22</v>
      </c>
      <c r="C17">
        <f>MAX(B17,(_xlfn.CEILING.MATH(ROUNDUP(B17*'Ship Component Reqs'!$D$106*((1-1%)*(1-'Ship Component Reqs'!$B$117)),1),1)))</f>
        <v>64</v>
      </c>
      <c r="D17" s="34">
        <v>3</v>
      </c>
      <c r="E17" s="5">
        <v>0</v>
      </c>
      <c r="F17">
        <f>IF(C17-E17&lt;0,0,(C17*'Ship Component Reqs'!$D$123)-E17)</f>
        <v>64</v>
      </c>
      <c r="H17" t="s">
        <v>311</v>
      </c>
      <c r="I17" s="22">
        <f>Pricing!B55</f>
        <v>9490</v>
      </c>
      <c r="J17" s="3">
        <f t="shared" si="0"/>
        <v>607360</v>
      </c>
      <c r="L17" t="str">
        <f t="shared" si="1"/>
        <v>Miniature Electronics</v>
      </c>
      <c r="M17" s="3">
        <f>J17+1</f>
        <v>607361</v>
      </c>
      <c r="O17" t="str">
        <f>IF(AND(J17=0,M17=0),"Not Necessary",IF(J17&lt;M17,'Ship Component Reqs'!$H$2,'Ship Component Reqs'!$L$2))</f>
        <v>Jita Buy Price</v>
      </c>
      <c r="Q17" s="2" t="str">
        <f t="shared" si="2"/>
        <v/>
      </c>
      <c r="R17" s="2">
        <f t="shared" si="3"/>
        <v>607360</v>
      </c>
      <c r="S17" t="s">
        <v>77</v>
      </c>
      <c r="T17" s="4">
        <f>U17*(R25*(D15*D17))</f>
        <v>521639.99999999994</v>
      </c>
      <c r="U17" s="25">
        <v>3.5999999999999997E-2</v>
      </c>
    </row>
    <row r="18" spans="1:21" x14ac:dyDescent="0.25">
      <c r="A18" t="str">
        <f>Pricing!I9</f>
        <v>Morphite</v>
      </c>
      <c r="B18">
        <v>15</v>
      </c>
      <c r="C18">
        <f>MAX(B18,(_xlfn.CEILING.MATH(ROUNDUP(B18*'Ship Component Reqs'!$D$106*((1-1%)*(1-'Ship Component Reqs'!$B$117)),1),1)))</f>
        <v>44</v>
      </c>
      <c r="E18" s="5">
        <v>0</v>
      </c>
      <c r="F18">
        <f>IF(C18-E18&lt;0,0,(C18*'Ship Component Reqs'!$D$123)-E18)</f>
        <v>44</v>
      </c>
      <c r="H18" t="s">
        <v>43</v>
      </c>
      <c r="I18" s="4">
        <f>Pricing!J9</f>
        <v>41900</v>
      </c>
      <c r="J18" s="3">
        <f t="shared" si="0"/>
        <v>1843600</v>
      </c>
      <c r="L18" t="str">
        <f t="shared" si="1"/>
        <v>Morphite</v>
      </c>
      <c r="M18" s="3">
        <f>J18+1</f>
        <v>1843601</v>
      </c>
      <c r="O18" t="str">
        <f>IF(AND(J18=0,M18=0),"Not Necessary",IF(J18&lt;M18,'Ship Component Reqs'!$H$2,'Ship Component Reqs'!$L$2))</f>
        <v>Jita Buy Price</v>
      </c>
      <c r="Q18" s="2" t="str">
        <f t="shared" si="2"/>
        <v/>
      </c>
      <c r="R18" s="2">
        <f t="shared" si="3"/>
        <v>1843600</v>
      </c>
      <c r="S18" t="s">
        <v>172</v>
      </c>
      <c r="T18" s="4">
        <f>U18*(R25*(D15*D17))</f>
        <v>0</v>
      </c>
      <c r="U18" s="25">
        <v>0</v>
      </c>
    </row>
    <row r="19" spans="1:21" x14ac:dyDescent="0.25">
      <c r="A19" t="str">
        <f>Pricing!A58</f>
        <v>Graviton Pulse Generator</v>
      </c>
      <c r="B19">
        <v>26</v>
      </c>
      <c r="C19">
        <f>MAX(B19,(_xlfn.CEILING.MATH(ROUNDUP(B19*'Ship Component Reqs'!$D$106*((1-1%)*(1-'Ship Component Reqs'!$B$117)),1),1)))</f>
        <v>75</v>
      </c>
      <c r="E19" s="5">
        <v>0</v>
      </c>
      <c r="F19">
        <f>IF(C19-E19&lt;0,0,(C19*'Ship Component Reqs'!$D$123)-E19)</f>
        <v>75</v>
      </c>
      <c r="H19" t="s">
        <v>309</v>
      </c>
      <c r="I19" s="22">
        <f>Pricing!B58</f>
        <v>26230</v>
      </c>
      <c r="J19" s="3">
        <f t="shared" si="0"/>
        <v>1967250</v>
      </c>
      <c r="L19" t="str">
        <f t="shared" si="1"/>
        <v>Graviton Pulse Generator</v>
      </c>
      <c r="M19" s="3">
        <f>'Component BP'!F416</f>
        <v>1508291.727</v>
      </c>
      <c r="O19" t="str">
        <f>IF(AND(J19=0,M19=0),"Not Necessary",IF(J19&lt;M19,'Ship Component Reqs'!$H$2,'Ship Component Reqs'!$L$2))</f>
        <v>Manufacture</v>
      </c>
      <c r="Q19" s="2">
        <f t="shared" si="2"/>
        <v>1508291.727</v>
      </c>
      <c r="R19" s="2">
        <f t="shared" si="3"/>
        <v>1508291.727</v>
      </c>
      <c r="S19" t="s">
        <v>173</v>
      </c>
      <c r="T19" s="4">
        <f>(SUM(Q16:Q22)*0.03)+(R25*0.03)</f>
        <v>423408.70656000002</v>
      </c>
    </row>
    <row r="20" spans="1:21" x14ac:dyDescent="0.25">
      <c r="A20" t="str">
        <f>Pricing!A59</f>
        <v>Photon Microprocessor</v>
      </c>
      <c r="B20">
        <v>33</v>
      </c>
      <c r="C20">
        <f>MAX(B20,(_xlfn.CEILING.MATH(ROUNDUP(B20*'Ship Component Reqs'!$D$106*((1-1%)*(1-'Ship Component Reqs'!$B$117)),1),1)))</f>
        <v>96</v>
      </c>
      <c r="E20" s="5">
        <v>0</v>
      </c>
      <c r="F20">
        <f>IF(C20-E20&lt;0,0,(C20*'Ship Component Reqs'!$D$123)-E20)</f>
        <v>96</v>
      </c>
      <c r="H20" t="s">
        <v>244</v>
      </c>
      <c r="I20" s="22">
        <f>Pricing!B59</f>
        <v>40000</v>
      </c>
      <c r="J20" s="3">
        <f t="shared" si="0"/>
        <v>3840000</v>
      </c>
      <c r="L20" t="str">
        <f t="shared" si="1"/>
        <v>Photon Microprocessor</v>
      </c>
      <c r="M20" s="3">
        <f>'Component BP'!F422</f>
        <v>3472622.855</v>
      </c>
      <c r="O20" t="str">
        <f>IF(AND(J20=0,M20=0),"Not Necessary",IF(J20&lt;M20,'Ship Component Reqs'!$H$2,'Ship Component Reqs'!$L$2))</f>
        <v>Manufacture</v>
      </c>
      <c r="Q20" s="2">
        <f t="shared" si="2"/>
        <v>3472622.855</v>
      </c>
      <c r="R20" s="2">
        <f t="shared" si="3"/>
        <v>3472622.855</v>
      </c>
      <c r="T20" s="4">
        <f>SUM(T15:T19)</f>
        <v>1965048.7065600001</v>
      </c>
    </row>
    <row r="21" spans="1:21" x14ac:dyDescent="0.25">
      <c r="A21" t="str">
        <f>Pricing!A60</f>
        <v>ProtoType cloaking Device I</v>
      </c>
      <c r="B21">
        <v>1</v>
      </c>
      <c r="C21">
        <f>MAX(B21,(_xlfn.CEILING.MATH(ROUNDUP(B21*'Ship Component Reqs'!$D$106*((1-1%)*(1-'Ship Component Reqs'!$B$117)),1),1)))</f>
        <v>3</v>
      </c>
      <c r="E21" s="5">
        <v>0</v>
      </c>
      <c r="F21">
        <f>IF(C21-E21&lt;0,0,(C21*'Ship Component Reqs'!$D$123)-E21)</f>
        <v>3</v>
      </c>
      <c r="H21" t="s">
        <v>310</v>
      </c>
      <c r="I21" s="22">
        <f>Pricing!B60</f>
        <v>2079000</v>
      </c>
      <c r="J21" s="3">
        <f t="shared" si="0"/>
        <v>6237000</v>
      </c>
      <c r="L21" t="str">
        <f t="shared" si="1"/>
        <v>ProtoType cloaking Device I</v>
      </c>
      <c r="M21" s="3">
        <f>'Component BP'!F436</f>
        <v>4302708.97</v>
      </c>
      <c r="O21" t="str">
        <f>IF(AND(J21=0,M21=0),"Not Necessary",IF(J21&lt;M21,'Ship Component Reqs'!$H$2,'Ship Component Reqs'!$L$2))</f>
        <v>Manufacture</v>
      </c>
      <c r="Q21" s="2">
        <f t="shared" si="2"/>
        <v>4302708.97</v>
      </c>
      <c r="R21" s="2">
        <f t="shared" si="3"/>
        <v>4302708.97</v>
      </c>
    </row>
    <row r="22" spans="1:21" x14ac:dyDescent="0.25">
      <c r="I22" s="37"/>
      <c r="J22" s="3"/>
      <c r="M22" s="3"/>
      <c r="Q22" s="2" t="str">
        <f t="shared" si="2"/>
        <v/>
      </c>
      <c r="R22" s="2"/>
    </row>
    <row r="23" spans="1:21" x14ac:dyDescent="0.25">
      <c r="H23" s="4">
        <f>F23*Pricing!$J$9</f>
        <v>0</v>
      </c>
      <c r="J23"/>
    </row>
    <row r="24" spans="1:21" x14ac:dyDescent="0.25">
      <c r="J24"/>
      <c r="L24" s="9" t="s">
        <v>36</v>
      </c>
      <c r="M24" s="3" t="s">
        <v>47</v>
      </c>
      <c r="R24" s="2">
        <f>SMALL(J25:M25,1)+T20</f>
        <v>14192432.258560002</v>
      </c>
    </row>
    <row r="25" spans="1:21" x14ac:dyDescent="0.25">
      <c r="J25" s="3">
        <f>SUM(J16:J21)</f>
        <v>14988010</v>
      </c>
      <c r="L25" s="3">
        <f>SUM(M16:M21)</f>
        <v>12227386.552000001</v>
      </c>
      <c r="M25" s="16">
        <f>SUM(R15:R21)</f>
        <v>12227383.552000001</v>
      </c>
      <c r="R25" s="22">
        <f>Pricing!J45</f>
        <v>4830000</v>
      </c>
      <c r="S25" t="str">
        <f>A15</f>
        <v>Covert Ops Cloaking Device II</v>
      </c>
    </row>
    <row r="26" spans="1:21" x14ac:dyDescent="0.25">
      <c r="J26"/>
      <c r="M26" s="3"/>
      <c r="R26" s="2">
        <f>(R25*(D15*D17))</f>
        <v>14490000</v>
      </c>
      <c r="S26" s="4">
        <f>R26-R24</f>
        <v>297567.74143999815</v>
      </c>
      <c r="T26" t="s">
        <v>45</v>
      </c>
    </row>
    <row r="27" spans="1:21" x14ac:dyDescent="0.25">
      <c r="J27"/>
      <c r="K27" t="s">
        <v>37</v>
      </c>
      <c r="L27" s="4">
        <f>-1*(M25-J25)</f>
        <v>2760626.4479999989</v>
      </c>
      <c r="M27" s="3"/>
      <c r="R27" s="8"/>
      <c r="S27" s="8">
        <f>((R26-R24)/R26)</f>
        <v>2.0536076013802494E-2</v>
      </c>
      <c r="T27" t="s">
        <v>45</v>
      </c>
    </row>
    <row r="28" spans="1:21" x14ac:dyDescent="0.25">
      <c r="J28"/>
      <c r="K28" t="s">
        <v>38</v>
      </c>
      <c r="L28" s="8">
        <f>1-(M25/J25)</f>
        <v>0.18418899160061941</v>
      </c>
      <c r="M28" s="3"/>
      <c r="R28" t="s">
        <v>45</v>
      </c>
      <c r="S28" s="4">
        <f>R24-T17-T18</f>
        <v>13670792.258560002</v>
      </c>
      <c r="T28" t="s">
        <v>297</v>
      </c>
    </row>
    <row r="29" spans="1:21" s="17" customFormat="1" x14ac:dyDescent="0.25">
      <c r="C29" s="62"/>
      <c r="D29" s="54"/>
      <c r="J29" s="62"/>
    </row>
    <row r="30" spans="1:21" x14ac:dyDescent="0.25">
      <c r="A30" t="s">
        <v>281</v>
      </c>
      <c r="B30" t="s">
        <v>103</v>
      </c>
      <c r="C30" s="32" t="s">
        <v>19</v>
      </c>
      <c r="D30" s="35">
        <v>11</v>
      </c>
      <c r="E30" t="s">
        <v>17</v>
      </c>
      <c r="F30" t="s">
        <v>18</v>
      </c>
      <c r="H30" t="s">
        <v>20</v>
      </c>
      <c r="I30" t="s">
        <v>26</v>
      </c>
      <c r="J30"/>
      <c r="K30" t="s">
        <v>23</v>
      </c>
      <c r="L30" t="s">
        <v>32</v>
      </c>
      <c r="M30" s="7" t="s">
        <v>33</v>
      </c>
      <c r="O30" t="s">
        <v>31</v>
      </c>
      <c r="R30" s="8"/>
    </row>
    <row r="31" spans="1:21" x14ac:dyDescent="0.25">
      <c r="A31" t="s">
        <v>282</v>
      </c>
      <c r="B31">
        <v>5</v>
      </c>
      <c r="C31">
        <f>MAX(B31,(_xlfn.CEILING.MATH(ROUNDUP(B31*$D$30*((1-1%)*(1-$B$37)),1),1)))</f>
        <v>53</v>
      </c>
      <c r="D31" s="33" t="s">
        <v>97</v>
      </c>
      <c r="E31" s="5">
        <v>0</v>
      </c>
      <c r="F31">
        <f>IF(C31-E31&lt;0,0,(C31*$D$32)-E31)</f>
        <v>477</v>
      </c>
      <c r="H31" t="str">
        <f>A31</f>
        <v>Guidance Systems</v>
      </c>
      <c r="I31" s="4">
        <f>Pricing!B48</f>
        <v>62260</v>
      </c>
      <c r="J31" s="3">
        <f>IF(F31&lt;0,0,(F31*I31))</f>
        <v>29698020</v>
      </c>
      <c r="L31" s="4"/>
      <c r="M31" s="3"/>
      <c r="R31" s="8"/>
    </row>
    <row r="32" spans="1:21" x14ac:dyDescent="0.25">
      <c r="A32" t="s">
        <v>201</v>
      </c>
      <c r="B32">
        <v>5</v>
      </c>
      <c r="C32">
        <f>MAX(B32,(_xlfn.CEILING.MATH(ROUNDUP(B32*$D$30*((1-1%)*(1-$B$37)),1),1)))</f>
        <v>53</v>
      </c>
      <c r="D32" s="34">
        <v>9</v>
      </c>
      <c r="E32" s="5">
        <v>0</v>
      </c>
      <c r="F32">
        <f>IF(C32-E32&lt;0,0,(C32*$D$32)-E32)</f>
        <v>477</v>
      </c>
      <c r="H32" t="str">
        <f>A32</f>
        <v>Robotics</v>
      </c>
      <c r="I32" s="4">
        <f>Pricing!B49</f>
        <v>65730</v>
      </c>
      <c r="J32" s="3">
        <f>IF(F32&lt;0,0,(F32*I32))</f>
        <v>31353210</v>
      </c>
      <c r="L32" s="4"/>
      <c r="M32" s="3"/>
      <c r="R32" s="8"/>
    </row>
    <row r="33" spans="1:18" x14ac:dyDescent="0.25">
      <c r="A33" t="s">
        <v>283</v>
      </c>
      <c r="B33">
        <v>3</v>
      </c>
      <c r="C33">
        <f>MAX(B33,(_xlfn.CEILING.MATH(ROUNDUP(B33*$D$30*((1-1%)*(1-$B$37)),1),1)))</f>
        <v>32</v>
      </c>
      <c r="E33" s="5">
        <v>0</v>
      </c>
      <c r="F33">
        <f>IF(C33-E33&lt;0,0,(C33*$D$32)-E33)</f>
        <v>288</v>
      </c>
      <c r="H33" t="str">
        <f>A33</f>
        <v>Laser Focusing Crystals</v>
      </c>
      <c r="I33" s="4">
        <f>Pricing!B50</f>
        <v>25800</v>
      </c>
      <c r="J33" s="3">
        <f>IF(F33&lt;0,0,(F33*I33))</f>
        <v>7430400</v>
      </c>
      <c r="L33" s="4" t="str">
        <f>H33</f>
        <v>Laser Focusing Crystals</v>
      </c>
      <c r="M33" s="3">
        <f>'Component BP'!N20</f>
        <v>4574104.7</v>
      </c>
      <c r="O33" t="str">
        <f>IF(AND(J33=0,M33=0),"Not Necessary",IF(J33&lt;M33,'Ship Component Reqs'!$H$2,'Ship Component Reqs'!$L$2))</f>
        <v>Manufacture</v>
      </c>
      <c r="P33" s="16">
        <f>J33</f>
        <v>7430400</v>
      </c>
      <c r="R33" s="8"/>
    </row>
    <row r="34" spans="1:18" x14ac:dyDescent="0.25">
      <c r="A34" t="s">
        <v>43</v>
      </c>
      <c r="B34">
        <v>5</v>
      </c>
      <c r="C34">
        <f>MAX(B34,(_xlfn.CEILING.MATH(ROUNDUP(B34*$D$30*((1-1%)*(1-$B$37)),1),1)))</f>
        <v>53</v>
      </c>
      <c r="E34" s="5">
        <v>0</v>
      </c>
      <c r="F34">
        <f>IF(C34-E34&lt;0,0,(C34*$D$32)-E34)</f>
        <v>477</v>
      </c>
      <c r="H34" t="str">
        <f>A34</f>
        <v>Morphite</v>
      </c>
      <c r="I34" s="4">
        <f>Pricing!J9</f>
        <v>41900</v>
      </c>
      <c r="J34" s="3">
        <f>IF(F34&lt;0,0,(F34*I34))</f>
        <v>19986300</v>
      </c>
      <c r="L34" s="4"/>
      <c r="M34" s="3"/>
      <c r="P34" s="16">
        <f>M33</f>
        <v>4574104.7</v>
      </c>
      <c r="R34" s="8"/>
    </row>
    <row r="35" spans="1:18" x14ac:dyDescent="0.25">
      <c r="A35" t="s">
        <v>284</v>
      </c>
      <c r="B35">
        <v>1</v>
      </c>
      <c r="C35">
        <f>MAX(B35,(_xlfn.CEILING.MATH(ROUNDUP(B35*$D$30*((1-1%)*(1-$B$37)),1),1)))</f>
        <v>11</v>
      </c>
      <c r="E35" s="5">
        <v>0</v>
      </c>
      <c r="F35">
        <f>IF(C35-E35&lt;0,0,(C35*$D$32)-E35)</f>
        <v>99</v>
      </c>
      <c r="H35" t="str">
        <f>A35</f>
        <v>Curator I</v>
      </c>
      <c r="I35" s="4">
        <f>Pricing!B51</f>
        <v>111100</v>
      </c>
      <c r="J35" s="3">
        <f>IF(F35&lt;0,0,(F35*I35))</f>
        <v>10998900</v>
      </c>
      <c r="L35" s="4"/>
      <c r="M35" s="3"/>
      <c r="R35" s="8"/>
    </row>
    <row r="36" spans="1:18" x14ac:dyDescent="0.25">
      <c r="J36"/>
      <c r="L36" s="4"/>
      <c r="M36" s="3"/>
      <c r="R36" s="8"/>
    </row>
    <row r="37" spans="1:18" x14ac:dyDescent="0.25">
      <c r="A37" t="s">
        <v>104</v>
      </c>
      <c r="B37" s="31">
        <v>0.04</v>
      </c>
      <c r="C37" s="10"/>
      <c r="J37" s="16">
        <f>SUM(J31:J32)+SUM(J34:J35)+IF(J33&lt;M33,J33,M33)</f>
        <v>96610534.700000003</v>
      </c>
      <c r="K37" t="s">
        <v>171</v>
      </c>
      <c r="L37" s="4">
        <f>'Ship Component Reqs'!T33</f>
        <v>1000000</v>
      </c>
      <c r="M37" s="3"/>
      <c r="R37" s="8"/>
    </row>
    <row r="38" spans="1:18" x14ac:dyDescent="0.25">
      <c r="C38" s="10"/>
      <c r="J38" s="4">
        <f>Pricing!J50</f>
        <v>1275000</v>
      </c>
      <c r="K38" t="s">
        <v>77</v>
      </c>
      <c r="L38" s="4">
        <f>(J38*(D30*D32))*M38</f>
        <v>2840062.5</v>
      </c>
      <c r="M38" s="25">
        <v>2.2499999999999999E-2</v>
      </c>
      <c r="R38" s="8"/>
    </row>
    <row r="39" spans="1:18" x14ac:dyDescent="0.25">
      <c r="C39" s="10"/>
      <c r="J39" s="16">
        <f>((J38*D30)*D32)-J37-L41</f>
        <v>21295039.658999998</v>
      </c>
      <c r="K39" t="s">
        <v>172</v>
      </c>
      <c r="L39" s="4">
        <f>(J38*(D30*D32))*M39</f>
        <v>4342140</v>
      </c>
      <c r="M39" s="25">
        <v>3.44E-2</v>
      </c>
      <c r="R39" s="8"/>
    </row>
    <row r="40" spans="1:18" x14ac:dyDescent="0.25">
      <c r="C40" s="10"/>
      <c r="J40" s="8">
        <f>((J38*(D30*D32))-(J37+L41))/(J38*(D30*D32))</f>
        <v>0.16870698878193696</v>
      </c>
      <c r="K40" t="s">
        <v>173</v>
      </c>
      <c r="L40" s="4">
        <f>M33*0.03</f>
        <v>137223.141</v>
      </c>
      <c r="M40" s="3"/>
      <c r="R40" s="8"/>
    </row>
    <row r="41" spans="1:18" x14ac:dyDescent="0.25">
      <c r="C41" s="10"/>
      <c r="J41"/>
      <c r="L41" s="4">
        <f>SUM(L37:L40)</f>
        <v>8319425.6409999998</v>
      </c>
      <c r="M41" s="3"/>
      <c r="R41" s="8"/>
    </row>
    <row r="42" spans="1:18" x14ac:dyDescent="0.25">
      <c r="D42" s="27"/>
      <c r="E42" s="4"/>
      <c r="F42" s="49"/>
      <c r="I42" s="4"/>
      <c r="J42"/>
    </row>
    <row r="43" spans="1:18" x14ac:dyDescent="0.25">
      <c r="D43" s="27"/>
      <c r="E43" s="4"/>
      <c r="F43" s="49"/>
    </row>
    <row r="44" spans="1:18" x14ac:dyDescent="0.25">
      <c r="D44" s="27"/>
      <c r="E44" s="4"/>
      <c r="F44" s="49"/>
    </row>
    <row r="45" spans="1:18" x14ac:dyDescent="0.25">
      <c r="D45" s="27"/>
      <c r="E45" s="4"/>
      <c r="F45" s="49"/>
    </row>
    <row r="46" spans="1:18" x14ac:dyDescent="0.25">
      <c r="D46" s="27"/>
      <c r="E46" s="4"/>
      <c r="F46" s="49"/>
    </row>
    <row r="47" spans="1:18" x14ac:dyDescent="0.25">
      <c r="D47" s="27"/>
      <c r="F47" s="49"/>
    </row>
    <row r="50" spans="1:9" x14ac:dyDescent="0.25">
      <c r="B50" s="4"/>
      <c r="C50" s="49"/>
      <c r="D50" s="4"/>
      <c r="H50" s="4"/>
      <c r="I50" s="59"/>
    </row>
    <row r="51" spans="1:9" x14ac:dyDescent="0.25">
      <c r="D51" s="49"/>
      <c r="G51" s="59"/>
    </row>
    <row r="52" spans="1:9" x14ac:dyDescent="0.25">
      <c r="D52" s="49"/>
      <c r="F52" s="4"/>
    </row>
    <row r="53" spans="1:9" x14ac:dyDescent="0.25">
      <c r="C53" s="25"/>
      <c r="D53" s="4"/>
    </row>
    <row r="54" spans="1:9" x14ac:dyDescent="0.25">
      <c r="C54" s="25"/>
      <c r="D54" s="4"/>
    </row>
    <row r="55" spans="1:9" x14ac:dyDescent="0.25">
      <c r="D55" s="4"/>
    </row>
    <row r="57" spans="1:9" x14ac:dyDescent="0.25">
      <c r="F57" s="29"/>
    </row>
    <row r="59" spans="1:9" x14ac:dyDescent="0.25">
      <c r="B59" s="49"/>
      <c r="E59" s="49"/>
      <c r="F59" s="60"/>
    </row>
    <row r="60" spans="1:9" x14ac:dyDescent="0.25">
      <c r="B60" s="49"/>
      <c r="E60" s="49"/>
      <c r="F60" s="60"/>
    </row>
    <row r="61" spans="1:9" x14ac:dyDescent="0.25">
      <c r="B61" s="49"/>
      <c r="E61" s="49"/>
      <c r="F61" s="60"/>
    </row>
    <row r="62" spans="1:9" x14ac:dyDescent="0.25">
      <c r="D62" s="4"/>
      <c r="E62" s="49"/>
      <c r="F62" s="60"/>
    </row>
    <row r="63" spans="1:9" x14ac:dyDescent="0.25">
      <c r="A63" s="4"/>
      <c r="C63" s="4"/>
      <c r="D63" s="27"/>
      <c r="E63" s="4"/>
      <c r="F63" s="49"/>
    </row>
    <row r="64" spans="1:9" x14ac:dyDescent="0.25">
      <c r="C64" s="16"/>
      <c r="D64" s="27"/>
      <c r="E64" s="4"/>
      <c r="F64" s="49"/>
    </row>
    <row r="65" spans="1:8" x14ac:dyDescent="0.25">
      <c r="C65" s="4"/>
      <c r="D65" s="27"/>
      <c r="F65" s="49"/>
    </row>
    <row r="66" spans="1:8" x14ac:dyDescent="0.25">
      <c r="C66" s="4"/>
    </row>
    <row r="67" spans="1:8" x14ac:dyDescent="0.25">
      <c r="C67" s="4"/>
      <c r="D67" s="59"/>
    </row>
    <row r="68" spans="1:8" x14ac:dyDescent="0.25">
      <c r="B68" s="4"/>
      <c r="C68" s="49"/>
      <c r="D68" s="4"/>
    </row>
    <row r="71" spans="1:8" x14ac:dyDescent="0.25">
      <c r="F71" s="4"/>
    </row>
    <row r="72" spans="1:8" x14ac:dyDescent="0.25">
      <c r="B72" s="49"/>
      <c r="E72" s="49"/>
      <c r="F72" s="60"/>
      <c r="G72" s="49"/>
      <c r="H72" s="60"/>
    </row>
    <row r="73" spans="1:8" x14ac:dyDescent="0.25">
      <c r="B73" s="49"/>
      <c r="E73" s="49"/>
      <c r="F73" s="60"/>
      <c r="G73" s="49"/>
      <c r="H73" s="60"/>
    </row>
    <row r="74" spans="1:8" x14ac:dyDescent="0.25">
      <c r="B74" s="49"/>
      <c r="E74" s="49"/>
      <c r="F74" s="60"/>
      <c r="G74" s="49"/>
      <c r="H74" s="60"/>
    </row>
    <row r="75" spans="1:8" x14ac:dyDescent="0.25">
      <c r="B75" s="49"/>
      <c r="E75" s="49"/>
      <c r="F75" s="60"/>
      <c r="G75" s="49"/>
      <c r="H75" s="60"/>
    </row>
    <row r="76" spans="1:8" x14ac:dyDescent="0.25">
      <c r="F76" s="60"/>
      <c r="H76" s="60"/>
    </row>
    <row r="78" spans="1:8" x14ac:dyDescent="0.25">
      <c r="A78" s="4"/>
      <c r="C78" s="4"/>
      <c r="F78" s="4"/>
      <c r="G78" s="4"/>
    </row>
    <row r="79" spans="1:8" x14ac:dyDescent="0.25">
      <c r="C79" s="4"/>
      <c r="D79" s="4"/>
      <c r="G79" s="16"/>
      <c r="H79" s="4"/>
    </row>
    <row r="80" spans="1:8" x14ac:dyDescent="0.25">
      <c r="C80" s="4"/>
      <c r="G80" s="4"/>
    </row>
    <row r="81" spans="2:8" x14ac:dyDescent="0.25">
      <c r="C81" s="4"/>
      <c r="G81" s="4"/>
    </row>
    <row r="82" spans="2:8" x14ac:dyDescent="0.25">
      <c r="C82" s="4"/>
      <c r="D82" s="59"/>
      <c r="G82" s="4"/>
      <c r="H82" s="59"/>
    </row>
    <row r="86" spans="2:8" x14ac:dyDescent="0.25">
      <c r="B86" s="4"/>
      <c r="D86" s="4"/>
    </row>
    <row r="87" spans="2:8" x14ac:dyDescent="0.25">
      <c r="B87" s="4"/>
      <c r="D87" s="4"/>
    </row>
    <row r="88" spans="2:8" x14ac:dyDescent="0.25">
      <c r="B88" s="4"/>
      <c r="D88" s="4"/>
    </row>
    <row r="89" spans="2:8" x14ac:dyDescent="0.25">
      <c r="B89" s="4"/>
      <c r="D89" s="4"/>
    </row>
    <row r="90" spans="2:8" x14ac:dyDescent="0.25">
      <c r="D90" s="4"/>
    </row>
  </sheetData>
  <conditionalFormatting sqref="O14 O23:O28">
    <cfRule type="cellIs" dxfId="61" priority="4" operator="equal">
      <formula>"Jita Buy Price"</formula>
    </cfRule>
  </conditionalFormatting>
  <conditionalFormatting sqref="O15">
    <cfRule type="cellIs" dxfId="60" priority="2" operator="equal">
      <formula>"Jita Buy Price"</formula>
    </cfRule>
  </conditionalFormatting>
  <conditionalFormatting sqref="O16:O22">
    <cfRule type="cellIs" dxfId="59" priority="3" operator="equal">
      <formula>"Jita Buy Price"</formula>
    </cfRule>
  </conditionalFormatting>
  <conditionalFormatting sqref="O30:O41">
    <cfRule type="cellIs" dxfId="58" priority="1" operator="equal">
      <formula>"Jita Buy Price"</formula>
    </cfRule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ABCEC-491D-494C-9177-1E8A513C2EEC}">
  <sheetPr>
    <tabColor rgb="FFFF0000"/>
  </sheetPr>
  <dimension ref="A1:X209"/>
  <sheetViews>
    <sheetView topLeftCell="C1" zoomScaleNormal="100" workbookViewId="0">
      <selection activeCell="E5" sqref="E5"/>
    </sheetView>
  </sheetViews>
  <sheetFormatPr defaultRowHeight="15" x14ac:dyDescent="0.25"/>
  <cols>
    <col min="1" max="1" width="28.42578125" bestFit="1" customWidth="1"/>
    <col min="2" max="2" width="12.7109375" customWidth="1"/>
    <col min="3" max="4" width="15.28515625" customWidth="1"/>
    <col min="8" max="8" width="28.42578125" bestFit="1" customWidth="1"/>
    <col min="9" max="9" width="13.28515625" bestFit="1" customWidth="1"/>
    <col min="10" max="10" width="14.28515625" bestFit="1" customWidth="1"/>
    <col min="11" max="11" width="10.5703125" customWidth="1"/>
    <col min="12" max="12" width="28.42578125" bestFit="1" customWidth="1"/>
    <col min="13" max="13" width="15.28515625" style="3" bestFit="1" customWidth="1"/>
    <col min="14" max="14" width="15.28515625" bestFit="1" customWidth="1"/>
    <col min="15" max="15" width="14.28515625" bestFit="1" customWidth="1"/>
    <col min="16" max="17" width="15.28515625" bestFit="1" customWidth="1"/>
    <col min="18" max="18" width="16.28515625" bestFit="1" customWidth="1"/>
    <col min="19" max="19" width="16" bestFit="1" customWidth="1"/>
    <col min="20" max="20" width="14.28515625" bestFit="1" customWidth="1"/>
    <col min="22" max="22" width="15" bestFit="1" customWidth="1"/>
    <col min="23" max="23" width="14.28515625" bestFit="1" customWidth="1"/>
  </cols>
  <sheetData>
    <row r="1" spans="1:24" s="17" customFormat="1" x14ac:dyDescent="0.25">
      <c r="A1" s="48" t="s">
        <v>117</v>
      </c>
      <c r="K1" s="19"/>
      <c r="M1" s="18"/>
    </row>
    <row r="2" spans="1:24" x14ac:dyDescent="0.25">
      <c r="A2" t="s">
        <v>0</v>
      </c>
      <c r="B2" t="s">
        <v>103</v>
      </c>
      <c r="C2" s="32" t="s">
        <v>19</v>
      </c>
      <c r="D2" s="35">
        <v>4</v>
      </c>
      <c r="E2" t="s">
        <v>17</v>
      </c>
      <c r="F2" t="s">
        <v>18</v>
      </c>
      <c r="H2" t="s">
        <v>20</v>
      </c>
      <c r="I2" t="s">
        <v>26</v>
      </c>
      <c r="K2" t="s">
        <v>23</v>
      </c>
      <c r="L2" t="s">
        <v>195</v>
      </c>
      <c r="M2" s="7" t="s">
        <v>33</v>
      </c>
      <c r="O2" t="s">
        <v>31</v>
      </c>
      <c r="R2" t="s">
        <v>47</v>
      </c>
      <c r="S2" t="s">
        <v>289</v>
      </c>
      <c r="T2" s="2">
        <f>H11</f>
        <v>2430200</v>
      </c>
    </row>
    <row r="3" spans="1:24" x14ac:dyDescent="0.25">
      <c r="A3" t="s">
        <v>6</v>
      </c>
      <c r="B3">
        <v>3</v>
      </c>
      <c r="C3">
        <f>MAX(B3,(_xlfn.CEILING.MATH(ROUNDUP(B3*$D$2*((1-1%)*(1-$B$13)),1),1)))</f>
        <v>12</v>
      </c>
      <c r="D3" s="33" t="s">
        <v>97</v>
      </c>
      <c r="E3" s="5">
        <v>0</v>
      </c>
      <c r="F3">
        <f>IF(C3-E3&lt;0,0,(C3*$D$4)-E3)</f>
        <v>108</v>
      </c>
      <c r="H3" t="str">
        <f t="shared" ref="H3:H9" si="0">A3</f>
        <v>Antimatter Reactor Unit</v>
      </c>
      <c r="I3" s="22">
        <f>Pricing!B2</f>
        <v>98300</v>
      </c>
      <c r="J3" s="3">
        <f>IF(F3=0,E3*I3,IF(F3&lt;0,0,(F3*I3)))</f>
        <v>10616400</v>
      </c>
      <c r="L3" t="str">
        <f t="shared" ref="L3:L9" si="1">H3</f>
        <v>Antimatter Reactor Unit</v>
      </c>
      <c r="M3" s="3">
        <f>'Component BP'!F5</f>
        <v>9564419.0999999996</v>
      </c>
      <c r="O3" t="str">
        <f t="shared" ref="O3:O9" si="2">IF(AND(J3=0,M3=0),"Not Necessary",IF(J3&lt;M3,$H$2,$L$2))</f>
        <v>Manufacture</v>
      </c>
      <c r="Q3" s="2">
        <f t="shared" ref="Q3:Q9" si="3">IF(O3="Manufacture",M3,"")</f>
        <v>9564419.0999999996</v>
      </c>
      <c r="R3" s="2">
        <f t="shared" ref="R3:R9" si="4">SMALL(J3:M3,1)</f>
        <v>9564419.0999999996</v>
      </c>
      <c r="S3" t="s">
        <v>171</v>
      </c>
      <c r="T3" s="2">
        <v>1000000</v>
      </c>
      <c r="V3" s="16"/>
    </row>
    <row r="4" spans="1:24" x14ac:dyDescent="0.25">
      <c r="A4" t="s">
        <v>1</v>
      </c>
      <c r="B4">
        <v>30</v>
      </c>
      <c r="C4">
        <f t="shared" ref="C4:C9" si="5">MAX(B4,(_xlfn.CEILING.MATH(ROUNDUP(B4*$D$2*((1-1%)*(1-$B$13)),1),1)))</f>
        <v>116</v>
      </c>
      <c r="D4" s="34">
        <v>9</v>
      </c>
      <c r="E4" s="5">
        <v>1044</v>
      </c>
      <c r="F4">
        <f t="shared" ref="F4:F9" si="6">IF((C4*$D$4)-E4&lt;0,0,(C4*$D$4)-E4)</f>
        <v>0</v>
      </c>
      <c r="H4" t="str">
        <f t="shared" si="0"/>
        <v>Fusion Thruster</v>
      </c>
      <c r="I4" s="22">
        <f>Pricing!B3</f>
        <v>27280</v>
      </c>
      <c r="J4" s="3">
        <f t="shared" ref="J4:J9" si="7">IF(F4=0,E4*I4,IF(F4&lt;0,0,(F4*I4)))</f>
        <v>28480320</v>
      </c>
      <c r="L4" t="str">
        <f t="shared" si="1"/>
        <v>Fusion Thruster</v>
      </c>
      <c r="M4" s="3">
        <f>'Component BP'!F10</f>
        <v>0</v>
      </c>
      <c r="O4" t="str">
        <f t="shared" si="2"/>
        <v>Manufacture</v>
      </c>
      <c r="Q4" s="2">
        <f t="shared" si="3"/>
        <v>0</v>
      </c>
      <c r="R4" s="2">
        <f t="shared" si="4"/>
        <v>0</v>
      </c>
      <c r="S4" t="s">
        <v>77</v>
      </c>
      <c r="T4" s="4">
        <f>U4*(R12*(D2*D4))</f>
        <v>20334240</v>
      </c>
      <c r="U4" s="25">
        <v>3.5999999999999997E-2</v>
      </c>
    </row>
    <row r="5" spans="1:24" x14ac:dyDescent="0.25">
      <c r="A5" t="s">
        <v>7</v>
      </c>
      <c r="B5">
        <v>15</v>
      </c>
      <c r="C5">
        <f t="shared" si="5"/>
        <v>58</v>
      </c>
      <c r="E5" s="5">
        <v>0</v>
      </c>
      <c r="F5">
        <f t="shared" si="6"/>
        <v>522</v>
      </c>
      <c r="H5" t="str">
        <f t="shared" si="0"/>
        <v>Linear Shield Emitter</v>
      </c>
      <c r="I5" s="22">
        <f>Pricing!B4</f>
        <v>36280</v>
      </c>
      <c r="J5" s="3">
        <f t="shared" si="7"/>
        <v>18938160</v>
      </c>
      <c r="L5" t="str">
        <f t="shared" si="1"/>
        <v>Linear Shield Emitter</v>
      </c>
      <c r="M5" s="3">
        <f>'Component BP'!F15</f>
        <v>15799440.271999998</v>
      </c>
      <c r="O5" t="str">
        <f t="shared" si="2"/>
        <v>Manufacture</v>
      </c>
      <c r="Q5" s="2">
        <f t="shared" si="3"/>
        <v>15799440.271999998</v>
      </c>
      <c r="R5" s="2">
        <f t="shared" si="4"/>
        <v>15799440.271999998</v>
      </c>
      <c r="S5" t="s">
        <v>172</v>
      </c>
      <c r="T5" s="4">
        <f>U5*(R12*(D2*D4))</f>
        <v>0</v>
      </c>
      <c r="U5" s="25">
        <v>0</v>
      </c>
    </row>
    <row r="6" spans="1:24" x14ac:dyDescent="0.25">
      <c r="A6" t="s">
        <v>4</v>
      </c>
      <c r="B6">
        <v>165</v>
      </c>
      <c r="C6">
        <f t="shared" si="5"/>
        <v>634</v>
      </c>
      <c r="D6">
        <f>D4*D2</f>
        <v>36</v>
      </c>
      <c r="E6" s="5">
        <v>0</v>
      </c>
      <c r="F6">
        <f t="shared" si="6"/>
        <v>5706</v>
      </c>
      <c r="H6" t="str">
        <f t="shared" si="0"/>
        <v>Nanoelectrical Microprocessor</v>
      </c>
      <c r="I6" s="22">
        <f>Pricing!B5</f>
        <v>41900</v>
      </c>
      <c r="J6" s="3">
        <f t="shared" si="7"/>
        <v>239081400</v>
      </c>
      <c r="L6" t="str">
        <f t="shared" si="1"/>
        <v>Nanoelectrical Microprocessor</v>
      </c>
      <c r="M6" s="3">
        <f>'Component BP'!F21</f>
        <v>221025213.477</v>
      </c>
      <c r="O6" t="str">
        <f t="shared" si="2"/>
        <v>Manufacture</v>
      </c>
      <c r="Q6" s="2">
        <f t="shared" si="3"/>
        <v>221025213.477</v>
      </c>
      <c r="R6" s="2">
        <f t="shared" si="4"/>
        <v>221025213.477</v>
      </c>
      <c r="S6" t="s">
        <v>173</v>
      </c>
      <c r="T6" s="4">
        <f>(R12*0.03*(D2*D4))</f>
        <v>16945200</v>
      </c>
      <c r="V6" s="8"/>
    </row>
    <row r="7" spans="1:24" x14ac:dyDescent="0.25">
      <c r="A7" t="s">
        <v>3</v>
      </c>
      <c r="B7">
        <v>68</v>
      </c>
      <c r="C7">
        <f t="shared" si="5"/>
        <v>262</v>
      </c>
      <c r="E7" s="5">
        <v>0</v>
      </c>
      <c r="F7">
        <f t="shared" si="6"/>
        <v>2358</v>
      </c>
      <c r="H7" t="str">
        <f t="shared" si="0"/>
        <v>Radar Sensor Cluster</v>
      </c>
      <c r="I7" s="22">
        <f>Pricing!B6</f>
        <v>20490</v>
      </c>
      <c r="J7" s="3">
        <f t="shared" si="7"/>
        <v>48315420</v>
      </c>
      <c r="L7" t="str">
        <f t="shared" si="1"/>
        <v>Radar Sensor Cluster</v>
      </c>
      <c r="M7" s="3">
        <f>'Component BP'!F26</f>
        <v>42467217.446000002</v>
      </c>
      <c r="O7" t="str">
        <f t="shared" si="2"/>
        <v>Manufacture</v>
      </c>
      <c r="Q7" s="2">
        <f t="shared" si="3"/>
        <v>42467217.446000002</v>
      </c>
      <c r="R7" s="2">
        <f t="shared" si="4"/>
        <v>42467217.446000002</v>
      </c>
      <c r="T7" s="4">
        <f>SUM(T2:T6)</f>
        <v>40709640</v>
      </c>
    </row>
    <row r="8" spans="1:24" x14ac:dyDescent="0.25">
      <c r="A8" t="s">
        <v>2</v>
      </c>
      <c r="B8">
        <v>60</v>
      </c>
      <c r="C8">
        <f t="shared" si="5"/>
        <v>231</v>
      </c>
      <c r="E8" s="5">
        <v>0</v>
      </c>
      <c r="F8">
        <f t="shared" si="6"/>
        <v>2079</v>
      </c>
      <c r="H8" t="str">
        <f t="shared" si="0"/>
        <v>Tesseract Capacitor Unit</v>
      </c>
      <c r="I8" s="22">
        <f>Pricing!B7</f>
        <v>48870</v>
      </c>
      <c r="J8" s="3">
        <f t="shared" si="7"/>
        <v>101600730</v>
      </c>
      <c r="L8" t="str">
        <f t="shared" si="1"/>
        <v>Tesseract Capacitor Unit</v>
      </c>
      <c r="M8" s="3">
        <f>'Component BP'!F32</f>
        <v>72293356.853</v>
      </c>
      <c r="O8" t="str">
        <f t="shared" si="2"/>
        <v>Manufacture</v>
      </c>
      <c r="Q8" s="2">
        <f t="shared" si="3"/>
        <v>72293356.853</v>
      </c>
      <c r="R8" s="2">
        <f t="shared" si="4"/>
        <v>72293356.853</v>
      </c>
    </row>
    <row r="9" spans="1:24" x14ac:dyDescent="0.25">
      <c r="A9" t="s">
        <v>5</v>
      </c>
      <c r="B9">
        <v>300</v>
      </c>
      <c r="C9">
        <f t="shared" si="5"/>
        <v>1153</v>
      </c>
      <c r="E9" s="5">
        <v>0</v>
      </c>
      <c r="F9">
        <f t="shared" si="6"/>
        <v>10377</v>
      </c>
      <c r="H9" t="str">
        <f t="shared" si="0"/>
        <v>Tungsten Carbide Armor Plate</v>
      </c>
      <c r="I9" s="22">
        <f>Pricing!B8</f>
        <v>12550</v>
      </c>
      <c r="J9" s="3">
        <f t="shared" si="7"/>
        <v>130231350</v>
      </c>
      <c r="L9" t="str">
        <f t="shared" si="1"/>
        <v>Tungsten Carbide Armor Plate</v>
      </c>
      <c r="M9" s="3">
        <f>'Component BP'!F36</f>
        <v>94037595.079999998</v>
      </c>
      <c r="O9" t="str">
        <f t="shared" si="2"/>
        <v>Manufacture</v>
      </c>
      <c r="Q9" s="2">
        <f t="shared" si="3"/>
        <v>94037595.079999998</v>
      </c>
      <c r="R9" s="2">
        <f t="shared" si="4"/>
        <v>94037595.079999998</v>
      </c>
    </row>
    <row r="11" spans="1:24" x14ac:dyDescent="0.25">
      <c r="A11" t="s">
        <v>43</v>
      </c>
      <c r="B11">
        <v>15</v>
      </c>
      <c r="C11">
        <f>MAX(B11,(_xlfn.CEILING.MATH(ROUNDUP(B11*$D$2*((1-1%)*(1-$B$13)),1),1)))</f>
        <v>58</v>
      </c>
      <c r="E11" s="5">
        <v>0</v>
      </c>
      <c r="F11">
        <f>IF(C11-E11&lt;0,0,(C11*$D$4)-E11)</f>
        <v>522</v>
      </c>
      <c r="H11" s="4">
        <f>C11*Pricing!$J$9</f>
        <v>2430200</v>
      </c>
      <c r="L11" s="9" t="s">
        <v>36</v>
      </c>
      <c r="M11" s="3" t="s">
        <v>47</v>
      </c>
      <c r="R11" s="2">
        <f>SMALL(J12:M12,1)+T7</f>
        <v>495896882.22799999</v>
      </c>
    </row>
    <row r="12" spans="1:24" x14ac:dyDescent="0.25">
      <c r="A12" t="s">
        <v>44</v>
      </c>
      <c r="B12">
        <v>23</v>
      </c>
      <c r="C12">
        <f>MAX(B12,(_xlfn.CEILING.MATH(ROUNDUP(B12*$D$2*((1-1%)*(1-$B$13)),1),1)))</f>
        <v>89</v>
      </c>
      <c r="E12" s="5">
        <v>0</v>
      </c>
      <c r="F12">
        <f>IF(C12-E12&lt;0,0,C12-E12)</f>
        <v>89</v>
      </c>
      <c r="H12" s="4"/>
      <c r="J12" s="3">
        <f>SUM(J3:J9)</f>
        <v>577263780</v>
      </c>
      <c r="L12" s="3">
        <f>SUM(M3:M9)</f>
        <v>455187242.22799999</v>
      </c>
      <c r="M12" s="16">
        <f>SUM(R3:R9)</f>
        <v>455187242.22799999</v>
      </c>
      <c r="O12" s="4"/>
      <c r="P12" s="4"/>
      <c r="R12" s="22">
        <f>Pricing!J30</f>
        <v>15690000</v>
      </c>
      <c r="S12" t="str">
        <f>A2</f>
        <v>Anathema Requirements</v>
      </c>
    </row>
    <row r="13" spans="1:24" x14ac:dyDescent="0.25">
      <c r="A13" t="s">
        <v>104</v>
      </c>
      <c r="B13" s="31">
        <v>0.03</v>
      </c>
      <c r="C13" s="29"/>
      <c r="P13" s="8"/>
      <c r="R13" s="2">
        <f>(R12*(D2*D4))</f>
        <v>564840000</v>
      </c>
      <c r="S13" s="4">
        <f>R13-R11</f>
        <v>68943117.772000015</v>
      </c>
      <c r="T13" t="s">
        <v>45</v>
      </c>
    </row>
    <row r="14" spans="1:24" x14ac:dyDescent="0.25">
      <c r="A14" s="10"/>
      <c r="C14" s="10" t="s">
        <v>199</v>
      </c>
      <c r="K14" t="s">
        <v>37</v>
      </c>
      <c r="L14" s="4">
        <f>-1*(M12-J12)</f>
        <v>122076537.77200001</v>
      </c>
      <c r="S14" s="8">
        <f>((R13-R11)/R13)</f>
        <v>0.12205778233127967</v>
      </c>
      <c r="T14" t="s">
        <v>45</v>
      </c>
    </row>
    <row r="15" spans="1:24" x14ac:dyDescent="0.25">
      <c r="K15" t="s">
        <v>38</v>
      </c>
      <c r="L15" s="8">
        <f>1-(M12/J12)</f>
        <v>0.21147444548140537</v>
      </c>
      <c r="S15" s="4">
        <f>R11-T4-T5</f>
        <v>475562642.22799999</v>
      </c>
      <c r="T15" t="s">
        <v>297</v>
      </c>
      <c r="V15" s="4"/>
      <c r="W15" s="2"/>
      <c r="X15" s="8"/>
    </row>
    <row r="16" spans="1:24" s="17" customFormat="1" x14ac:dyDescent="0.25">
      <c r="K16" s="19"/>
      <c r="M16" s="18"/>
    </row>
    <row r="17" spans="1:21" x14ac:dyDescent="0.25">
      <c r="A17" t="s">
        <v>186</v>
      </c>
      <c r="B17" t="s">
        <v>103</v>
      </c>
      <c r="C17" s="32" t="s">
        <v>19</v>
      </c>
      <c r="D17" s="35">
        <v>4</v>
      </c>
      <c r="E17" t="s">
        <v>17</v>
      </c>
      <c r="F17" t="s">
        <v>18</v>
      </c>
      <c r="H17" t="s">
        <v>20</v>
      </c>
      <c r="I17" t="s">
        <v>26</v>
      </c>
      <c r="K17" t="s">
        <v>23</v>
      </c>
      <c r="L17" t="s">
        <v>32</v>
      </c>
      <c r="M17" s="7" t="s">
        <v>33</v>
      </c>
      <c r="O17" t="s">
        <v>31</v>
      </c>
      <c r="R17" t="s">
        <v>47</v>
      </c>
      <c r="S17" t="s">
        <v>289</v>
      </c>
      <c r="T17" s="2">
        <f>H26</f>
        <v>24469600</v>
      </c>
    </row>
    <row r="18" spans="1:21" x14ac:dyDescent="0.25">
      <c r="A18" t="s">
        <v>6</v>
      </c>
      <c r="B18">
        <v>6</v>
      </c>
      <c r="C18">
        <f t="shared" ref="C18:C24" si="8">MAX(B18,(_xlfn.CEILING.MATH(ROUNDUP(B18*$D$17*((1-1%)*(1-$B$28)),1),1)))</f>
        <v>24</v>
      </c>
      <c r="D18" s="33" t="s">
        <v>97</v>
      </c>
      <c r="E18" s="5"/>
      <c r="F18">
        <f t="shared" ref="F18:F24" si="9">IF(C18-E18&lt;0,0,(C18*$D$19)-E18)</f>
        <v>96</v>
      </c>
      <c r="G18">
        <f>E18+E3</f>
        <v>0</v>
      </c>
      <c r="H18" t="str">
        <f t="shared" ref="H18:H24" si="10">A18</f>
        <v>Antimatter Reactor Unit</v>
      </c>
      <c r="I18" s="22">
        <f t="shared" ref="I18:I24" si="11">I33</f>
        <v>98300</v>
      </c>
      <c r="J18" s="3">
        <f>IF(F18&lt;0,0,(F18*I18))</f>
        <v>9436800</v>
      </c>
      <c r="L18" t="str">
        <f t="shared" ref="L18:L24" si="12">H18</f>
        <v>Antimatter Reactor Unit</v>
      </c>
      <c r="M18" s="3">
        <f>'Component BP'!F42</f>
        <v>8501754.5</v>
      </c>
      <c r="O18" t="str">
        <f t="shared" ref="O18:O24" si="13">IF(AND(J18=0,M18=0),"Not Necessary",IF(J18&lt;M18,$H$2,$L$2))</f>
        <v>Manufacture</v>
      </c>
      <c r="Q18" s="2">
        <f t="shared" ref="Q18:Q24" si="14">IF(O18="Manufacture",M18,"")</f>
        <v>8501754.5</v>
      </c>
      <c r="R18" s="2">
        <f t="shared" ref="R18:R24" si="15">SMALL(J18:M18,1)</f>
        <v>8501754.5</v>
      </c>
      <c r="S18" t="s">
        <v>171</v>
      </c>
      <c r="T18" s="2">
        <v>1000000</v>
      </c>
    </row>
    <row r="19" spans="1:21" x14ac:dyDescent="0.25">
      <c r="A19" t="s">
        <v>1</v>
      </c>
      <c r="B19">
        <v>30</v>
      </c>
      <c r="C19">
        <f t="shared" si="8"/>
        <v>116</v>
      </c>
      <c r="D19" s="34">
        <v>4</v>
      </c>
      <c r="E19" s="5"/>
      <c r="F19">
        <f t="shared" si="9"/>
        <v>464</v>
      </c>
      <c r="G19">
        <f>E19+E4</f>
        <v>1044</v>
      </c>
      <c r="H19" t="str">
        <f t="shared" si="10"/>
        <v>Fusion Thruster</v>
      </c>
      <c r="I19" s="22">
        <f t="shared" si="11"/>
        <v>27280</v>
      </c>
      <c r="J19" s="3">
        <f>IF(F19&lt;0,0,(F19*I19))</f>
        <v>12657920</v>
      </c>
      <c r="L19" t="str">
        <f t="shared" si="12"/>
        <v>Fusion Thruster</v>
      </c>
      <c r="M19" s="3">
        <f>'Component BP'!F47</f>
        <v>14106081.956</v>
      </c>
      <c r="O19" t="str">
        <f t="shared" si="13"/>
        <v>Jita Buy Price</v>
      </c>
      <c r="Q19" s="2" t="str">
        <f t="shared" si="14"/>
        <v/>
      </c>
      <c r="R19" s="2">
        <f t="shared" si="15"/>
        <v>12657920</v>
      </c>
      <c r="S19" t="s">
        <v>77</v>
      </c>
      <c r="T19" s="4">
        <f>U19*(R27*(D17*D19))</f>
        <v>8375039.9999999991</v>
      </c>
      <c r="U19" s="25">
        <v>3.5999999999999997E-2</v>
      </c>
    </row>
    <row r="20" spans="1:21" x14ac:dyDescent="0.25">
      <c r="A20" t="s">
        <v>7</v>
      </c>
      <c r="B20">
        <v>15</v>
      </c>
      <c r="C20">
        <f t="shared" si="8"/>
        <v>58</v>
      </c>
      <c r="E20" s="5">
        <v>0</v>
      </c>
      <c r="F20">
        <f t="shared" si="9"/>
        <v>232</v>
      </c>
      <c r="G20">
        <f>E20+E5</f>
        <v>0</v>
      </c>
      <c r="H20" t="str">
        <f t="shared" si="10"/>
        <v>Linear Shield Emitter</v>
      </c>
      <c r="I20" s="22">
        <f t="shared" si="11"/>
        <v>36280</v>
      </c>
      <c r="J20" s="3">
        <f>IF(F20=0,E20*I20,IF(F20&lt;0,0,(F20*I20)))</f>
        <v>8416960</v>
      </c>
      <c r="L20" t="str">
        <f t="shared" si="12"/>
        <v>Linear Shield Emitter</v>
      </c>
      <c r="M20" s="3">
        <f>'Component BP'!F52</f>
        <v>7022142.3169999998</v>
      </c>
      <c r="O20" t="str">
        <f t="shared" si="13"/>
        <v>Manufacture</v>
      </c>
      <c r="Q20" s="2">
        <f t="shared" si="14"/>
        <v>7022142.3169999998</v>
      </c>
      <c r="R20" s="2">
        <f t="shared" si="15"/>
        <v>7022142.3169999998</v>
      </c>
      <c r="S20" t="s">
        <v>172</v>
      </c>
      <c r="T20" s="4">
        <f>U20*(R27*(D17*D19))</f>
        <v>0</v>
      </c>
      <c r="U20" s="25">
        <v>0</v>
      </c>
    </row>
    <row r="21" spans="1:21" x14ac:dyDescent="0.25">
      <c r="A21" t="s">
        <v>4</v>
      </c>
      <c r="B21">
        <v>180</v>
      </c>
      <c r="C21">
        <f t="shared" si="8"/>
        <v>692</v>
      </c>
      <c r="E21" s="5">
        <v>0</v>
      </c>
      <c r="F21">
        <f t="shared" si="9"/>
        <v>2768</v>
      </c>
      <c r="H21" t="str">
        <f t="shared" si="10"/>
        <v>Nanoelectrical Microprocessor</v>
      </c>
      <c r="I21" s="22">
        <f t="shared" si="11"/>
        <v>41900</v>
      </c>
      <c r="J21" s="3">
        <f>IF(F21&lt;0,0,(F21*I21))</f>
        <v>115979200</v>
      </c>
      <c r="L21" t="str">
        <f t="shared" si="12"/>
        <v>Nanoelectrical Microprocessor</v>
      </c>
      <c r="M21" s="3">
        <f>'Component BP'!F58</f>
        <v>107218963.53299999</v>
      </c>
      <c r="O21" t="str">
        <f t="shared" si="13"/>
        <v>Manufacture</v>
      </c>
      <c r="Q21" s="2">
        <f t="shared" si="14"/>
        <v>107218963.53299999</v>
      </c>
      <c r="R21" s="2">
        <f t="shared" si="15"/>
        <v>107218963.53299999</v>
      </c>
      <c r="S21" t="s">
        <v>173</v>
      </c>
      <c r="T21" s="4">
        <f>(R27*0.03*(D17*D19))</f>
        <v>6979200</v>
      </c>
    </row>
    <row r="22" spans="1:21" x14ac:dyDescent="0.25">
      <c r="A22" t="s">
        <v>3</v>
      </c>
      <c r="B22">
        <v>60</v>
      </c>
      <c r="C22">
        <f t="shared" si="8"/>
        <v>231</v>
      </c>
      <c r="E22" s="5">
        <v>0</v>
      </c>
      <c r="F22">
        <f t="shared" si="9"/>
        <v>924</v>
      </c>
      <c r="H22" t="str">
        <f t="shared" si="10"/>
        <v>Radar Sensor Cluster</v>
      </c>
      <c r="I22" s="22">
        <f t="shared" si="11"/>
        <v>20490</v>
      </c>
      <c r="J22" s="3">
        <f>IF(F22&lt;0,0,(F22*I22))</f>
        <v>18932760</v>
      </c>
      <c r="L22" t="str">
        <f t="shared" si="12"/>
        <v>Radar Sensor Cluster</v>
      </c>
      <c r="M22" s="3">
        <f>'Component BP'!F63</f>
        <v>16643297.127</v>
      </c>
      <c r="O22" t="str">
        <f t="shared" si="13"/>
        <v>Manufacture</v>
      </c>
      <c r="Q22" s="2">
        <f t="shared" si="14"/>
        <v>16643297.127</v>
      </c>
      <c r="R22" s="2">
        <f t="shared" si="15"/>
        <v>16643297.127</v>
      </c>
      <c r="T22" s="4">
        <f>SUM(T17:T21)</f>
        <v>40823840</v>
      </c>
    </row>
    <row r="23" spans="1:21" x14ac:dyDescent="0.25">
      <c r="A23" t="s">
        <v>2</v>
      </c>
      <c r="B23">
        <v>60</v>
      </c>
      <c r="C23">
        <f t="shared" si="8"/>
        <v>231</v>
      </c>
      <c r="E23" s="5">
        <v>0</v>
      </c>
      <c r="F23">
        <f t="shared" si="9"/>
        <v>924</v>
      </c>
      <c r="H23" t="str">
        <f t="shared" si="10"/>
        <v>Tesseract Capacitor Unit</v>
      </c>
      <c r="I23" s="22">
        <f t="shared" si="11"/>
        <v>48870</v>
      </c>
      <c r="J23" s="3">
        <f>IF(F23&lt;0,0,(F23*I23))</f>
        <v>45155880</v>
      </c>
      <c r="L23" t="str">
        <f t="shared" si="12"/>
        <v>Tesseract Capacitor Unit</v>
      </c>
      <c r="M23" s="3">
        <f>'Component BP'!F69</f>
        <v>32133727.717</v>
      </c>
      <c r="O23" t="str">
        <f t="shared" si="13"/>
        <v>Manufacture</v>
      </c>
      <c r="Q23" s="2">
        <f t="shared" si="14"/>
        <v>32133727.717</v>
      </c>
      <c r="R23" s="2">
        <f t="shared" si="15"/>
        <v>32133727.717</v>
      </c>
    </row>
    <row r="24" spans="1:21" x14ac:dyDescent="0.25">
      <c r="A24" t="s">
        <v>5</v>
      </c>
      <c r="B24">
        <v>300</v>
      </c>
      <c r="C24">
        <f t="shared" si="8"/>
        <v>1153</v>
      </c>
      <c r="E24" s="5">
        <v>0</v>
      </c>
      <c r="F24">
        <f t="shared" si="9"/>
        <v>4612</v>
      </c>
      <c r="H24" t="str">
        <f t="shared" si="10"/>
        <v>Tungsten Carbide Armor Plate</v>
      </c>
      <c r="I24" s="22">
        <f t="shared" si="11"/>
        <v>12550</v>
      </c>
      <c r="J24" s="3">
        <f>IF(F24&lt;0,0,(F24*I24))</f>
        <v>57880600</v>
      </c>
      <c r="L24" t="str">
        <f t="shared" si="12"/>
        <v>Tungsten Carbide Armor Plate</v>
      </c>
      <c r="M24" s="3">
        <f>'Component BP'!F73</f>
        <v>41794769.688999996</v>
      </c>
      <c r="O24" t="str">
        <f t="shared" si="13"/>
        <v>Manufacture</v>
      </c>
      <c r="Q24" s="2">
        <f t="shared" si="14"/>
        <v>41794769.688999996</v>
      </c>
      <c r="R24" s="2">
        <f t="shared" si="15"/>
        <v>41794769.688999996</v>
      </c>
    </row>
    <row r="26" spans="1:21" x14ac:dyDescent="0.25">
      <c r="A26" t="s">
        <v>43</v>
      </c>
      <c r="B26">
        <v>38</v>
      </c>
      <c r="C26">
        <f>MAX(B26,(_xlfn.CEILING.MATH(ROUNDUP(B26*$D$17*((1-1%)*(1-$B$28)),1),1)))</f>
        <v>146</v>
      </c>
      <c r="E26" s="5">
        <f>E40</f>
        <v>0</v>
      </c>
      <c r="F26">
        <f>IF(C26-E26&lt;0,0,(C26*D19)-E26)</f>
        <v>584</v>
      </c>
      <c r="H26" s="4">
        <f>F26*Pricing!$J$9</f>
        <v>24469600</v>
      </c>
      <c r="L26" s="9" t="s">
        <v>36</v>
      </c>
      <c r="M26" s="3" t="s">
        <v>47</v>
      </c>
      <c r="R26" s="2">
        <f>SMALL(J27:M27,1)+T22</f>
        <v>266796414.88300002</v>
      </c>
    </row>
    <row r="27" spans="1:21" x14ac:dyDescent="0.25">
      <c r="A27" t="s">
        <v>44</v>
      </c>
      <c r="B27">
        <v>30</v>
      </c>
      <c r="C27">
        <f>MAX(B27,(_xlfn.CEILING.MATH(ROUNDUP(B27*$D$17*((1-1%)*(1-2%)*(1-2%)*(1-$B$28)),1),1)))</f>
        <v>111</v>
      </c>
      <c r="E27" s="5">
        <v>4993</v>
      </c>
      <c r="F27">
        <f>IF(C27-E27&lt;0,0,(C27*D20)-E27)</f>
        <v>0</v>
      </c>
      <c r="J27" s="3">
        <f>SUM(J18:J24)</f>
        <v>268460120</v>
      </c>
      <c r="L27" s="3">
        <f>SUM(M18:M24)</f>
        <v>227420736.83899999</v>
      </c>
      <c r="M27" s="16">
        <f>SUM(R18:R24)</f>
        <v>225972574.88300002</v>
      </c>
      <c r="O27" s="4"/>
      <c r="P27" s="4"/>
      <c r="R27" s="22">
        <f>Pricing!J32</f>
        <v>14540000</v>
      </c>
      <c r="S27" t="str">
        <f>A17</f>
        <v>Purifier Requirements</v>
      </c>
    </row>
    <row r="28" spans="1:21" x14ac:dyDescent="0.25">
      <c r="A28" t="s">
        <v>104</v>
      </c>
      <c r="B28" s="31">
        <v>0.03</v>
      </c>
      <c r="C28" s="29"/>
      <c r="P28" s="8"/>
      <c r="R28" s="2">
        <f>(R27*(D17*D19))</f>
        <v>232640000</v>
      </c>
      <c r="S28" s="4">
        <f>R28-R26</f>
        <v>-34156414.883000016</v>
      </c>
      <c r="T28" t="s">
        <v>45</v>
      </c>
    </row>
    <row r="29" spans="1:21" x14ac:dyDescent="0.25">
      <c r="C29" s="10" t="s">
        <v>199</v>
      </c>
      <c r="K29" t="s">
        <v>37</v>
      </c>
      <c r="L29" s="4">
        <f>-1*(M27-J27)</f>
        <v>42487545.116999984</v>
      </c>
      <c r="S29" s="8">
        <f>((R28-R26)/R28)</f>
        <v>-0.14682090303903034</v>
      </c>
      <c r="T29" t="s">
        <v>45</v>
      </c>
    </row>
    <row r="30" spans="1:21" x14ac:dyDescent="0.25">
      <c r="L30" s="8"/>
      <c r="S30" s="4">
        <f>R26-T19-T20</f>
        <v>258421374.88300002</v>
      </c>
      <c r="T30" t="s">
        <v>297</v>
      </c>
    </row>
    <row r="31" spans="1:21" s="17" customFormat="1" x14ac:dyDescent="0.25">
      <c r="K31" s="19"/>
      <c r="M31" s="18"/>
    </row>
    <row r="32" spans="1:21" x14ac:dyDescent="0.25">
      <c r="A32" t="s">
        <v>41</v>
      </c>
      <c r="B32" t="s">
        <v>103</v>
      </c>
      <c r="C32" s="32" t="s">
        <v>19</v>
      </c>
      <c r="D32" s="35">
        <v>1</v>
      </c>
      <c r="E32" t="s">
        <v>17</v>
      </c>
      <c r="F32" t="s">
        <v>18</v>
      </c>
      <c r="H32" t="s">
        <v>20</v>
      </c>
      <c r="I32" t="s">
        <v>26</v>
      </c>
      <c r="K32" t="s">
        <v>23</v>
      </c>
      <c r="L32" t="s">
        <v>32</v>
      </c>
      <c r="M32" s="7" t="s">
        <v>33</v>
      </c>
      <c r="O32" t="s">
        <v>31</v>
      </c>
      <c r="R32" t="s">
        <v>47</v>
      </c>
      <c r="S32" t="s">
        <v>289</v>
      </c>
      <c r="T32" s="2">
        <f>H41</f>
        <v>2388300</v>
      </c>
    </row>
    <row r="33" spans="1:21" x14ac:dyDescent="0.25">
      <c r="A33" t="s">
        <v>6</v>
      </c>
      <c r="B33">
        <v>15</v>
      </c>
      <c r="C33">
        <f t="shared" ref="C33:C39" si="16">MAX(B33,(_xlfn.CEILING.MATH(ROUNDUP(B33*$D$32*((1-1%)*(1-$B$43)),1),1)))</f>
        <v>15</v>
      </c>
      <c r="D33" s="33" t="s">
        <v>97</v>
      </c>
      <c r="E33" s="5">
        <v>0</v>
      </c>
      <c r="F33">
        <f t="shared" ref="F33:F39" si="17">IF(C33-E33&lt;0,0,(C33*$D$34)-E33)</f>
        <v>15</v>
      </c>
      <c r="H33" t="str">
        <f t="shared" ref="H33:H39" si="18">A33</f>
        <v>Antimatter Reactor Unit</v>
      </c>
      <c r="I33" s="22">
        <f t="shared" ref="I33:I39" si="19">I3</f>
        <v>98300</v>
      </c>
      <c r="J33" s="3">
        <f t="shared" ref="J33:J39" si="20">IF(F33&lt;0,0,(F33*I33))</f>
        <v>1474500</v>
      </c>
      <c r="L33" t="str">
        <f t="shared" ref="L33:L39" si="21">H33</f>
        <v>Antimatter Reactor Unit</v>
      </c>
      <c r="M33" s="3">
        <f>'Component BP'!F117</f>
        <v>1365866.2</v>
      </c>
      <c r="O33" t="str">
        <f t="shared" ref="O33:O39" si="22">IF(AND(J33=0,M33=0),"Not Necessary",IF(J33&lt;M33,$H$2,$L$2))</f>
        <v>Manufacture</v>
      </c>
      <c r="Q33" s="2">
        <f t="shared" ref="Q33:Q39" si="23">IF(O33="Manufacture",M33,"")</f>
        <v>1365866.2</v>
      </c>
      <c r="R33" s="2">
        <f t="shared" ref="R33:R39" si="24">SMALL(J33:M33,1)</f>
        <v>1365866.2</v>
      </c>
      <c r="S33" t="s">
        <v>171</v>
      </c>
      <c r="T33" s="2">
        <v>1000000</v>
      </c>
    </row>
    <row r="34" spans="1:21" x14ac:dyDescent="0.25">
      <c r="A34" t="s">
        <v>1</v>
      </c>
      <c r="B34">
        <v>59</v>
      </c>
      <c r="C34">
        <f t="shared" si="16"/>
        <v>59</v>
      </c>
      <c r="D34" s="34">
        <v>1</v>
      </c>
      <c r="E34" s="5">
        <v>0</v>
      </c>
      <c r="F34">
        <f t="shared" si="17"/>
        <v>59</v>
      </c>
      <c r="H34" t="str">
        <f t="shared" si="18"/>
        <v>Fusion Thruster</v>
      </c>
      <c r="I34" s="22">
        <f t="shared" si="19"/>
        <v>27280</v>
      </c>
      <c r="J34" s="3">
        <f t="shared" si="20"/>
        <v>1609520</v>
      </c>
      <c r="L34" t="str">
        <f t="shared" si="21"/>
        <v>Fusion Thruster</v>
      </c>
      <c r="M34" s="3">
        <f>'Component BP'!F122</f>
        <v>1794263.09</v>
      </c>
      <c r="O34" t="str">
        <f t="shared" si="22"/>
        <v>Jita Buy Price</v>
      </c>
      <c r="Q34" s="2" t="str">
        <f t="shared" si="23"/>
        <v/>
      </c>
      <c r="R34" s="2">
        <f t="shared" si="24"/>
        <v>1609520</v>
      </c>
      <c r="S34" t="s">
        <v>77</v>
      </c>
      <c r="T34" s="4">
        <f>U34*(R42*(D32*D34))</f>
        <v>1080360</v>
      </c>
      <c r="U34" s="25">
        <v>3.5999999999999997E-2</v>
      </c>
    </row>
    <row r="35" spans="1:21" x14ac:dyDescent="0.25">
      <c r="A35" t="s">
        <v>7</v>
      </c>
      <c r="B35">
        <v>37</v>
      </c>
      <c r="C35">
        <f t="shared" si="16"/>
        <v>37</v>
      </c>
      <c r="E35" s="5">
        <v>0</v>
      </c>
      <c r="F35">
        <f t="shared" si="17"/>
        <v>37</v>
      </c>
      <c r="H35" t="str">
        <f t="shared" si="18"/>
        <v>Linear Shield Emitter</v>
      </c>
      <c r="I35" s="22">
        <f t="shared" si="19"/>
        <v>36280</v>
      </c>
      <c r="J35" s="3">
        <f t="shared" si="20"/>
        <v>1342360</v>
      </c>
      <c r="L35" t="str">
        <f t="shared" si="21"/>
        <v>Linear Shield Emitter</v>
      </c>
      <c r="M35" s="3">
        <f>'Component BP'!F127</f>
        <v>1119973.899</v>
      </c>
      <c r="O35" t="str">
        <f t="shared" si="22"/>
        <v>Manufacture</v>
      </c>
      <c r="Q35" s="2">
        <f t="shared" si="23"/>
        <v>1119973.899</v>
      </c>
      <c r="R35" s="2">
        <f t="shared" si="24"/>
        <v>1119973.899</v>
      </c>
      <c r="S35" t="s">
        <v>172</v>
      </c>
      <c r="T35" s="4">
        <f>U35*(R42*(D32*D34))</f>
        <v>0</v>
      </c>
      <c r="U35" s="25">
        <v>0</v>
      </c>
    </row>
    <row r="36" spans="1:21" x14ac:dyDescent="0.25">
      <c r="A36" t="s">
        <v>4</v>
      </c>
      <c r="B36">
        <v>350</v>
      </c>
      <c r="C36">
        <f t="shared" si="16"/>
        <v>350</v>
      </c>
      <c r="E36" s="5">
        <v>0</v>
      </c>
      <c r="F36">
        <f t="shared" si="17"/>
        <v>350</v>
      </c>
      <c r="H36" t="str">
        <f t="shared" si="18"/>
        <v>Nanoelectrical Microprocessor</v>
      </c>
      <c r="I36" s="22">
        <f t="shared" si="19"/>
        <v>41900</v>
      </c>
      <c r="J36" s="3">
        <f t="shared" si="20"/>
        <v>14665000</v>
      </c>
      <c r="L36" t="str">
        <f t="shared" si="21"/>
        <v>Nanoelectrical Microprocessor</v>
      </c>
      <c r="M36" s="3">
        <f>'Component BP'!F133</f>
        <v>13570308.092</v>
      </c>
      <c r="O36" t="str">
        <f t="shared" si="22"/>
        <v>Manufacture</v>
      </c>
      <c r="Q36" s="2">
        <f t="shared" si="23"/>
        <v>13570308.092</v>
      </c>
      <c r="R36" s="2">
        <f t="shared" si="24"/>
        <v>13570308.092</v>
      </c>
      <c r="S36" t="s">
        <v>173</v>
      </c>
      <c r="T36" s="4">
        <f>(R42*0.03*(D32*D34))</f>
        <v>900300</v>
      </c>
    </row>
    <row r="37" spans="1:21" x14ac:dyDescent="0.25">
      <c r="A37" t="s">
        <v>3</v>
      </c>
      <c r="B37">
        <v>73</v>
      </c>
      <c r="C37">
        <f t="shared" si="16"/>
        <v>73</v>
      </c>
      <c r="E37" s="5">
        <v>0</v>
      </c>
      <c r="F37">
        <f>IF(C37-E37&lt;0,0,(C37*$D$34)-E37)</f>
        <v>73</v>
      </c>
      <c r="H37" t="str">
        <f t="shared" si="18"/>
        <v>Radar Sensor Cluster</v>
      </c>
      <c r="I37" s="22">
        <f t="shared" si="19"/>
        <v>20490</v>
      </c>
      <c r="J37" s="3">
        <f t="shared" si="20"/>
        <v>1495770</v>
      </c>
      <c r="L37" t="str">
        <f t="shared" si="21"/>
        <v>Radar Sensor Cluster</v>
      </c>
      <c r="M37" s="3">
        <f>'Component BP'!F138</f>
        <v>1318078.331</v>
      </c>
      <c r="O37" t="str">
        <f t="shared" si="22"/>
        <v>Manufacture</v>
      </c>
      <c r="Q37" s="2">
        <f t="shared" si="23"/>
        <v>1318078.331</v>
      </c>
      <c r="R37" s="2">
        <f t="shared" si="24"/>
        <v>1318078.331</v>
      </c>
      <c r="T37" s="4">
        <f>SUM(T32:T36)</f>
        <v>5368960</v>
      </c>
    </row>
    <row r="38" spans="1:21" x14ac:dyDescent="0.25">
      <c r="A38" t="s">
        <v>2</v>
      </c>
      <c r="B38">
        <v>146</v>
      </c>
      <c r="C38">
        <f t="shared" si="16"/>
        <v>146</v>
      </c>
      <c r="E38" s="5">
        <v>0</v>
      </c>
      <c r="F38">
        <f t="shared" si="17"/>
        <v>146</v>
      </c>
      <c r="H38" t="str">
        <f t="shared" si="18"/>
        <v>Tesseract Capacitor Unit</v>
      </c>
      <c r="I38" s="22">
        <f t="shared" si="19"/>
        <v>48870</v>
      </c>
      <c r="J38" s="3">
        <f t="shared" si="20"/>
        <v>7135020</v>
      </c>
      <c r="L38" t="str">
        <f t="shared" si="21"/>
        <v>Tesseract Capacitor Unit</v>
      </c>
      <c r="M38" s="3">
        <f>'Component BP'!F144</f>
        <v>5077512.6170000006</v>
      </c>
      <c r="O38" t="str">
        <f t="shared" si="22"/>
        <v>Manufacture</v>
      </c>
      <c r="Q38" s="2">
        <f t="shared" si="23"/>
        <v>5077512.6170000006</v>
      </c>
      <c r="R38" s="2">
        <f t="shared" si="24"/>
        <v>5077512.6170000006</v>
      </c>
    </row>
    <row r="39" spans="1:21" x14ac:dyDescent="0.25">
      <c r="A39" t="s">
        <v>5</v>
      </c>
      <c r="B39">
        <v>1456</v>
      </c>
      <c r="C39">
        <f t="shared" si="16"/>
        <v>1456</v>
      </c>
      <c r="E39" s="5">
        <v>0</v>
      </c>
      <c r="F39">
        <f t="shared" si="17"/>
        <v>1456</v>
      </c>
      <c r="H39" t="str">
        <f t="shared" si="18"/>
        <v>Tungsten Carbide Armor Plate</v>
      </c>
      <c r="I39" s="22">
        <f t="shared" si="19"/>
        <v>12550</v>
      </c>
      <c r="J39" s="3">
        <f t="shared" si="20"/>
        <v>18272800</v>
      </c>
      <c r="L39" t="str">
        <f t="shared" si="21"/>
        <v>Tungsten Carbide Armor Plate</v>
      </c>
      <c r="M39" s="3">
        <f>'Component BP'!F148</f>
        <v>13194567.800000001</v>
      </c>
      <c r="O39" t="str">
        <f t="shared" si="22"/>
        <v>Manufacture</v>
      </c>
      <c r="Q39" s="2">
        <f t="shared" si="23"/>
        <v>13194567.800000001</v>
      </c>
      <c r="R39" s="2">
        <f t="shared" si="24"/>
        <v>13194567.800000001</v>
      </c>
    </row>
    <row r="41" spans="1:21" x14ac:dyDescent="0.25">
      <c r="A41" t="s">
        <v>43</v>
      </c>
      <c r="B41">
        <v>15</v>
      </c>
      <c r="C41">
        <f>MAX(B41,(_xlfn.CEILING.MATH(ROUNDUP(B41*$D$2*((1-1%)*(1-2%)*(1-$B$13)),1),1)))</f>
        <v>57</v>
      </c>
      <c r="E41" s="5">
        <f>E11</f>
        <v>0</v>
      </c>
      <c r="F41">
        <f>IF(C41-E41&lt;0,0,(C41*D34)-E41)</f>
        <v>57</v>
      </c>
      <c r="H41" s="4">
        <f>F41*Pricing!$J$9</f>
        <v>2388300</v>
      </c>
      <c r="L41" s="9" t="s">
        <v>36</v>
      </c>
      <c r="M41" s="3" t="s">
        <v>47</v>
      </c>
      <c r="R41" s="2">
        <f>SMALL(J42:M42,1)+T37</f>
        <v>42624786.938999996</v>
      </c>
    </row>
    <row r="42" spans="1:21" x14ac:dyDescent="0.25">
      <c r="A42" t="s">
        <v>44</v>
      </c>
      <c r="C42">
        <f>MAX(B42,(_xlfn.CEILING.MATH(ROUNDUP(B42*$D$2*((1-1%)*(1-2%)*(1-$B$13)),1),1)))</f>
        <v>0</v>
      </c>
      <c r="E42" s="5">
        <f>E12</f>
        <v>0</v>
      </c>
      <c r="F42">
        <f>IF(C42-E42&lt;0,0,C42-E42)</f>
        <v>0</v>
      </c>
      <c r="J42" s="3">
        <f>SUM(J33:J39)</f>
        <v>45994970</v>
      </c>
      <c r="L42" s="3">
        <f>SUM(M33:M39)</f>
        <v>37440570.028999999</v>
      </c>
      <c r="M42" s="16">
        <f>SUM(R33:R39)</f>
        <v>37255826.938999996</v>
      </c>
      <c r="O42" s="4"/>
      <c r="P42" s="4"/>
      <c r="R42" s="22">
        <f>Pricing!J31</f>
        <v>30010000</v>
      </c>
      <c r="S42" t="str">
        <f>A32</f>
        <v>Heretic Requirements</v>
      </c>
    </row>
    <row r="43" spans="1:21" x14ac:dyDescent="0.25">
      <c r="A43" t="s">
        <v>104</v>
      </c>
      <c r="B43" s="31">
        <v>0.02</v>
      </c>
      <c r="C43" s="29"/>
      <c r="P43" s="8"/>
      <c r="R43" s="2">
        <f>(R42*(D32*D34))</f>
        <v>30010000</v>
      </c>
      <c r="S43" s="4">
        <f>R43-R41</f>
        <v>-12614786.938999996</v>
      </c>
      <c r="T43" t="s">
        <v>45</v>
      </c>
    </row>
    <row r="44" spans="1:21" x14ac:dyDescent="0.25">
      <c r="C44" s="10" t="s">
        <v>199</v>
      </c>
      <c r="K44" t="s">
        <v>37</v>
      </c>
      <c r="L44" s="4">
        <f>-1*(M42-J42)</f>
        <v>8739143.0610000044</v>
      </c>
      <c r="S44" s="8">
        <f>((R43-R41)/R43)</f>
        <v>-0.42035278037320878</v>
      </c>
      <c r="T44" t="s">
        <v>45</v>
      </c>
    </row>
    <row r="45" spans="1:21" s="17" customFormat="1" x14ac:dyDescent="0.25">
      <c r="C45" s="53"/>
      <c r="L45" s="54"/>
      <c r="M45" s="18"/>
      <c r="R45" s="19"/>
      <c r="S45" s="17">
        <f>R41-T34-T35</f>
        <v>41544426.938999996</v>
      </c>
      <c r="T45" s="17" t="s">
        <v>297</v>
      </c>
    </row>
    <row r="46" spans="1:21" x14ac:dyDescent="0.25">
      <c r="A46" t="s">
        <v>335</v>
      </c>
      <c r="B46" t="s">
        <v>103</v>
      </c>
      <c r="C46" s="32" t="s">
        <v>19</v>
      </c>
      <c r="D46" s="35">
        <v>4</v>
      </c>
      <c r="E46" t="s">
        <v>17</v>
      </c>
      <c r="F46" t="s">
        <v>18</v>
      </c>
      <c r="H46" t="s">
        <v>20</v>
      </c>
      <c r="I46" t="s">
        <v>26</v>
      </c>
      <c r="K46" t="s">
        <v>23</v>
      </c>
      <c r="L46" t="s">
        <v>32</v>
      </c>
      <c r="M46" s="7" t="s">
        <v>33</v>
      </c>
      <c r="O46" t="s">
        <v>31</v>
      </c>
      <c r="R46" t="s">
        <v>47</v>
      </c>
      <c r="S46" t="s">
        <v>289</v>
      </c>
      <c r="T46" s="2">
        <f>H55</f>
        <v>7248700</v>
      </c>
    </row>
    <row r="47" spans="1:21" x14ac:dyDescent="0.25">
      <c r="A47" t="s">
        <v>6</v>
      </c>
      <c r="B47">
        <v>8</v>
      </c>
      <c r="C47">
        <f>MAX(B47,(_xlfn.CEILING.MATH(ROUNDUP(B47*$D$46*((1-1%)*(1-$B$57)),1),1)))</f>
        <v>31</v>
      </c>
      <c r="D47" s="33" t="s">
        <v>97</v>
      </c>
      <c r="E47" s="5"/>
      <c r="F47">
        <f>IF(C47-E47&lt;0,0,(C47*$D$48)-E47)</f>
        <v>31</v>
      </c>
      <c r="H47" t="str">
        <f t="shared" ref="H47:H53" si="25">A47</f>
        <v>Antimatter Reactor Unit</v>
      </c>
      <c r="I47" s="22">
        <f>I18</f>
        <v>98300</v>
      </c>
      <c r="J47" s="3">
        <f t="shared" ref="J47:J53" si="26">IF(F47&lt;0,0,(F47*I47))</f>
        <v>3047300</v>
      </c>
      <c r="L47" t="str">
        <f t="shared" ref="L47:L53" si="27">H47</f>
        <v>Antimatter Reactor Unit</v>
      </c>
      <c r="M47" s="3">
        <f>'Component BP'!F154</f>
        <v>2782849.6</v>
      </c>
      <c r="O47" t="str">
        <f t="shared" ref="O47:O53" si="28">IF(AND(J47=0,M47=0),"Not Necessary",IF(J47&lt;M47,$H$2,$L$2))</f>
        <v>Manufacture</v>
      </c>
      <c r="Q47" s="2">
        <f t="shared" ref="Q47:Q53" si="29">IF(O47="Manufacture",M47,"")</f>
        <v>2782849.6</v>
      </c>
      <c r="R47" s="2">
        <f t="shared" ref="R47:R53" si="30">SMALL(J47:M47,1)</f>
        <v>2782849.6</v>
      </c>
      <c r="S47" t="s">
        <v>171</v>
      </c>
      <c r="T47" s="2">
        <v>1000000</v>
      </c>
    </row>
    <row r="48" spans="1:21" x14ac:dyDescent="0.25">
      <c r="A48" t="s">
        <v>1</v>
      </c>
      <c r="B48">
        <v>23</v>
      </c>
      <c r="C48">
        <f t="shared" ref="C48:C53" si="31">MAX(B48,(_xlfn.CEILING.MATH(ROUNDUP(B48*$D$46*((1-1%)*(1-$B$57)),1),1)))</f>
        <v>89</v>
      </c>
      <c r="D48" s="34">
        <v>1</v>
      </c>
      <c r="E48" s="5"/>
      <c r="F48">
        <f>IF(C48-E48&lt;0,0,(C48*$D$48)-E48)</f>
        <v>89</v>
      </c>
      <c r="H48" t="str">
        <f t="shared" si="25"/>
        <v>Fusion Thruster</v>
      </c>
      <c r="I48" s="22">
        <f t="shared" ref="I48:I53" si="32">I34</f>
        <v>27280</v>
      </c>
      <c r="J48" s="3">
        <f t="shared" si="26"/>
        <v>2427920</v>
      </c>
      <c r="L48" t="str">
        <f t="shared" si="27"/>
        <v>Fusion Thruster</v>
      </c>
      <c r="M48" s="3">
        <f>'Component BP'!F159</f>
        <v>2706933.6269999999</v>
      </c>
      <c r="O48" t="str">
        <f t="shared" si="28"/>
        <v>Jita Buy Price</v>
      </c>
      <c r="Q48" s="2" t="str">
        <f t="shared" si="29"/>
        <v/>
      </c>
      <c r="R48" s="2">
        <f t="shared" si="30"/>
        <v>2427920</v>
      </c>
      <c r="S48" t="s">
        <v>77</v>
      </c>
      <c r="T48" s="4">
        <f>U48*(R56*(D46*D48))</f>
        <v>2913120</v>
      </c>
      <c r="U48" s="25">
        <v>3.5999999999999997E-2</v>
      </c>
    </row>
    <row r="49" spans="1:21" x14ac:dyDescent="0.25">
      <c r="A49" t="s">
        <v>7</v>
      </c>
      <c r="B49">
        <v>30</v>
      </c>
      <c r="C49">
        <f t="shared" si="31"/>
        <v>116</v>
      </c>
      <c r="D49">
        <f>D46*D48</f>
        <v>4</v>
      </c>
      <c r="E49" s="5"/>
      <c r="F49">
        <f t="shared" ref="F49:F53" si="33">IF(C49-E49&lt;0,0,(C49*$D$48)-E49)</f>
        <v>116</v>
      </c>
      <c r="H49" t="str">
        <f t="shared" si="25"/>
        <v>Linear Shield Emitter</v>
      </c>
      <c r="I49" s="22">
        <f t="shared" si="32"/>
        <v>36280</v>
      </c>
      <c r="J49" s="3">
        <f t="shared" si="26"/>
        <v>4208480</v>
      </c>
      <c r="L49" t="str">
        <f t="shared" si="27"/>
        <v>Linear Shield Emitter</v>
      </c>
      <c r="M49" s="3">
        <f>'Component BP'!F164</f>
        <v>3511146.2969999998</v>
      </c>
      <c r="O49" t="str">
        <f t="shared" si="28"/>
        <v>Manufacture</v>
      </c>
      <c r="Q49" s="2">
        <f t="shared" si="29"/>
        <v>3511146.2969999998</v>
      </c>
      <c r="R49" s="2">
        <f t="shared" si="30"/>
        <v>3511146.2969999998</v>
      </c>
      <c r="S49" t="s">
        <v>172</v>
      </c>
      <c r="T49" s="4">
        <f>U49*(R56*(D46*D48))</f>
        <v>0</v>
      </c>
      <c r="U49" s="25">
        <v>0</v>
      </c>
    </row>
    <row r="50" spans="1:21" x14ac:dyDescent="0.25">
      <c r="A50" t="s">
        <v>4</v>
      </c>
      <c r="B50">
        <v>135</v>
      </c>
      <c r="C50">
        <f t="shared" si="31"/>
        <v>519</v>
      </c>
      <c r="E50" s="5"/>
      <c r="F50">
        <f t="shared" si="33"/>
        <v>519</v>
      </c>
      <c r="H50" t="str">
        <f t="shared" si="25"/>
        <v>Nanoelectrical Microprocessor</v>
      </c>
      <c r="I50" s="22">
        <f t="shared" si="32"/>
        <v>41900</v>
      </c>
      <c r="J50" s="3">
        <f t="shared" si="26"/>
        <v>21746100</v>
      </c>
      <c r="L50" t="str">
        <f t="shared" si="27"/>
        <v>Nanoelectrical Microprocessor</v>
      </c>
      <c r="M50" s="3">
        <f>'Component BP'!F170</f>
        <v>20115213.504999999</v>
      </c>
      <c r="O50" t="str">
        <f t="shared" si="28"/>
        <v>Manufacture</v>
      </c>
      <c r="Q50" s="2">
        <f t="shared" si="29"/>
        <v>20115213.504999999</v>
      </c>
      <c r="R50" s="2">
        <f t="shared" si="30"/>
        <v>20115213.504999999</v>
      </c>
      <c r="S50" t="s">
        <v>173</v>
      </c>
      <c r="T50" s="4">
        <f>(R56*0.03*(D46*D48))</f>
        <v>2427600</v>
      </c>
    </row>
    <row r="51" spans="1:21" x14ac:dyDescent="0.25">
      <c r="A51" t="s">
        <v>3</v>
      </c>
      <c r="B51">
        <v>30</v>
      </c>
      <c r="C51">
        <f t="shared" si="31"/>
        <v>116</v>
      </c>
      <c r="E51" s="5"/>
      <c r="F51">
        <f t="shared" si="33"/>
        <v>116</v>
      </c>
      <c r="H51" t="str">
        <f t="shared" si="25"/>
        <v>Radar Sensor Cluster</v>
      </c>
      <c r="I51" s="22">
        <f t="shared" si="32"/>
        <v>20490</v>
      </c>
      <c r="J51" s="3">
        <f t="shared" si="26"/>
        <v>2376840</v>
      </c>
      <c r="L51" t="str">
        <f t="shared" si="27"/>
        <v>Radar Sensor Cluster</v>
      </c>
      <c r="M51" s="3">
        <f>'Component BP'!F175</f>
        <v>2091890.9630000002</v>
      </c>
      <c r="O51" t="str">
        <f t="shared" si="28"/>
        <v>Manufacture</v>
      </c>
      <c r="Q51" s="2">
        <f t="shared" si="29"/>
        <v>2091890.9630000002</v>
      </c>
      <c r="R51" s="2">
        <f t="shared" si="30"/>
        <v>2091890.9630000002</v>
      </c>
      <c r="T51" s="4">
        <f>SUM(T46:T50)</f>
        <v>13589420</v>
      </c>
    </row>
    <row r="52" spans="1:21" x14ac:dyDescent="0.25">
      <c r="A52" t="s">
        <v>2</v>
      </c>
      <c r="B52">
        <v>90</v>
      </c>
      <c r="C52">
        <f t="shared" si="31"/>
        <v>346</v>
      </c>
      <c r="E52" s="5"/>
      <c r="F52">
        <f t="shared" si="33"/>
        <v>346</v>
      </c>
      <c r="H52" t="str">
        <f t="shared" si="25"/>
        <v>Tesseract Capacitor Unit</v>
      </c>
      <c r="I52" s="22">
        <f t="shared" si="32"/>
        <v>48870</v>
      </c>
      <c r="J52" s="3">
        <f t="shared" si="26"/>
        <v>16909020</v>
      </c>
      <c r="L52" t="str">
        <f t="shared" si="27"/>
        <v>Tesseract Capacitor Unit</v>
      </c>
      <c r="M52" s="3">
        <f>'Component BP'!F181</f>
        <v>12040668.893999999</v>
      </c>
      <c r="O52" t="str">
        <f t="shared" si="28"/>
        <v>Manufacture</v>
      </c>
      <c r="Q52" s="2">
        <f t="shared" si="29"/>
        <v>12040668.893999999</v>
      </c>
      <c r="R52" s="2">
        <f t="shared" si="30"/>
        <v>12040668.893999999</v>
      </c>
    </row>
    <row r="53" spans="1:21" x14ac:dyDescent="0.25">
      <c r="A53" t="s">
        <v>5</v>
      </c>
      <c r="B53">
        <v>900</v>
      </c>
      <c r="C53">
        <f t="shared" si="31"/>
        <v>3458</v>
      </c>
      <c r="E53" s="5"/>
      <c r="F53">
        <f t="shared" si="33"/>
        <v>3458</v>
      </c>
      <c r="H53" t="str">
        <f t="shared" si="25"/>
        <v>Tungsten Carbide Armor Plate</v>
      </c>
      <c r="I53" s="22">
        <f t="shared" si="32"/>
        <v>12550</v>
      </c>
      <c r="J53" s="3">
        <f t="shared" si="26"/>
        <v>43397900</v>
      </c>
      <c r="L53" t="str">
        <f t="shared" si="27"/>
        <v>Tungsten Carbide Armor Plate</v>
      </c>
      <c r="M53" s="3">
        <f>'Component BP'!F185</f>
        <v>31337237.369000003</v>
      </c>
      <c r="O53" t="str">
        <f t="shared" si="28"/>
        <v>Manufacture</v>
      </c>
      <c r="Q53" s="2">
        <f t="shared" si="29"/>
        <v>31337237.369000003</v>
      </c>
      <c r="R53" s="2">
        <f t="shared" si="30"/>
        <v>31337237.369000003</v>
      </c>
    </row>
    <row r="55" spans="1:21" x14ac:dyDescent="0.25">
      <c r="A55" t="s">
        <v>43</v>
      </c>
      <c r="B55">
        <v>45</v>
      </c>
      <c r="C55">
        <f>MAX(B55,(_xlfn.CEILING.MATH(ROUNDUP(B55*$D$17*((1-1%)*(1-$B$28)),1),1)))</f>
        <v>173</v>
      </c>
      <c r="E55" s="5">
        <f>'BP Tech 2 Manufacture Nonship'!E38</f>
        <v>0</v>
      </c>
      <c r="F55">
        <f>IF(C55-E55&lt;0,0,(C55*D48)-E55)</f>
        <v>173</v>
      </c>
      <c r="H55" s="4">
        <f>F55*Pricing!$J$9</f>
        <v>7248700</v>
      </c>
      <c r="L55" s="9" t="s">
        <v>36</v>
      </c>
      <c r="M55" s="3" t="s">
        <v>47</v>
      </c>
      <c r="R55" s="2">
        <f>SMALL(J56:M56,1)+T51</f>
        <v>87896346.627999991</v>
      </c>
    </row>
    <row r="56" spans="1:21" x14ac:dyDescent="0.25">
      <c r="A56" t="s">
        <v>44</v>
      </c>
      <c r="C56">
        <f>MAX(B56,(_xlfn.CEILING.MATH(ROUNDUP(B56*$D$17*((1-1%)*(1-2%)*(1-2%)*(1-$B$28)),1),1)))</f>
        <v>0</v>
      </c>
      <c r="E56" s="5">
        <v>4993</v>
      </c>
      <c r="F56">
        <f>IF(C56-E56&lt;0,0,(C56*D49)-E56)</f>
        <v>0</v>
      </c>
      <c r="J56" s="3">
        <f>SUM(J47:J53)</f>
        <v>94113560</v>
      </c>
      <c r="L56" s="3">
        <f>SUM(M47:M53)</f>
        <v>74585940.254999995</v>
      </c>
      <c r="M56" s="16">
        <f>SUM(R47:R53)</f>
        <v>74306926.627999991</v>
      </c>
      <c r="O56" s="4"/>
      <c r="P56" s="4"/>
      <c r="R56" s="22">
        <f>Pricing!J33</f>
        <v>20230000</v>
      </c>
      <c r="S56" t="str">
        <f>A46</f>
        <v>Retribution Requirements</v>
      </c>
    </row>
    <row r="57" spans="1:21" x14ac:dyDescent="0.25">
      <c r="A57" t="s">
        <v>104</v>
      </c>
      <c r="B57" s="31">
        <v>0.03</v>
      </c>
      <c r="C57" s="29"/>
      <c r="P57" s="8"/>
      <c r="R57" s="2">
        <f>(R56*(D46*D48))</f>
        <v>80920000</v>
      </c>
      <c r="S57" s="4">
        <f>R57-R55</f>
        <v>-6976346.6279999912</v>
      </c>
      <c r="T57" t="s">
        <v>45</v>
      </c>
    </row>
    <row r="58" spans="1:21" x14ac:dyDescent="0.25">
      <c r="C58" s="10" t="s">
        <v>199</v>
      </c>
      <c r="K58" t="s">
        <v>37</v>
      </c>
      <c r="L58" s="4">
        <f>-1*(M56-J56)</f>
        <v>19806633.372000009</v>
      </c>
      <c r="S58" s="8">
        <f>((R57-R55)/R57)</f>
        <v>-8.6212884676223317E-2</v>
      </c>
      <c r="T58" t="s">
        <v>45</v>
      </c>
    </row>
    <row r="59" spans="1:21" x14ac:dyDescent="0.25">
      <c r="C59" s="10"/>
      <c r="L59" s="8"/>
      <c r="S59" s="4">
        <f>R55-T48-T49</f>
        <v>84983226.627999991</v>
      </c>
      <c r="T59" t="s">
        <v>297</v>
      </c>
    </row>
    <row r="60" spans="1:21" s="17" customFormat="1" x14ac:dyDescent="0.25">
      <c r="A60" s="48" t="s">
        <v>160</v>
      </c>
      <c r="K60" s="19"/>
      <c r="M60" s="18"/>
    </row>
    <row r="61" spans="1:21" x14ac:dyDescent="0.25">
      <c r="A61" t="s">
        <v>152</v>
      </c>
      <c r="C61" s="32" t="s">
        <v>19</v>
      </c>
      <c r="D61" s="35">
        <v>3</v>
      </c>
      <c r="E61" t="s">
        <v>17</v>
      </c>
      <c r="F61" t="s">
        <v>18</v>
      </c>
      <c r="H61" t="s">
        <v>20</v>
      </c>
      <c r="I61" t="s">
        <v>26</v>
      </c>
      <c r="K61" t="s">
        <v>23</v>
      </c>
      <c r="L61" t="s">
        <v>32</v>
      </c>
      <c r="M61" s="7" t="s">
        <v>33</v>
      </c>
      <c r="O61" t="s">
        <v>31</v>
      </c>
      <c r="R61" t="s">
        <v>47</v>
      </c>
      <c r="S61" t="s">
        <v>289</v>
      </c>
      <c r="T61" s="2">
        <f>H70</f>
        <v>670400</v>
      </c>
    </row>
    <row r="62" spans="1:21" x14ac:dyDescent="0.25">
      <c r="A62" t="s">
        <v>153</v>
      </c>
      <c r="B62">
        <v>18</v>
      </c>
      <c r="C62">
        <f t="shared" ref="C62:C68" si="34">MAX(B62,(_xlfn.CEILING.MATH(ROUNDUP(B62*$D$61*((1-1%)*(1-$B$72)),1),1)))</f>
        <v>52</v>
      </c>
      <c r="D62" s="33" t="s">
        <v>97</v>
      </c>
      <c r="E62" s="5">
        <v>0</v>
      </c>
      <c r="F62">
        <f t="shared" ref="F62:F68" si="35">IF(C62-E62&lt;0,0,(C62*$D$63)-E62)</f>
        <v>52</v>
      </c>
      <c r="H62" t="s">
        <v>153</v>
      </c>
      <c r="I62" s="22">
        <f>Pricing!B11</f>
        <v>82470</v>
      </c>
      <c r="J62" s="3">
        <f t="shared" ref="J62:J68" si="36">IF(F62&lt;0,0,(F62*I62))</f>
        <v>4288440</v>
      </c>
      <c r="L62" t="str">
        <f t="shared" ref="L62:L68" si="37">H62</f>
        <v>Graviton Reactor Unit</v>
      </c>
      <c r="M62" s="3">
        <f>'Component BP'!F192</f>
        <v>4752544.733</v>
      </c>
      <c r="O62" t="str">
        <f t="shared" ref="O62:O68" si="38">IF(AND(J62=0,M62=0),"Not Necessary",IF(J62&lt;M62,$H$2,$L$2))</f>
        <v>Jita Buy Price</v>
      </c>
      <c r="Q62" s="2" t="str">
        <f t="shared" ref="Q62:Q68" si="39">IF(O62="Manufacture",M62,"")</f>
        <v/>
      </c>
      <c r="R62" s="2">
        <f t="shared" ref="R62:R68" si="40">SMALL(J62:M62,1)</f>
        <v>4288440</v>
      </c>
      <c r="S62" t="s">
        <v>171</v>
      </c>
      <c r="T62" s="2">
        <v>1000000</v>
      </c>
    </row>
    <row r="63" spans="1:21" x14ac:dyDescent="0.25">
      <c r="A63" t="s">
        <v>154</v>
      </c>
      <c r="B63">
        <v>38</v>
      </c>
      <c r="C63">
        <f t="shared" si="34"/>
        <v>110</v>
      </c>
      <c r="D63" s="34">
        <v>1</v>
      </c>
      <c r="E63" s="5">
        <v>0</v>
      </c>
      <c r="F63">
        <f t="shared" si="35"/>
        <v>110</v>
      </c>
      <c r="H63" t="s">
        <v>154</v>
      </c>
      <c r="I63" s="22">
        <f>Pricing!B12</f>
        <v>37930</v>
      </c>
      <c r="J63" s="3">
        <f t="shared" si="36"/>
        <v>4172300</v>
      </c>
      <c r="L63" t="str">
        <f t="shared" si="37"/>
        <v>Sustained Shield Emitter</v>
      </c>
      <c r="M63" s="3">
        <f>'Component BP'!F197</f>
        <v>3377541.5980000002</v>
      </c>
      <c r="O63" t="str">
        <f t="shared" si="38"/>
        <v>Manufacture</v>
      </c>
      <c r="Q63" s="2">
        <f t="shared" si="39"/>
        <v>3377541.5980000002</v>
      </c>
      <c r="R63" s="2">
        <f t="shared" si="40"/>
        <v>3377541.5980000002</v>
      </c>
      <c r="S63" t="s">
        <v>77</v>
      </c>
      <c r="T63" s="4">
        <f>U63*(R71*(D61*D63))</f>
        <v>3870719.9999999995</v>
      </c>
      <c r="U63" s="25">
        <v>3.5999999999999997E-2</v>
      </c>
    </row>
    <row r="64" spans="1:21" x14ac:dyDescent="0.25">
      <c r="A64" t="s">
        <v>155</v>
      </c>
      <c r="B64">
        <v>60</v>
      </c>
      <c r="C64">
        <f t="shared" si="34"/>
        <v>173</v>
      </c>
      <c r="E64" s="5">
        <v>0</v>
      </c>
      <c r="F64">
        <f t="shared" si="35"/>
        <v>173</v>
      </c>
      <c r="H64" t="s">
        <v>155</v>
      </c>
      <c r="I64" s="22">
        <f>Pricing!B13</f>
        <v>28150</v>
      </c>
      <c r="J64" s="3">
        <f t="shared" si="36"/>
        <v>4869950</v>
      </c>
      <c r="L64" t="str">
        <f t="shared" si="37"/>
        <v>Magpulse Thruster</v>
      </c>
      <c r="M64" s="3">
        <f>'Component BP'!F202</f>
        <v>5150301.5999999996</v>
      </c>
      <c r="O64" t="str">
        <f t="shared" si="38"/>
        <v>Jita Buy Price</v>
      </c>
      <c r="Q64" s="2" t="str">
        <f t="shared" si="39"/>
        <v/>
      </c>
      <c r="R64" s="2">
        <f t="shared" si="40"/>
        <v>4869950</v>
      </c>
      <c r="S64" t="s">
        <v>172</v>
      </c>
      <c r="T64" s="4">
        <f>U64*(R71*(D61*D63))</f>
        <v>0</v>
      </c>
      <c r="U64" s="25">
        <v>0</v>
      </c>
    </row>
    <row r="65" spans="1:21" x14ac:dyDescent="0.25">
      <c r="A65" t="s">
        <v>156</v>
      </c>
      <c r="B65">
        <v>79</v>
      </c>
      <c r="C65">
        <f t="shared" si="34"/>
        <v>228</v>
      </c>
      <c r="E65" s="5">
        <v>0</v>
      </c>
      <c r="F65">
        <f>IF(C65-E65&lt;0,0,(C65*$D$63)-E65)</f>
        <v>228</v>
      </c>
      <c r="H65" t="s">
        <v>156</v>
      </c>
      <c r="I65" s="22">
        <f>Pricing!B14</f>
        <v>26800</v>
      </c>
      <c r="J65" s="3">
        <f t="shared" si="36"/>
        <v>6110400</v>
      </c>
      <c r="L65" t="str">
        <f t="shared" si="37"/>
        <v>Gravimetric Sensor Cluster</v>
      </c>
      <c r="M65" s="3">
        <f>'Component BP'!F207</f>
        <v>4210727.55</v>
      </c>
      <c r="O65" t="str">
        <f t="shared" si="38"/>
        <v>Manufacture</v>
      </c>
      <c r="Q65" s="2">
        <f t="shared" si="39"/>
        <v>4210727.55</v>
      </c>
      <c r="R65" s="2">
        <f t="shared" si="40"/>
        <v>4210727.55</v>
      </c>
      <c r="S65" t="s">
        <v>173</v>
      </c>
      <c r="T65" s="4">
        <f>(R71*0.03*(D61*D63))</f>
        <v>3225600</v>
      </c>
    </row>
    <row r="66" spans="1:21" x14ac:dyDescent="0.25">
      <c r="A66" t="s">
        <v>157</v>
      </c>
      <c r="B66">
        <v>150</v>
      </c>
      <c r="C66">
        <f t="shared" si="34"/>
        <v>433</v>
      </c>
      <c r="E66" s="5">
        <v>0</v>
      </c>
      <c r="F66">
        <f t="shared" si="35"/>
        <v>433</v>
      </c>
      <c r="H66" t="s">
        <v>157</v>
      </c>
      <c r="I66" s="22">
        <f>Pricing!B15</f>
        <v>34540</v>
      </c>
      <c r="J66" s="3">
        <f t="shared" si="36"/>
        <v>14955820</v>
      </c>
      <c r="L66" t="str">
        <f t="shared" si="37"/>
        <v>Scalar Capacitor Unit</v>
      </c>
      <c r="M66" s="3">
        <f>'Component BP'!F213</f>
        <v>15009027.851</v>
      </c>
      <c r="O66" t="str">
        <f t="shared" si="38"/>
        <v>Jita Buy Price</v>
      </c>
      <c r="Q66" s="2" t="str">
        <f t="shared" si="39"/>
        <v/>
      </c>
      <c r="R66" s="2">
        <f t="shared" si="40"/>
        <v>14955820</v>
      </c>
      <c r="T66" s="4">
        <f>SUM(T61:T65)</f>
        <v>8766720</v>
      </c>
    </row>
    <row r="67" spans="1:21" x14ac:dyDescent="0.25">
      <c r="A67" t="s">
        <v>158</v>
      </c>
      <c r="B67">
        <v>370</v>
      </c>
      <c r="C67">
        <f t="shared" si="34"/>
        <v>1066</v>
      </c>
      <c r="E67" s="5">
        <v>0</v>
      </c>
      <c r="F67">
        <f t="shared" si="35"/>
        <v>1066</v>
      </c>
      <c r="H67" t="s">
        <v>158</v>
      </c>
      <c r="I67" s="22">
        <f>Pricing!B16</f>
        <v>42930</v>
      </c>
      <c r="J67" s="3">
        <f t="shared" si="36"/>
        <v>45763380</v>
      </c>
      <c r="L67" t="str">
        <f t="shared" si="37"/>
        <v>Quantum Microprocessor</v>
      </c>
      <c r="M67" s="3">
        <f>'Component BP'!F219</f>
        <v>40946469.208000004</v>
      </c>
      <c r="O67" t="str">
        <f t="shared" si="38"/>
        <v>Manufacture</v>
      </c>
      <c r="Q67" s="2">
        <f t="shared" si="39"/>
        <v>40946469.208000004</v>
      </c>
      <c r="R67" s="2">
        <f t="shared" si="40"/>
        <v>40946469.208000004</v>
      </c>
    </row>
    <row r="68" spans="1:21" x14ac:dyDescent="0.25">
      <c r="A68" t="s">
        <v>159</v>
      </c>
      <c r="B68">
        <v>1630</v>
      </c>
      <c r="C68">
        <f t="shared" si="34"/>
        <v>4696</v>
      </c>
      <c r="E68" s="5">
        <v>0</v>
      </c>
      <c r="F68">
        <f t="shared" si="35"/>
        <v>4696</v>
      </c>
      <c r="H68" t="s">
        <v>159</v>
      </c>
      <c r="I68" s="22">
        <f>Pricing!B17</f>
        <v>11490</v>
      </c>
      <c r="J68" s="3">
        <f t="shared" si="36"/>
        <v>53957040</v>
      </c>
      <c r="L68" t="str">
        <f t="shared" si="37"/>
        <v>Titanium Diborite Armor Plate</v>
      </c>
      <c r="M68" s="3">
        <f>'Component BP'!F223</f>
        <v>46643982.600000001</v>
      </c>
      <c r="O68" t="str">
        <f t="shared" si="38"/>
        <v>Manufacture</v>
      </c>
      <c r="Q68" s="2">
        <f t="shared" si="39"/>
        <v>46643982.600000001</v>
      </c>
      <c r="R68" s="2">
        <f t="shared" si="40"/>
        <v>46643982.600000001</v>
      </c>
    </row>
    <row r="70" spans="1:21" x14ac:dyDescent="0.25">
      <c r="A70" t="s">
        <v>43</v>
      </c>
      <c r="B70">
        <v>16</v>
      </c>
      <c r="C70">
        <f>MAX(B70,(_xlfn.CEILING.MATH(ROUNDUP(B70*$D$32*((1-1%)*(1-2%)*(1-$B$72)),1),1)))</f>
        <v>16</v>
      </c>
      <c r="E70" s="5">
        <f>E41</f>
        <v>0</v>
      </c>
      <c r="F70">
        <f>IF(C70-E70&lt;0,0,(C70*$D$63)-E70)</f>
        <v>16</v>
      </c>
      <c r="H70" s="4">
        <f>F70*Pricing!$J$9</f>
        <v>670400</v>
      </c>
      <c r="L70" s="9" t="s">
        <v>36</v>
      </c>
      <c r="M70" s="3" t="s">
        <v>47</v>
      </c>
      <c r="R70" s="2">
        <f>SMALL(J71:M71,1)+T66</f>
        <v>128059650.956</v>
      </c>
    </row>
    <row r="71" spans="1:21" x14ac:dyDescent="0.25">
      <c r="A71" t="s">
        <v>44</v>
      </c>
      <c r="B71">
        <v>27</v>
      </c>
      <c r="C71">
        <f>MAX(B71,(_xlfn.CEILING.MATH(ROUNDUP(B71*$D$32*((1-1%)*(1-2%)*(1-$B$72)),1),1)))</f>
        <v>27</v>
      </c>
      <c r="E71" s="5">
        <f>E42</f>
        <v>0</v>
      </c>
      <c r="F71">
        <f>IF(C71-E71&lt;0,0,(C71*$D$63)-E71)</f>
        <v>27</v>
      </c>
      <c r="J71" s="3">
        <f>SUM(J62:J68)</f>
        <v>134117330</v>
      </c>
      <c r="L71" s="3">
        <f>SUM(M62:M68)</f>
        <v>120090595.14000002</v>
      </c>
      <c r="M71" s="16">
        <f>SUM(R62:R68)</f>
        <v>119292930.956</v>
      </c>
      <c r="P71" s="4"/>
      <c r="R71" s="22">
        <f>Pricing!J36</f>
        <v>35840000</v>
      </c>
      <c r="S71" t="str">
        <f>A61</f>
        <v>Stork Requirements</v>
      </c>
    </row>
    <row r="72" spans="1:21" x14ac:dyDescent="0.25">
      <c r="A72" t="s">
        <v>104</v>
      </c>
      <c r="B72" s="31">
        <v>0.03</v>
      </c>
      <c r="C72" s="10" t="s">
        <v>199</v>
      </c>
      <c r="P72" s="8"/>
      <c r="R72" s="2">
        <f>(R71*(D61*D63))</f>
        <v>107520000</v>
      </c>
      <c r="S72" s="4">
        <f>R72-R70</f>
        <v>-20539650.956</v>
      </c>
      <c r="T72" t="s">
        <v>45</v>
      </c>
    </row>
    <row r="73" spans="1:21" x14ac:dyDescent="0.25">
      <c r="K73" t="s">
        <v>37</v>
      </c>
      <c r="L73" s="4">
        <f>-1*(M71-J71)</f>
        <v>14824399.044</v>
      </c>
      <c r="S73" s="8">
        <f>((R72-R70)/R72)</f>
        <v>-0.19103097987351192</v>
      </c>
      <c r="T73" t="s">
        <v>45</v>
      </c>
    </row>
    <row r="74" spans="1:21" x14ac:dyDescent="0.25">
      <c r="K74" t="s">
        <v>38</v>
      </c>
      <c r="L74" s="8">
        <f>1-(M71/J71)</f>
        <v>0.1105330611935087</v>
      </c>
      <c r="S74" s="4">
        <f>R70-T63-T64</f>
        <v>124188930.956</v>
      </c>
      <c r="T74" t="s">
        <v>297</v>
      </c>
    </row>
    <row r="75" spans="1:21" s="17" customFormat="1" x14ac:dyDescent="0.25">
      <c r="A75" s="48"/>
      <c r="K75" s="19"/>
      <c r="M75" s="18"/>
    </row>
    <row r="76" spans="1:21" x14ac:dyDescent="0.25">
      <c r="A76" t="s">
        <v>169</v>
      </c>
      <c r="C76" s="32" t="s">
        <v>19</v>
      </c>
      <c r="D76" s="35">
        <v>4</v>
      </c>
      <c r="E76" t="s">
        <v>17</v>
      </c>
      <c r="F76" t="s">
        <v>18</v>
      </c>
      <c r="H76" t="s">
        <v>20</v>
      </c>
      <c r="I76" t="s">
        <v>26</v>
      </c>
      <c r="K76" t="s">
        <v>23</v>
      </c>
      <c r="L76" t="s">
        <v>32</v>
      </c>
      <c r="M76" s="7" t="s">
        <v>33</v>
      </c>
      <c r="O76" t="s">
        <v>31</v>
      </c>
      <c r="R76" t="s">
        <v>47</v>
      </c>
      <c r="S76" t="s">
        <v>289</v>
      </c>
      <c r="T76" s="2">
        <f>H85</f>
        <v>6368800</v>
      </c>
    </row>
    <row r="77" spans="1:21" x14ac:dyDescent="0.25">
      <c r="A77" t="s">
        <v>153</v>
      </c>
      <c r="B77">
        <v>6</v>
      </c>
      <c r="C77">
        <f>MAX(B77,(_xlfn.CEILING.MATH(ROUNDUP(B77*$D$76*((1-1%)*(1-$B$87)),1),1)))</f>
        <v>24</v>
      </c>
      <c r="D77" s="33" t="s">
        <v>97</v>
      </c>
      <c r="E77" s="5"/>
      <c r="F77">
        <f t="shared" ref="F77:F83" si="41">IF(C77-E77&lt;0,0,(C77*$D$78)-E77)</f>
        <v>96</v>
      </c>
      <c r="H77" t="s">
        <v>153</v>
      </c>
      <c r="I77" s="22">
        <f t="shared" ref="I77:I83" si="42">I62</f>
        <v>82470</v>
      </c>
      <c r="J77" s="3">
        <f t="shared" ref="J77:J83" si="43">IF(F77&lt;0,0,(F77*I77))</f>
        <v>7917120</v>
      </c>
      <c r="L77" t="str">
        <f t="shared" ref="L77:L83" si="44">H77</f>
        <v>Graviton Reactor Unit</v>
      </c>
      <c r="M77" s="3">
        <f>'Component BP'!F229</f>
        <v>8773915.4350000005</v>
      </c>
      <c r="O77" t="str">
        <f t="shared" ref="O77:O83" si="45">IF(AND(J77=0,M77=0),"Not Necessary",IF(J77&lt;M77,$H$2,$L$2))</f>
        <v>Jita Buy Price</v>
      </c>
      <c r="Q77" s="2" t="str">
        <f t="shared" ref="Q77:Q83" si="46">IF(O77="Manufacture",M77,"")</f>
        <v/>
      </c>
      <c r="R77" s="2">
        <f t="shared" ref="R77:R83" si="47">SMALL(J77:M77,1)</f>
        <v>7917120</v>
      </c>
      <c r="S77" t="s">
        <v>171</v>
      </c>
      <c r="T77" s="2">
        <v>1000000</v>
      </c>
    </row>
    <row r="78" spans="1:21" x14ac:dyDescent="0.25">
      <c r="A78" t="s">
        <v>154</v>
      </c>
      <c r="B78">
        <v>15</v>
      </c>
      <c r="C78">
        <f>MAX(B78,(_xlfn.CEILING.MATH(ROUNDUP(B78*$D$76*((1-1%)*(1-$B$87)),1),1)))</f>
        <v>58</v>
      </c>
      <c r="D78" s="34">
        <v>4</v>
      </c>
      <c r="E78" s="5"/>
      <c r="F78">
        <f>IF(C78-E78&lt;0,0,(C78*$D$78)-E78)</f>
        <v>232</v>
      </c>
      <c r="H78" t="s">
        <v>154</v>
      </c>
      <c r="I78" s="22">
        <f t="shared" si="42"/>
        <v>37930</v>
      </c>
      <c r="J78" s="3">
        <f t="shared" si="43"/>
        <v>8799760</v>
      </c>
      <c r="L78" t="str">
        <f t="shared" si="44"/>
        <v>Sustained Shield Emitter</v>
      </c>
      <c r="M78" s="3">
        <f>'Component BP'!F234</f>
        <v>7123137.9370000008</v>
      </c>
      <c r="O78" t="str">
        <f t="shared" si="45"/>
        <v>Manufacture</v>
      </c>
      <c r="Q78" s="2">
        <f t="shared" si="46"/>
        <v>7123137.9370000008</v>
      </c>
      <c r="R78" s="2">
        <f t="shared" si="47"/>
        <v>7123137.9370000008</v>
      </c>
      <c r="S78" t="s">
        <v>77</v>
      </c>
      <c r="T78" s="4">
        <f>U78*(R86*(D76*D78))</f>
        <v>8835840</v>
      </c>
      <c r="U78" s="25">
        <v>3.5999999999999997E-2</v>
      </c>
    </row>
    <row r="79" spans="1:21" x14ac:dyDescent="0.25">
      <c r="A79" t="s">
        <v>155</v>
      </c>
      <c r="B79">
        <v>30</v>
      </c>
      <c r="C79">
        <f t="shared" ref="C79:C83" si="48">MAX(B79,(_xlfn.CEILING.MATH(ROUNDUP(B79*$D$76*((1-1%)*(1-$B$87)),1),1)))</f>
        <v>116</v>
      </c>
      <c r="E79" s="5"/>
      <c r="F79">
        <f t="shared" si="41"/>
        <v>464</v>
      </c>
      <c r="H79" t="s">
        <v>155</v>
      </c>
      <c r="I79" s="22">
        <f t="shared" si="42"/>
        <v>28150</v>
      </c>
      <c r="J79" s="3">
        <f t="shared" si="43"/>
        <v>13061600</v>
      </c>
      <c r="L79" t="str">
        <f t="shared" si="44"/>
        <v>Magpulse Thruster</v>
      </c>
      <c r="M79" s="3">
        <f>'Component BP'!F239</f>
        <v>13811121.199999999</v>
      </c>
      <c r="O79" t="str">
        <f t="shared" si="45"/>
        <v>Jita Buy Price</v>
      </c>
      <c r="Q79" s="2" t="str">
        <f t="shared" si="46"/>
        <v/>
      </c>
      <c r="R79" s="2">
        <f t="shared" si="47"/>
        <v>13061600</v>
      </c>
      <c r="S79" t="s">
        <v>172</v>
      </c>
      <c r="T79" s="4">
        <f>U79*(R86*(D76*D78))</f>
        <v>0</v>
      </c>
      <c r="U79" s="25">
        <v>0</v>
      </c>
    </row>
    <row r="80" spans="1:21" x14ac:dyDescent="0.25">
      <c r="A80" t="s">
        <v>156</v>
      </c>
      <c r="B80">
        <v>60</v>
      </c>
      <c r="C80">
        <f t="shared" si="48"/>
        <v>231</v>
      </c>
      <c r="E80" s="5"/>
      <c r="F80">
        <f t="shared" si="41"/>
        <v>924</v>
      </c>
      <c r="H80" t="s">
        <v>156</v>
      </c>
      <c r="I80" s="22">
        <f t="shared" si="42"/>
        <v>26800</v>
      </c>
      <c r="J80" s="3">
        <f t="shared" si="43"/>
        <v>24763200</v>
      </c>
      <c r="L80" t="str">
        <f t="shared" si="44"/>
        <v>Gravimetric Sensor Cluster</v>
      </c>
      <c r="M80" s="3">
        <f>'Component BP'!F244</f>
        <v>17045534.787</v>
      </c>
      <c r="O80" t="str">
        <f t="shared" si="45"/>
        <v>Manufacture</v>
      </c>
      <c r="Q80" s="2">
        <f t="shared" si="46"/>
        <v>17045534.787</v>
      </c>
      <c r="R80" s="2">
        <f t="shared" si="47"/>
        <v>17045534.787</v>
      </c>
      <c r="S80" t="s">
        <v>173</v>
      </c>
      <c r="T80" s="4">
        <f>(R86*0.03*(D76*D78))</f>
        <v>7363200</v>
      </c>
    </row>
    <row r="81" spans="1:21" x14ac:dyDescent="0.25">
      <c r="A81" t="s">
        <v>157</v>
      </c>
      <c r="B81">
        <v>60</v>
      </c>
      <c r="C81">
        <f t="shared" si="48"/>
        <v>231</v>
      </c>
      <c r="E81" s="5"/>
      <c r="F81">
        <f t="shared" si="41"/>
        <v>924</v>
      </c>
      <c r="H81" t="s">
        <v>157</v>
      </c>
      <c r="I81" s="22">
        <f t="shared" si="42"/>
        <v>34540</v>
      </c>
      <c r="J81" s="3">
        <f t="shared" si="43"/>
        <v>31914960</v>
      </c>
      <c r="L81" t="str">
        <f t="shared" si="44"/>
        <v>Scalar Capacitor Unit</v>
      </c>
      <c r="M81" s="3">
        <f>'Component BP'!F250</f>
        <v>32012280.416999999</v>
      </c>
      <c r="O81" t="str">
        <f t="shared" si="45"/>
        <v>Jita Buy Price</v>
      </c>
      <c r="Q81" s="2" t="str">
        <f t="shared" si="46"/>
        <v/>
      </c>
      <c r="R81" s="2">
        <f t="shared" si="47"/>
        <v>31914960</v>
      </c>
      <c r="T81" s="4">
        <f>SUM(T76:T80)</f>
        <v>23567840</v>
      </c>
    </row>
    <row r="82" spans="1:21" x14ac:dyDescent="0.25">
      <c r="A82" t="s">
        <v>158</v>
      </c>
      <c r="B82">
        <v>180</v>
      </c>
      <c r="C82">
        <f t="shared" si="48"/>
        <v>692</v>
      </c>
      <c r="E82" s="5"/>
      <c r="F82">
        <f t="shared" si="41"/>
        <v>2768</v>
      </c>
      <c r="H82" t="s">
        <v>158</v>
      </c>
      <c r="I82" s="22">
        <f t="shared" si="42"/>
        <v>42930</v>
      </c>
      <c r="J82" s="3">
        <f t="shared" si="43"/>
        <v>118830240</v>
      </c>
      <c r="L82" t="str">
        <f t="shared" si="44"/>
        <v>Quantum Microprocessor</v>
      </c>
      <c r="M82" s="3">
        <f>'Component BP'!F256</f>
        <v>106307802.873</v>
      </c>
      <c r="O82" t="str">
        <f t="shared" si="45"/>
        <v>Manufacture</v>
      </c>
      <c r="Q82" s="2">
        <f t="shared" si="46"/>
        <v>106307802.873</v>
      </c>
      <c r="R82" s="2">
        <f t="shared" si="47"/>
        <v>106307802.873</v>
      </c>
    </row>
    <row r="83" spans="1:21" x14ac:dyDescent="0.25">
      <c r="A83" t="s">
        <v>159</v>
      </c>
      <c r="B83">
        <v>300</v>
      </c>
      <c r="C83">
        <f t="shared" si="48"/>
        <v>1153</v>
      </c>
      <c r="E83" s="5"/>
      <c r="F83">
        <f t="shared" si="41"/>
        <v>4612</v>
      </c>
      <c r="H83" t="s">
        <v>159</v>
      </c>
      <c r="I83" s="22">
        <f t="shared" si="42"/>
        <v>11490</v>
      </c>
      <c r="J83" s="3">
        <f t="shared" si="43"/>
        <v>52991880</v>
      </c>
      <c r="L83" t="str">
        <f t="shared" si="44"/>
        <v>Titanium Diborite Armor Plate</v>
      </c>
      <c r="M83" s="3">
        <f>'Component BP'!F260</f>
        <v>45809963.068999998</v>
      </c>
      <c r="O83" t="str">
        <f t="shared" si="45"/>
        <v>Manufacture</v>
      </c>
      <c r="Q83" s="2">
        <f t="shared" si="46"/>
        <v>45809963.068999998</v>
      </c>
      <c r="R83" s="2">
        <f t="shared" si="47"/>
        <v>45809963.068999998</v>
      </c>
    </row>
    <row r="85" spans="1:21" x14ac:dyDescent="0.25">
      <c r="A85" t="s">
        <v>43</v>
      </c>
      <c r="B85">
        <v>38</v>
      </c>
      <c r="C85">
        <f>MAX(B85,(_xlfn.CEILING.MATH(ROUNDUP(B85*$D$32*((1-1%)*(1-2%)*(1-$B$72)),1),1)))</f>
        <v>38</v>
      </c>
      <c r="E85" s="5">
        <f>E70</f>
        <v>0</v>
      </c>
      <c r="F85">
        <f>IF(C85-E85&lt;0,0,(C85*$D$78)-E85)</f>
        <v>152</v>
      </c>
      <c r="H85" s="4">
        <f>F85*Pricing!$J$9</f>
        <v>6368800</v>
      </c>
      <c r="L85" s="9" t="s">
        <v>36</v>
      </c>
      <c r="M85" s="3" t="s">
        <v>47</v>
      </c>
      <c r="R85" s="2">
        <f>SMALL(J86:M86,1)+T81</f>
        <v>252747958.66600001</v>
      </c>
    </row>
    <row r="86" spans="1:21" x14ac:dyDescent="0.25">
      <c r="A86" t="s">
        <v>44</v>
      </c>
      <c r="B86">
        <v>30</v>
      </c>
      <c r="C86">
        <f>MAX(B86,(_xlfn.CEILING.MATH(ROUNDUP(B86*$D$32*((1-1%)*(1-2%)*(1-$B$72)),1),1)))</f>
        <v>30</v>
      </c>
      <c r="E86" s="5">
        <f>E71</f>
        <v>0</v>
      </c>
      <c r="F86">
        <f>IF(C86-E86&lt;0,0,(C86*$D$78)-E86)</f>
        <v>120</v>
      </c>
      <c r="J86" s="3">
        <f>SUM(J77:J83)</f>
        <v>258278760</v>
      </c>
      <c r="L86" s="3">
        <f>SUM(M77:M83)</f>
        <v>230883755.71799999</v>
      </c>
      <c r="M86" s="16">
        <f>SUM(R77:R83)</f>
        <v>229180118.66600001</v>
      </c>
      <c r="P86" s="4"/>
      <c r="R86" s="22">
        <f>Pricing!J37</f>
        <v>15340000</v>
      </c>
      <c r="S86" t="str">
        <f>A76</f>
        <v>Manticore Requirements</v>
      </c>
    </row>
    <row r="87" spans="1:21" x14ac:dyDescent="0.25">
      <c r="A87" t="s">
        <v>104</v>
      </c>
      <c r="B87" s="31">
        <v>0.03</v>
      </c>
      <c r="C87" s="10" t="s">
        <v>199</v>
      </c>
      <c r="P87" s="8"/>
      <c r="R87" s="2">
        <f>(R86*(D76*D78))</f>
        <v>245440000</v>
      </c>
      <c r="S87" s="4">
        <f>R87-R85</f>
        <v>-7307958.6660000086</v>
      </c>
      <c r="T87" t="s">
        <v>45</v>
      </c>
    </row>
    <row r="88" spans="1:21" x14ac:dyDescent="0.25">
      <c r="K88" t="s">
        <v>37</v>
      </c>
      <c r="L88" s="4">
        <f>-1*(M86-J86)</f>
        <v>29098641.333999991</v>
      </c>
      <c r="R88" s="8">
        <f>((R87-R85)/R87)</f>
        <v>-2.9774929375814899E-2</v>
      </c>
      <c r="S88" s="8">
        <f>((R87-R85)/R87)</f>
        <v>-2.9774929375814899E-2</v>
      </c>
      <c r="T88" t="s">
        <v>45</v>
      </c>
    </row>
    <row r="89" spans="1:21" x14ac:dyDescent="0.25">
      <c r="L89" s="4"/>
      <c r="R89" t="s">
        <v>45</v>
      </c>
      <c r="S89" s="4">
        <f>R85-T78-T79</f>
        <v>243912118.66600001</v>
      </c>
      <c r="T89" t="s">
        <v>297</v>
      </c>
    </row>
    <row r="90" spans="1:21" s="17" customFormat="1" x14ac:dyDescent="0.25">
      <c r="K90" s="17" t="s">
        <v>38</v>
      </c>
      <c r="L90" s="19">
        <f>1-(M86/J86)</f>
        <v>0.11266370232689671</v>
      </c>
      <c r="M90" s="18"/>
      <c r="R90" s="17" t="s">
        <v>45</v>
      </c>
      <c r="S90" s="17">
        <f>R85-T78-T79</f>
        <v>243912118.66600001</v>
      </c>
      <c r="T90" s="17" t="s">
        <v>297</v>
      </c>
    </row>
    <row r="91" spans="1:21" x14ac:dyDescent="0.25">
      <c r="A91" t="s">
        <v>411</v>
      </c>
      <c r="C91" s="32" t="s">
        <v>19</v>
      </c>
      <c r="D91" s="35">
        <v>4</v>
      </c>
      <c r="E91" t="s">
        <v>17</v>
      </c>
      <c r="F91" t="s">
        <v>18</v>
      </c>
      <c r="H91" t="s">
        <v>20</v>
      </c>
      <c r="I91" t="s">
        <v>26</v>
      </c>
      <c r="K91" t="s">
        <v>23</v>
      </c>
      <c r="L91" t="s">
        <v>32</v>
      </c>
      <c r="M91" s="7" t="s">
        <v>33</v>
      </c>
      <c r="O91" t="s">
        <v>31</v>
      </c>
      <c r="R91" t="s">
        <v>47</v>
      </c>
      <c r="S91" t="s">
        <v>289</v>
      </c>
      <c r="T91" s="2">
        <f>H100</f>
        <v>5656500</v>
      </c>
    </row>
    <row r="92" spans="1:21" x14ac:dyDescent="0.25">
      <c r="A92" t="s">
        <v>153</v>
      </c>
      <c r="B92">
        <v>8</v>
      </c>
      <c r="C92">
        <f>MAX(B92,(_xlfn.CEILING.MATH(ROUNDUP(B92*$D$151*((1-1%)*(1-$B$102)),1),1)))</f>
        <v>31</v>
      </c>
      <c r="D92" s="33" t="s">
        <v>97</v>
      </c>
      <c r="E92" s="5"/>
      <c r="F92">
        <f>IF(C92-E92&lt;0,0,(C92*$D$93)-E92)</f>
        <v>279</v>
      </c>
      <c r="H92" t="s">
        <v>153</v>
      </c>
      <c r="I92" s="22">
        <f t="shared" ref="I92:I98" si="49">I77</f>
        <v>82470</v>
      </c>
      <c r="J92" s="3">
        <f t="shared" ref="J92:J98" si="50">IF(F92&lt;0,0,(F92*I92))</f>
        <v>23009130</v>
      </c>
      <c r="L92" t="str">
        <f t="shared" ref="L92:L98" si="51">H92</f>
        <v>Graviton Reactor Unit</v>
      </c>
      <c r="M92" s="3">
        <f>'Component BP'!F266</f>
        <v>25486118.840999998</v>
      </c>
      <c r="O92" t="str">
        <f>IF(AND(J92=0,M92=0),"Not Necessary",IF(J92&lt;M92,$H$2,$L$2))</f>
        <v>Jita Buy Price</v>
      </c>
      <c r="Q92" s="2" t="str">
        <f t="shared" ref="Q92:Q98" si="52">IF(O92="Manufacture",M92,"")</f>
        <v/>
      </c>
      <c r="R92" s="2">
        <f t="shared" ref="R92:R98" si="53">SMALL(J92:M92,1)</f>
        <v>23009130</v>
      </c>
      <c r="S92" t="s">
        <v>171</v>
      </c>
      <c r="T92" s="2">
        <v>1000000</v>
      </c>
    </row>
    <row r="93" spans="1:21" x14ac:dyDescent="0.25">
      <c r="A93" t="s">
        <v>154</v>
      </c>
      <c r="B93">
        <v>30</v>
      </c>
      <c r="C93">
        <f t="shared" ref="C93:C98" si="54">MAX(B93,(_xlfn.CEILING.MATH(ROUNDUP(B93*$D$151*((1-1%)*(1-$B$102)),1),1)))</f>
        <v>116</v>
      </c>
      <c r="D93" s="34">
        <v>9</v>
      </c>
      <c r="E93" s="5"/>
      <c r="F93">
        <f>IF(C93-E93&lt;0,0,(C93*$D$93)-E93)</f>
        <v>1044</v>
      </c>
      <c r="H93" t="s">
        <v>154</v>
      </c>
      <c r="I93" s="22">
        <f t="shared" si="49"/>
        <v>37930</v>
      </c>
      <c r="J93" s="3">
        <f t="shared" si="50"/>
        <v>39598920</v>
      </c>
      <c r="L93" t="str">
        <f t="shared" si="51"/>
        <v>Sustained Shield Emitter</v>
      </c>
      <c r="M93" s="3">
        <f>'Component BP'!F271</f>
        <v>32053007.131999999</v>
      </c>
      <c r="O93" t="str">
        <f t="shared" ref="O93:O98" si="55">IF(AND(J93=0,M93=0),"Not Necessary",IF(J93&lt;M93,$H$2,$L$2))</f>
        <v>Manufacture</v>
      </c>
      <c r="Q93" s="2">
        <f t="shared" si="52"/>
        <v>32053007.131999999</v>
      </c>
      <c r="R93" s="2">
        <f t="shared" si="53"/>
        <v>32053007.131999999</v>
      </c>
      <c r="S93" t="s">
        <v>77</v>
      </c>
      <c r="T93" s="4">
        <f>U93*(R101*(D91*D93))</f>
        <v>22278240</v>
      </c>
      <c r="U93" s="25">
        <v>3.5999999999999997E-2</v>
      </c>
    </row>
    <row r="94" spans="1:21" x14ac:dyDescent="0.25">
      <c r="A94" t="s">
        <v>155</v>
      </c>
      <c r="B94">
        <v>23</v>
      </c>
      <c r="C94">
        <f t="shared" si="54"/>
        <v>89</v>
      </c>
      <c r="D94">
        <f>D91*D93</f>
        <v>36</v>
      </c>
      <c r="E94" s="5"/>
      <c r="F94">
        <f t="shared" ref="F94:F101" si="56">IF(C94-E94&lt;0,0,(C94*$D$93)-E94)</f>
        <v>801</v>
      </c>
      <c r="H94" t="s">
        <v>155</v>
      </c>
      <c r="I94" s="22">
        <f t="shared" si="49"/>
        <v>28150</v>
      </c>
      <c r="J94" s="3">
        <f t="shared" si="50"/>
        <v>22548150</v>
      </c>
      <c r="L94" t="str">
        <f t="shared" si="51"/>
        <v>Magpulse Thruster</v>
      </c>
      <c r="M94" s="3">
        <f>'Component BP'!F276</f>
        <v>23841600.699999999</v>
      </c>
      <c r="O94" t="str">
        <f t="shared" si="55"/>
        <v>Jita Buy Price</v>
      </c>
      <c r="Q94" s="2" t="str">
        <f t="shared" si="52"/>
        <v/>
      </c>
      <c r="R94" s="2">
        <f t="shared" si="53"/>
        <v>22548150</v>
      </c>
      <c r="S94" t="s">
        <v>172</v>
      </c>
      <c r="T94" s="4">
        <f>U94*(R101*(D91*D93))</f>
        <v>0</v>
      </c>
      <c r="U94" s="25">
        <v>0</v>
      </c>
    </row>
    <row r="95" spans="1:21" x14ac:dyDescent="0.25">
      <c r="A95" t="s">
        <v>156</v>
      </c>
      <c r="B95">
        <v>30</v>
      </c>
      <c r="C95">
        <f t="shared" si="54"/>
        <v>116</v>
      </c>
      <c r="E95" s="5"/>
      <c r="F95">
        <f t="shared" si="56"/>
        <v>1044</v>
      </c>
      <c r="H95" t="s">
        <v>156</v>
      </c>
      <c r="I95" s="22">
        <f t="shared" si="49"/>
        <v>26800</v>
      </c>
      <c r="J95" s="3">
        <f>IF(F95&lt;0,0,(F95*I95))</f>
        <v>27979200</v>
      </c>
      <c r="L95" t="str">
        <f t="shared" si="51"/>
        <v>Gravimetric Sensor Cluster</v>
      </c>
      <c r="M95" s="3">
        <f>'Component BP'!F281</f>
        <v>19261661.671999998</v>
      </c>
      <c r="O95" t="str">
        <f t="shared" si="55"/>
        <v>Manufacture</v>
      </c>
      <c r="Q95" s="2">
        <f t="shared" si="52"/>
        <v>19261661.671999998</v>
      </c>
      <c r="R95" s="2">
        <f t="shared" si="53"/>
        <v>19261661.671999998</v>
      </c>
      <c r="S95" t="s">
        <v>173</v>
      </c>
      <c r="T95" s="4">
        <f>(R101*0.03*(D91*D93))</f>
        <v>18565200</v>
      </c>
    </row>
    <row r="96" spans="1:21" x14ac:dyDescent="0.25">
      <c r="A96" t="s">
        <v>157</v>
      </c>
      <c r="B96">
        <v>90</v>
      </c>
      <c r="C96">
        <f t="shared" si="54"/>
        <v>346</v>
      </c>
      <c r="E96" s="5"/>
      <c r="F96">
        <f t="shared" si="56"/>
        <v>3114</v>
      </c>
      <c r="H96" t="s">
        <v>157</v>
      </c>
      <c r="I96" s="22">
        <f t="shared" si="49"/>
        <v>34540</v>
      </c>
      <c r="J96" s="3">
        <f t="shared" si="50"/>
        <v>107557560</v>
      </c>
      <c r="L96" t="str">
        <f t="shared" si="51"/>
        <v>Scalar Capacitor Unit</v>
      </c>
      <c r="M96" s="3">
        <f>'Component BP'!F287</f>
        <v>107878552.15200001</v>
      </c>
      <c r="O96" t="str">
        <f t="shared" si="55"/>
        <v>Jita Buy Price</v>
      </c>
      <c r="Q96" s="2" t="str">
        <f>IF(O96="Manufacture",M96,"")</f>
        <v/>
      </c>
      <c r="R96" s="2">
        <f t="shared" si="53"/>
        <v>107557560</v>
      </c>
      <c r="T96" s="4">
        <f>SUM(T91:T95)</f>
        <v>47499940</v>
      </c>
    </row>
    <row r="97" spans="1:22" x14ac:dyDescent="0.25">
      <c r="A97" t="s">
        <v>158</v>
      </c>
      <c r="B97">
        <v>135</v>
      </c>
      <c r="C97">
        <f t="shared" si="54"/>
        <v>519</v>
      </c>
      <c r="E97" s="5"/>
      <c r="F97">
        <f>IF((C97*$D$93)-E97&lt;0,0,(C97*$D$93)-E97)</f>
        <v>4671</v>
      </c>
      <c r="H97" t="s">
        <v>158</v>
      </c>
      <c r="I97" s="22">
        <f t="shared" si="49"/>
        <v>42930</v>
      </c>
      <c r="J97" s="3">
        <f t="shared" si="50"/>
        <v>200526030</v>
      </c>
      <c r="L97" t="str">
        <f t="shared" si="51"/>
        <v>Quantum Microprocessor</v>
      </c>
      <c r="M97" s="3">
        <f>'Component BP'!F293</f>
        <v>179404067.48900002</v>
      </c>
      <c r="O97" t="str">
        <f t="shared" si="55"/>
        <v>Manufacture</v>
      </c>
      <c r="Q97" s="2">
        <f t="shared" si="52"/>
        <v>179404067.48900002</v>
      </c>
      <c r="R97" s="2">
        <f t="shared" si="53"/>
        <v>179404067.48900002</v>
      </c>
    </row>
    <row r="98" spans="1:22" x14ac:dyDescent="0.25">
      <c r="A98" t="s">
        <v>159</v>
      </c>
      <c r="B98">
        <v>900</v>
      </c>
      <c r="C98">
        <f t="shared" si="54"/>
        <v>3458</v>
      </c>
      <c r="E98" s="5"/>
      <c r="F98">
        <f t="shared" si="56"/>
        <v>31122</v>
      </c>
      <c r="H98" t="s">
        <v>159</v>
      </c>
      <c r="I98" s="22">
        <f t="shared" si="49"/>
        <v>11490</v>
      </c>
      <c r="J98" s="3">
        <f t="shared" si="50"/>
        <v>357591780</v>
      </c>
      <c r="L98" t="str">
        <f t="shared" si="51"/>
        <v>Titanium Diborite Armor Plate</v>
      </c>
      <c r="M98" s="3">
        <f>'Component BP'!F297</f>
        <v>309125870.42900002</v>
      </c>
      <c r="O98" t="str">
        <f t="shared" si="55"/>
        <v>Manufacture</v>
      </c>
      <c r="Q98" s="2">
        <f t="shared" si="52"/>
        <v>309125870.42900002</v>
      </c>
      <c r="R98" s="2">
        <f t="shared" si="53"/>
        <v>309125870.42900002</v>
      </c>
    </row>
    <row r="100" spans="1:22" x14ac:dyDescent="0.25">
      <c r="A100" t="s">
        <v>43</v>
      </c>
      <c r="B100">
        <v>15</v>
      </c>
      <c r="C100">
        <f>MAX(B100,(_xlfn.CEILING.MATH(ROUNDUP(B100*$D$32*((1-1%)*(1-2%)*(1-$B$72)),1),1)))</f>
        <v>15</v>
      </c>
      <c r="E100" s="5">
        <f>E68</f>
        <v>0</v>
      </c>
      <c r="F100">
        <f t="shared" si="56"/>
        <v>135</v>
      </c>
      <c r="H100" s="4">
        <f>F100*Pricing!$J$9</f>
        <v>5656500</v>
      </c>
      <c r="L100" s="9" t="s">
        <v>36</v>
      </c>
      <c r="M100" s="3" t="s">
        <v>47</v>
      </c>
      <c r="R100" s="2">
        <f>SMALL(J101:M101,1)+T96</f>
        <v>740459386.722</v>
      </c>
      <c r="S100">
        <v>36</v>
      </c>
      <c r="T100" s="4">
        <f>(R100-T93)/S100</f>
        <v>19949476.297833335</v>
      </c>
      <c r="U100" s="29">
        <v>0.05</v>
      </c>
      <c r="V100" s="4">
        <f>T100*(1+U100)</f>
        <v>20946950.112725001</v>
      </c>
    </row>
    <row r="101" spans="1:22" x14ac:dyDescent="0.25">
      <c r="A101" t="s">
        <v>44</v>
      </c>
      <c r="B101">
        <v>30</v>
      </c>
      <c r="C101">
        <f>MAX(B101,(_xlfn.CEILING.MATH(ROUNDUP(B101*$D$32*((1-1%)*(1-2%)*(1-$B$72)),1),1)))</f>
        <v>30</v>
      </c>
      <c r="E101" s="5">
        <f>E69</f>
        <v>0</v>
      </c>
      <c r="F101">
        <f t="shared" si="56"/>
        <v>270</v>
      </c>
      <c r="J101" s="3">
        <f>SUM(J92:J98)</f>
        <v>778810770</v>
      </c>
      <c r="L101" s="3">
        <f>SUM(M92:M98)</f>
        <v>697050878.41500008</v>
      </c>
      <c r="M101" s="16">
        <f>SUM(R92:R98)</f>
        <v>692959446.722</v>
      </c>
      <c r="N101" s="29">
        <v>0.05</v>
      </c>
      <c r="P101" s="4"/>
      <c r="R101" s="22">
        <f>Pricing!J38</f>
        <v>17190000</v>
      </c>
      <c r="S101" t="str">
        <f>A91</f>
        <v>Harpy Requirements</v>
      </c>
    </row>
    <row r="102" spans="1:22" x14ac:dyDescent="0.25">
      <c r="A102" t="s">
        <v>104</v>
      </c>
      <c r="B102" s="31">
        <v>0.03</v>
      </c>
      <c r="C102" s="10" t="s">
        <v>199</v>
      </c>
      <c r="N102" s="4">
        <f>M101*(1+N101)</f>
        <v>727607419.05809999</v>
      </c>
      <c r="O102">
        <f>D94</f>
        <v>36</v>
      </c>
      <c r="P102" s="3">
        <f>N102/O102</f>
        <v>20211317.196058333</v>
      </c>
      <c r="R102" s="2">
        <f>(R101*(D91*D93))</f>
        <v>618840000</v>
      </c>
      <c r="S102" s="4">
        <f>R102-R100</f>
        <v>-121619386.722</v>
      </c>
      <c r="T102" t="s">
        <v>45</v>
      </c>
    </row>
    <row r="103" spans="1:22" x14ac:dyDescent="0.25">
      <c r="K103" t="s">
        <v>37</v>
      </c>
      <c r="L103" s="4">
        <f>-1*(M101-J101)</f>
        <v>85851323.277999997</v>
      </c>
      <c r="R103" s="8">
        <f>((R102-R100)/R102)</f>
        <v>-0.19652799871049059</v>
      </c>
      <c r="S103" s="8">
        <f>((R102-R100)/R102)</f>
        <v>-0.19652799871049059</v>
      </c>
      <c r="T103" t="s">
        <v>45</v>
      </c>
    </row>
    <row r="104" spans="1:22" x14ac:dyDescent="0.25">
      <c r="K104" t="s">
        <v>38</v>
      </c>
      <c r="L104" s="8">
        <f>1-(M101/J101)</f>
        <v>0.11023386756451758</v>
      </c>
      <c r="R104" t="s">
        <v>45</v>
      </c>
      <c r="S104" s="4">
        <f>R100-T93-T94</f>
        <v>718181146.722</v>
      </c>
      <c r="T104" t="s">
        <v>297</v>
      </c>
    </row>
    <row r="105" spans="1:22" s="17" customFormat="1" x14ac:dyDescent="0.25">
      <c r="L105" s="19"/>
      <c r="M105" s="18"/>
    </row>
    <row r="106" spans="1:22" x14ac:dyDescent="0.25">
      <c r="A106" t="s">
        <v>286</v>
      </c>
      <c r="C106" s="32" t="s">
        <v>19</v>
      </c>
      <c r="D106" s="35">
        <v>3</v>
      </c>
      <c r="E106" t="s">
        <v>17</v>
      </c>
      <c r="F106" t="s">
        <v>18</v>
      </c>
      <c r="H106" t="s">
        <v>20</v>
      </c>
      <c r="I106" t="s">
        <v>26</v>
      </c>
      <c r="K106" t="s">
        <v>23</v>
      </c>
      <c r="L106" t="s">
        <v>32</v>
      </c>
      <c r="M106" s="7" t="s">
        <v>33</v>
      </c>
      <c r="O106" t="s">
        <v>31</v>
      </c>
      <c r="R106" t="s">
        <v>47</v>
      </c>
      <c r="S106" t="s">
        <v>289</v>
      </c>
      <c r="T106" s="2">
        <f>H115</f>
        <v>628500</v>
      </c>
    </row>
    <row r="107" spans="1:22" x14ac:dyDescent="0.25">
      <c r="A107" t="s">
        <v>153</v>
      </c>
      <c r="B107">
        <v>15</v>
      </c>
      <c r="C107">
        <f t="shared" ref="C107:C113" si="57">MAX(B107,(_xlfn.CEILING.MATH(ROUNDUP(B107*$D$106*((1-1%)*(1-$B$117)),1),1)))</f>
        <v>44</v>
      </c>
      <c r="D107" s="33" t="s">
        <v>97</v>
      </c>
      <c r="E107" s="5"/>
      <c r="F107">
        <f>IF(C107-E107&lt;0,0,(C107*$D$108)-E107)</f>
        <v>44</v>
      </c>
      <c r="H107" t="s">
        <v>153</v>
      </c>
      <c r="I107" s="22">
        <f t="shared" ref="I107:I113" si="58">I77</f>
        <v>82470</v>
      </c>
      <c r="J107" s="3">
        <f t="shared" ref="J107:J113" si="59">IF(F107&lt;0,0,(F107*I107))</f>
        <v>3628680</v>
      </c>
      <c r="L107" t="str">
        <f t="shared" ref="L107:L113" si="60">H107</f>
        <v>Graviton Reactor Unit</v>
      </c>
      <c r="M107" s="3">
        <f>'Component BP'!F304</f>
        <v>4021370.702</v>
      </c>
      <c r="O107" t="str">
        <f t="shared" ref="O107:O113" si="61">IF(AND(J107=0,M107=0),"Not Necessary",IF(J107&lt;M107,$H$2,$L$2))</f>
        <v>Jita Buy Price</v>
      </c>
      <c r="Q107" s="2" t="str">
        <f t="shared" ref="Q107:Q113" si="62">IF(O107="Manufacture",M107,"")</f>
        <v/>
      </c>
      <c r="R107" s="2">
        <f t="shared" ref="R107:R113" si="63">SMALL(J107:M107,1)</f>
        <v>3628680</v>
      </c>
      <c r="S107" t="s">
        <v>171</v>
      </c>
      <c r="T107" s="2">
        <v>1000000</v>
      </c>
    </row>
    <row r="108" spans="1:22" x14ac:dyDescent="0.25">
      <c r="A108" t="s">
        <v>154</v>
      </c>
      <c r="B108">
        <v>38</v>
      </c>
      <c r="C108">
        <f t="shared" si="57"/>
        <v>110</v>
      </c>
      <c r="D108" s="34">
        <v>1</v>
      </c>
      <c r="E108" s="5"/>
      <c r="F108">
        <f t="shared" ref="F108:F113" si="64">IF(C108-E108&lt;0,0,(C108*$D$108)-E108)</f>
        <v>110</v>
      </c>
      <c r="H108" t="s">
        <v>154</v>
      </c>
      <c r="I108" s="22">
        <f t="shared" si="58"/>
        <v>37930</v>
      </c>
      <c r="J108" s="3">
        <f t="shared" si="59"/>
        <v>4172300</v>
      </c>
      <c r="L108" t="str">
        <f t="shared" si="60"/>
        <v>Sustained Shield Emitter</v>
      </c>
      <c r="M108" s="3">
        <f>'Component BP'!F309</f>
        <v>3377541.5980000002</v>
      </c>
      <c r="O108" t="str">
        <f t="shared" si="61"/>
        <v>Manufacture</v>
      </c>
      <c r="Q108" s="2">
        <f t="shared" si="62"/>
        <v>3377541.5980000002</v>
      </c>
      <c r="R108" s="2">
        <f t="shared" si="63"/>
        <v>3377541.5980000002</v>
      </c>
      <c r="S108" t="s">
        <v>77</v>
      </c>
      <c r="T108" s="4">
        <f>U108*(R116*(D106*D108))</f>
        <v>4212000</v>
      </c>
      <c r="U108" s="25">
        <v>3.5999999999999997E-2</v>
      </c>
    </row>
    <row r="109" spans="1:22" x14ac:dyDescent="0.25">
      <c r="A109" t="s">
        <v>155</v>
      </c>
      <c r="B109">
        <v>60</v>
      </c>
      <c r="C109">
        <f t="shared" si="57"/>
        <v>173</v>
      </c>
      <c r="E109" s="5"/>
      <c r="F109">
        <f t="shared" si="64"/>
        <v>173</v>
      </c>
      <c r="H109" t="s">
        <v>155</v>
      </c>
      <c r="I109" s="22">
        <f t="shared" si="58"/>
        <v>28150</v>
      </c>
      <c r="J109" s="3">
        <f t="shared" si="59"/>
        <v>4869950</v>
      </c>
      <c r="L109" t="str">
        <f t="shared" si="60"/>
        <v>Magpulse Thruster</v>
      </c>
      <c r="M109" s="3">
        <f>'Component BP'!F314</f>
        <v>5150301.5999999996</v>
      </c>
      <c r="O109" t="str">
        <f t="shared" si="61"/>
        <v>Jita Buy Price</v>
      </c>
      <c r="Q109" s="2" t="str">
        <f t="shared" si="62"/>
        <v/>
      </c>
      <c r="R109" s="2">
        <f t="shared" si="63"/>
        <v>4869950</v>
      </c>
      <c r="S109" t="s">
        <v>172</v>
      </c>
      <c r="T109" s="4">
        <f>U109*(R116*(D106*D108))</f>
        <v>0</v>
      </c>
      <c r="U109" s="25">
        <v>0</v>
      </c>
    </row>
    <row r="110" spans="1:22" x14ac:dyDescent="0.25">
      <c r="A110" t="s">
        <v>156</v>
      </c>
      <c r="B110">
        <v>75</v>
      </c>
      <c r="C110">
        <f t="shared" si="57"/>
        <v>217</v>
      </c>
      <c r="E110" s="5"/>
      <c r="F110">
        <f t="shared" si="64"/>
        <v>217</v>
      </c>
      <c r="H110" t="s">
        <v>156</v>
      </c>
      <c r="I110" s="22">
        <f t="shared" si="58"/>
        <v>26800</v>
      </c>
      <c r="J110" s="3">
        <f t="shared" si="59"/>
        <v>5815600</v>
      </c>
      <c r="L110" t="str">
        <f t="shared" si="60"/>
        <v>Gravimetric Sensor Cluster</v>
      </c>
      <c r="M110" s="3">
        <f>'Component BP'!F319</f>
        <v>4002864.3830000004</v>
      </c>
      <c r="O110" t="str">
        <f t="shared" si="61"/>
        <v>Manufacture</v>
      </c>
      <c r="Q110" s="2">
        <f t="shared" si="62"/>
        <v>4002864.3830000004</v>
      </c>
      <c r="R110" s="2">
        <f t="shared" si="63"/>
        <v>4002864.3830000004</v>
      </c>
      <c r="S110" t="s">
        <v>173</v>
      </c>
      <c r="T110" s="4">
        <f>(R116*0.03*(D106*D108))</f>
        <v>3510000</v>
      </c>
    </row>
    <row r="111" spans="1:22" x14ac:dyDescent="0.25">
      <c r="A111" t="s">
        <v>157</v>
      </c>
      <c r="B111">
        <v>150</v>
      </c>
      <c r="C111">
        <f t="shared" si="57"/>
        <v>433</v>
      </c>
      <c r="E111" s="5"/>
      <c r="F111">
        <f t="shared" si="64"/>
        <v>433</v>
      </c>
      <c r="H111" t="s">
        <v>157</v>
      </c>
      <c r="I111" s="22">
        <f t="shared" si="58"/>
        <v>34540</v>
      </c>
      <c r="J111" s="3">
        <f t="shared" si="59"/>
        <v>14955820</v>
      </c>
      <c r="L111" t="str">
        <f t="shared" si="60"/>
        <v>Scalar Capacitor Unit</v>
      </c>
      <c r="M111" s="3">
        <f>'Component BP'!F325</f>
        <v>15009027.851</v>
      </c>
      <c r="O111" t="str">
        <f t="shared" si="61"/>
        <v>Jita Buy Price</v>
      </c>
      <c r="Q111" s="2" t="str">
        <f t="shared" si="62"/>
        <v/>
      </c>
      <c r="R111" s="2">
        <f t="shared" si="63"/>
        <v>14955820</v>
      </c>
      <c r="T111" s="4">
        <f>SUM(T106:T110)</f>
        <v>9350500</v>
      </c>
    </row>
    <row r="112" spans="1:22" x14ac:dyDescent="0.25">
      <c r="A112" t="s">
        <v>158</v>
      </c>
      <c r="B112">
        <v>360</v>
      </c>
      <c r="C112">
        <f t="shared" si="57"/>
        <v>1038</v>
      </c>
      <c r="E112" s="5"/>
      <c r="F112">
        <f t="shared" si="64"/>
        <v>1038</v>
      </c>
      <c r="H112" t="s">
        <v>158</v>
      </c>
      <c r="I112" s="22">
        <f t="shared" si="58"/>
        <v>42930</v>
      </c>
      <c r="J112" s="3">
        <f t="shared" si="59"/>
        <v>44561340</v>
      </c>
      <c r="L112" t="str">
        <f t="shared" si="60"/>
        <v>Quantum Microprocessor</v>
      </c>
      <c r="M112" s="3">
        <f>'Component BP'!F331</f>
        <v>39870664.593000002</v>
      </c>
      <c r="O112" t="str">
        <f t="shared" si="61"/>
        <v>Manufacture</v>
      </c>
      <c r="Q112" s="2">
        <f t="shared" si="62"/>
        <v>39870664.593000002</v>
      </c>
      <c r="R112" s="2">
        <f t="shared" si="63"/>
        <v>39870664.593000002</v>
      </c>
    </row>
    <row r="113" spans="1:21" x14ac:dyDescent="0.25">
      <c r="A113" t="s">
        <v>159</v>
      </c>
      <c r="B113">
        <v>1500</v>
      </c>
      <c r="C113">
        <f t="shared" si="57"/>
        <v>4322</v>
      </c>
      <c r="E113" s="5"/>
      <c r="F113">
        <f t="shared" si="64"/>
        <v>4322</v>
      </c>
      <c r="H113" t="s">
        <v>159</v>
      </c>
      <c r="I113" s="22">
        <f t="shared" si="58"/>
        <v>11490</v>
      </c>
      <c r="J113" s="3">
        <f t="shared" si="59"/>
        <v>49659780</v>
      </c>
      <c r="L113" t="str">
        <f t="shared" si="60"/>
        <v>Titanium Diborite Armor Plate</v>
      </c>
      <c r="M113" s="3">
        <f>'Component BP'!F335</f>
        <v>42929250.623000003</v>
      </c>
      <c r="O113" t="str">
        <f t="shared" si="61"/>
        <v>Manufacture</v>
      </c>
      <c r="Q113" s="2">
        <f t="shared" si="62"/>
        <v>42929250.623000003</v>
      </c>
      <c r="R113" s="2">
        <f t="shared" si="63"/>
        <v>42929250.623000003</v>
      </c>
    </row>
    <row r="115" spans="1:21" x14ac:dyDescent="0.25">
      <c r="A115" t="s">
        <v>43</v>
      </c>
      <c r="B115">
        <v>15</v>
      </c>
      <c r="C115">
        <f>MAX(B115,(_xlfn.CEILING.MATH(ROUNDUP(B115*$D$32*((1-1%)*(1-2%)*(1-$B$72)),1),1)))</f>
        <v>15</v>
      </c>
      <c r="E115" s="5">
        <f>E85</f>
        <v>0</v>
      </c>
      <c r="F115">
        <f>IF(C115-E115&lt;0,0,(C115*$D$108)-E115)</f>
        <v>15</v>
      </c>
      <c r="H115" s="4">
        <f>F115*Pricing!$J$9</f>
        <v>628500</v>
      </c>
      <c r="L115" s="9" t="s">
        <v>36</v>
      </c>
      <c r="M115" s="3" t="s">
        <v>47</v>
      </c>
      <c r="R115" s="2">
        <f>SMALL(J116:M116,1)+T111</f>
        <v>122985271.197</v>
      </c>
    </row>
    <row r="116" spans="1:21" x14ac:dyDescent="0.25">
      <c r="A116" t="s">
        <v>44</v>
      </c>
      <c r="B116">
        <v>30</v>
      </c>
      <c r="C116">
        <f>MAX(B116,(_xlfn.CEILING.MATH(ROUNDUP(B116*$D$32*((1-1%)*(1-2%)*(1-$B$72)),1),1)))</f>
        <v>30</v>
      </c>
      <c r="E116" s="5">
        <f>E86</f>
        <v>0</v>
      </c>
      <c r="F116">
        <f>IF(C116-E116&lt;0,0,(C116*$D$78)-E116)</f>
        <v>120</v>
      </c>
      <c r="J116" s="3">
        <f>SUM(J107:J113)</f>
        <v>127663470</v>
      </c>
      <c r="L116" s="3">
        <f>SUM(M107:M113)</f>
        <v>114361021.34999999</v>
      </c>
      <c r="M116" s="16">
        <f>SUM(R107:R113)</f>
        <v>113634771.197</v>
      </c>
      <c r="P116" s="4"/>
      <c r="R116" s="22">
        <f>Pricing!J35</f>
        <v>39000000</v>
      </c>
      <c r="S116" t="str">
        <f>A106</f>
        <v>Flycatcher Requirements</v>
      </c>
    </row>
    <row r="117" spans="1:21" x14ac:dyDescent="0.25">
      <c r="A117" t="s">
        <v>104</v>
      </c>
      <c r="B117" s="31">
        <v>0.03</v>
      </c>
      <c r="C117" s="10" t="s">
        <v>199</v>
      </c>
      <c r="P117" s="8"/>
      <c r="R117" s="2">
        <f>(R116*(D106*D108))</f>
        <v>117000000</v>
      </c>
      <c r="S117" s="4">
        <f>R117-R115</f>
        <v>-5985271.1969999969</v>
      </c>
      <c r="T117" t="s">
        <v>45</v>
      </c>
    </row>
    <row r="118" spans="1:21" x14ac:dyDescent="0.25">
      <c r="K118" t="s">
        <v>37</v>
      </c>
      <c r="L118" s="4">
        <f>-1*(M116-J116)</f>
        <v>14028698.803000003</v>
      </c>
      <c r="R118" s="8">
        <f>((R117-R115)/R117)</f>
        <v>-5.1156164076923048E-2</v>
      </c>
      <c r="S118" s="8">
        <f>((R117-R115)/R117)</f>
        <v>-5.1156164076923048E-2</v>
      </c>
      <c r="T118" t="s">
        <v>45</v>
      </c>
    </row>
    <row r="119" spans="1:21" x14ac:dyDescent="0.25">
      <c r="K119" t="s">
        <v>38</v>
      </c>
      <c r="L119" s="8">
        <f>1-(M116/J116)</f>
        <v>0.10988812072082954</v>
      </c>
      <c r="R119" t="s">
        <v>45</v>
      </c>
      <c r="S119" s="4">
        <f>R115-T108-T109</f>
        <v>118773271.197</v>
      </c>
      <c r="T119" t="s">
        <v>297</v>
      </c>
    </row>
    <row r="120" spans="1:21" s="17" customFormat="1" x14ac:dyDescent="0.25">
      <c r="L120" s="19"/>
      <c r="M120" s="18"/>
    </row>
    <row r="121" spans="1:21" x14ac:dyDescent="0.25">
      <c r="A121" t="s">
        <v>290</v>
      </c>
      <c r="C121" s="32" t="s">
        <v>19</v>
      </c>
      <c r="D121" s="35">
        <v>1</v>
      </c>
      <c r="E121" t="s">
        <v>17</v>
      </c>
      <c r="F121" t="s">
        <v>18</v>
      </c>
      <c r="H121" t="s">
        <v>20</v>
      </c>
      <c r="I121" t="s">
        <v>26</v>
      </c>
      <c r="K121" t="s">
        <v>23</v>
      </c>
      <c r="L121" t="s">
        <v>32</v>
      </c>
      <c r="M121" s="7" t="s">
        <v>33</v>
      </c>
      <c r="O121" t="s">
        <v>31</v>
      </c>
      <c r="R121" t="s">
        <v>47</v>
      </c>
      <c r="S121" t="s">
        <v>289</v>
      </c>
      <c r="T121" s="2">
        <f>H130</f>
        <v>628500</v>
      </c>
    </row>
    <row r="122" spans="1:21" x14ac:dyDescent="0.25">
      <c r="A122" t="s">
        <v>153</v>
      </c>
      <c r="B122">
        <v>5</v>
      </c>
      <c r="C122">
        <f t="shared" ref="C122:C128" si="65">MAX(B122,(_xlfn.CEILING.MATH(ROUNDUP(B122*$D$121*((1-1%)*(1-$B$132)),1),1)))</f>
        <v>5</v>
      </c>
      <c r="D122" s="33" t="s">
        <v>97</v>
      </c>
      <c r="E122" s="5">
        <v>0</v>
      </c>
      <c r="F122">
        <f>IF(C122-E122&lt;0,0,(C122*$D$123)-E122)</f>
        <v>5</v>
      </c>
      <c r="H122" t="s">
        <v>153</v>
      </c>
      <c r="I122" s="22">
        <f t="shared" ref="I122:I128" si="66">I107</f>
        <v>82470</v>
      </c>
      <c r="J122" s="3">
        <f t="shared" ref="J122:J128" si="67">IF(F122&lt;0,0,(F122*I122))</f>
        <v>412350</v>
      </c>
      <c r="L122" t="str">
        <f t="shared" ref="L122:L128" si="68">H122</f>
        <v>Graviton Reactor Unit</v>
      </c>
      <c r="M122" s="3">
        <f>'Component BP'!F341</f>
        <v>469953.98000000004</v>
      </c>
      <c r="O122" t="str">
        <f t="shared" ref="O122:O128" si="69">IF(AND(J122=0,M122=0),"Not Necessary",IF(J122&lt;M122,$H$2,$L$2))</f>
        <v>Jita Buy Price</v>
      </c>
      <c r="Q122" s="2" t="str">
        <f t="shared" ref="Q122:Q128" si="70">IF(O122="Manufacture",M122,"")</f>
        <v/>
      </c>
      <c r="R122" s="2">
        <f t="shared" ref="R122:R128" si="71">SMALL(J122:M122,1)</f>
        <v>412350</v>
      </c>
      <c r="S122" t="s">
        <v>171</v>
      </c>
      <c r="T122" s="2">
        <v>1000000</v>
      </c>
    </row>
    <row r="123" spans="1:21" x14ac:dyDescent="0.25">
      <c r="A123" t="s">
        <v>154</v>
      </c>
      <c r="B123">
        <v>23</v>
      </c>
      <c r="C123">
        <f t="shared" si="65"/>
        <v>23</v>
      </c>
      <c r="D123" s="34">
        <v>1</v>
      </c>
      <c r="E123" s="5">
        <v>0</v>
      </c>
      <c r="F123">
        <f>IF(C123-E123&lt;0,0,(C123*$D$123)-E123)</f>
        <v>23</v>
      </c>
      <c r="H123" t="s">
        <v>154</v>
      </c>
      <c r="I123" s="22">
        <f t="shared" si="66"/>
        <v>37930</v>
      </c>
      <c r="J123" s="3">
        <f t="shared" si="67"/>
        <v>872390</v>
      </c>
      <c r="L123" t="str">
        <f t="shared" si="68"/>
        <v>Sustained Shield Emitter</v>
      </c>
      <c r="M123" s="3">
        <f>'Component BP'!F346</f>
        <v>706256.78599999996</v>
      </c>
      <c r="O123" t="str">
        <f t="shared" si="69"/>
        <v>Manufacture</v>
      </c>
      <c r="Q123" s="2">
        <f t="shared" si="70"/>
        <v>706256.78599999996</v>
      </c>
      <c r="R123" s="2">
        <f t="shared" si="71"/>
        <v>706256.78599999996</v>
      </c>
      <c r="S123" t="s">
        <v>77</v>
      </c>
      <c r="T123" s="4">
        <f>U123*(R131*(D121*D123))</f>
        <v>520199.99999999994</v>
      </c>
      <c r="U123" s="25">
        <v>3.5999999999999997E-2</v>
      </c>
    </row>
    <row r="124" spans="1:21" x14ac:dyDescent="0.25">
      <c r="A124" t="s">
        <v>155</v>
      </c>
      <c r="B124">
        <v>45</v>
      </c>
      <c r="C124">
        <f t="shared" si="65"/>
        <v>45</v>
      </c>
      <c r="E124" s="5">
        <v>0</v>
      </c>
      <c r="F124">
        <f t="shared" ref="F124:F127" si="72">IF(C124-E124&lt;0,0,(C124*$D$123)-E124)</f>
        <v>45</v>
      </c>
      <c r="H124" t="s">
        <v>155</v>
      </c>
      <c r="I124" s="22">
        <f t="shared" si="66"/>
        <v>28150</v>
      </c>
      <c r="J124" s="3">
        <f t="shared" si="67"/>
        <v>1266750</v>
      </c>
      <c r="L124" t="str">
        <f t="shared" si="68"/>
        <v>Magpulse Thruster</v>
      </c>
      <c r="M124" s="3">
        <f>'Component BP'!F351</f>
        <v>1339558.8999999999</v>
      </c>
      <c r="O124" t="str">
        <f t="shared" si="69"/>
        <v>Jita Buy Price</v>
      </c>
      <c r="Q124" s="2" t="str">
        <f t="shared" si="70"/>
        <v/>
      </c>
      <c r="R124" s="2">
        <f t="shared" si="71"/>
        <v>1266750</v>
      </c>
      <c r="S124" t="s">
        <v>172</v>
      </c>
      <c r="T124" s="4">
        <f>U124*(R131*(D121*D123))</f>
        <v>0</v>
      </c>
      <c r="U124" s="25">
        <v>0</v>
      </c>
    </row>
    <row r="125" spans="1:21" x14ac:dyDescent="0.25">
      <c r="A125" t="s">
        <v>156</v>
      </c>
      <c r="B125">
        <v>30</v>
      </c>
      <c r="C125">
        <f t="shared" si="65"/>
        <v>30</v>
      </c>
      <c r="E125" s="5">
        <v>0</v>
      </c>
      <c r="F125">
        <f t="shared" si="72"/>
        <v>30</v>
      </c>
      <c r="H125" t="s">
        <v>156</v>
      </c>
      <c r="I125" s="22">
        <f t="shared" si="66"/>
        <v>26800</v>
      </c>
      <c r="J125" s="3">
        <f t="shared" si="67"/>
        <v>804000</v>
      </c>
      <c r="L125" t="str">
        <f t="shared" si="68"/>
        <v>Gravimetric Sensor Cluster</v>
      </c>
      <c r="M125" s="3">
        <f>'Component BP'!F356</f>
        <v>557340.51900000009</v>
      </c>
      <c r="O125" t="str">
        <f t="shared" si="69"/>
        <v>Manufacture</v>
      </c>
      <c r="Q125" s="2">
        <f t="shared" si="70"/>
        <v>557340.51900000009</v>
      </c>
      <c r="R125" s="2">
        <f t="shared" si="71"/>
        <v>557340.51900000009</v>
      </c>
      <c r="S125" t="s">
        <v>173</v>
      </c>
      <c r="T125" s="4">
        <f>(R131*0.03*(D121*D123))</f>
        <v>433500</v>
      </c>
    </row>
    <row r="126" spans="1:21" x14ac:dyDescent="0.25">
      <c r="A126" t="s">
        <v>157</v>
      </c>
      <c r="B126">
        <v>75</v>
      </c>
      <c r="C126">
        <f t="shared" si="65"/>
        <v>75</v>
      </c>
      <c r="E126" s="5">
        <v>0</v>
      </c>
      <c r="F126">
        <f t="shared" si="72"/>
        <v>75</v>
      </c>
      <c r="H126" t="s">
        <v>157</v>
      </c>
      <c r="I126" s="22">
        <f t="shared" si="66"/>
        <v>34540</v>
      </c>
      <c r="J126" s="3">
        <f t="shared" si="67"/>
        <v>2590500</v>
      </c>
      <c r="L126" t="str">
        <f t="shared" si="68"/>
        <v>Scalar Capacitor Unit</v>
      </c>
      <c r="M126" s="3">
        <f>'Component BP'!F362</f>
        <v>2598774.9750000001</v>
      </c>
      <c r="O126" t="str">
        <f t="shared" si="69"/>
        <v>Jita Buy Price</v>
      </c>
      <c r="Q126" s="2" t="str">
        <f t="shared" si="70"/>
        <v/>
      </c>
      <c r="R126" s="2">
        <f t="shared" si="71"/>
        <v>2590500</v>
      </c>
      <c r="T126" s="4">
        <f>SUM(T121:T125)</f>
        <v>2582200</v>
      </c>
    </row>
    <row r="127" spans="1:21" x14ac:dyDescent="0.25">
      <c r="A127" t="s">
        <v>158</v>
      </c>
      <c r="B127">
        <v>120</v>
      </c>
      <c r="C127">
        <f t="shared" si="65"/>
        <v>120</v>
      </c>
      <c r="E127" s="5">
        <v>0</v>
      </c>
      <c r="F127">
        <f t="shared" si="72"/>
        <v>120</v>
      </c>
      <c r="H127" t="s">
        <v>158</v>
      </c>
      <c r="I127" s="22">
        <f t="shared" si="66"/>
        <v>42930</v>
      </c>
      <c r="J127" s="3">
        <f t="shared" si="67"/>
        <v>5151600</v>
      </c>
      <c r="L127" t="str">
        <f t="shared" si="68"/>
        <v>Quantum Microprocessor</v>
      </c>
      <c r="M127" s="3">
        <f>'Component BP'!F368</f>
        <v>4616206.4139999999</v>
      </c>
      <c r="O127" t="str">
        <f t="shared" si="69"/>
        <v>Manufacture</v>
      </c>
      <c r="Q127" s="2">
        <f t="shared" si="70"/>
        <v>4616206.4139999999</v>
      </c>
      <c r="R127" s="2">
        <f t="shared" si="71"/>
        <v>4616206.4139999999</v>
      </c>
    </row>
    <row r="128" spans="1:21" x14ac:dyDescent="0.25">
      <c r="A128" t="s">
        <v>159</v>
      </c>
      <c r="B128">
        <v>450</v>
      </c>
      <c r="C128">
        <f t="shared" si="65"/>
        <v>450</v>
      </c>
      <c r="E128" s="5">
        <v>0</v>
      </c>
      <c r="F128">
        <f>IF(C128-E128&lt;0,0,(C128*D123)-E128)</f>
        <v>450</v>
      </c>
      <c r="H128" t="s">
        <v>159</v>
      </c>
      <c r="I128" s="22">
        <f t="shared" si="66"/>
        <v>11490</v>
      </c>
      <c r="J128" s="3">
        <f t="shared" si="67"/>
        <v>5170500</v>
      </c>
      <c r="L128" t="str">
        <f t="shared" si="68"/>
        <v>Titanium Diborite Armor Plate</v>
      </c>
      <c r="M128" s="3">
        <f>'Component BP'!F372</f>
        <v>4469981.949</v>
      </c>
      <c r="O128" t="str">
        <f t="shared" si="69"/>
        <v>Manufacture</v>
      </c>
      <c r="Q128" s="2">
        <f t="shared" si="70"/>
        <v>4469981.949</v>
      </c>
      <c r="R128" s="2">
        <f t="shared" si="71"/>
        <v>4469981.949</v>
      </c>
    </row>
    <row r="130" spans="1:21" x14ac:dyDescent="0.25">
      <c r="A130" t="s">
        <v>43</v>
      </c>
      <c r="B130">
        <v>15</v>
      </c>
      <c r="C130">
        <f>MAX(B130,(_xlfn.CEILING.MATH(ROUNDUP(B130*$D$32*((1-1%)*(1-2%)*(1-$B$72)),1),1)))</f>
        <v>15</v>
      </c>
      <c r="E130" s="5">
        <f>E115</f>
        <v>0</v>
      </c>
      <c r="F130">
        <f>IF(C130-E130&lt;0,0,(C130*$D$123)-E130)</f>
        <v>15</v>
      </c>
      <c r="H130" s="4">
        <f>F130*Pricing!$J$9</f>
        <v>628500</v>
      </c>
      <c r="L130" s="9" t="s">
        <v>36</v>
      </c>
      <c r="M130" s="3" t="s">
        <v>47</v>
      </c>
      <c r="R130" s="2">
        <f>SMALL(J131:M131,1)+T126</f>
        <v>17201585.668000001</v>
      </c>
    </row>
    <row r="131" spans="1:21" x14ac:dyDescent="0.25">
      <c r="A131" t="s">
        <v>44</v>
      </c>
      <c r="B131">
        <v>30</v>
      </c>
      <c r="C131">
        <f>MAX(B131,(_xlfn.CEILING.MATH(ROUNDUP(B131*$D$32*((1-1%)*(1-2%)*(1-$B$72)),1),1)))</f>
        <v>30</v>
      </c>
      <c r="E131" s="5">
        <f>E116</f>
        <v>0</v>
      </c>
      <c r="F131">
        <f>IF(C131-E131&lt;0,0,(C131*$D$78)-E131)</f>
        <v>120</v>
      </c>
      <c r="J131" s="3">
        <f>SUM(J122:J128)</f>
        <v>16268090</v>
      </c>
      <c r="L131" s="3">
        <f>SUM(M122:M128)</f>
        <v>14758073.523000002</v>
      </c>
      <c r="M131" s="16">
        <f>SUM(R122:R128)</f>
        <v>14619385.668000001</v>
      </c>
      <c r="P131" s="4"/>
      <c r="R131" s="22">
        <f>Pricing!J39</f>
        <v>14450000</v>
      </c>
      <c r="S131" t="str">
        <f>A121</f>
        <v>Raptor Requirements</v>
      </c>
    </row>
    <row r="132" spans="1:21" x14ac:dyDescent="0.25">
      <c r="A132" t="s">
        <v>104</v>
      </c>
      <c r="B132" s="31">
        <v>0.03</v>
      </c>
      <c r="C132" s="10" t="s">
        <v>199</v>
      </c>
      <c r="P132" s="8"/>
      <c r="R132" s="2">
        <f>(R131*(D121*D123))</f>
        <v>14450000</v>
      </c>
      <c r="S132" s="4">
        <f>R132-R130</f>
        <v>-2751585.6680000015</v>
      </c>
      <c r="T132" t="s">
        <v>45</v>
      </c>
    </row>
    <row r="133" spans="1:21" x14ac:dyDescent="0.25">
      <c r="K133" t="s">
        <v>37</v>
      </c>
      <c r="L133" s="4">
        <f>-1*(M131-J131)</f>
        <v>1648704.3319999985</v>
      </c>
      <c r="R133" s="8">
        <f>((R132-R130)/R132)</f>
        <v>-0.19042115349480979</v>
      </c>
      <c r="S133" s="8">
        <f>((R132-R130)/R132)</f>
        <v>-0.19042115349480979</v>
      </c>
      <c r="T133" t="s">
        <v>45</v>
      </c>
    </row>
    <row r="134" spans="1:21" x14ac:dyDescent="0.25">
      <c r="K134" t="s">
        <v>38</v>
      </c>
      <c r="L134" s="8">
        <f>1-(M131/J131)</f>
        <v>0.10134590674135679</v>
      </c>
      <c r="R134" t="s">
        <v>45</v>
      </c>
      <c r="S134" s="4">
        <f>R130-T123-T124</f>
        <v>16681385.668000001</v>
      </c>
      <c r="T134" t="s">
        <v>297</v>
      </c>
    </row>
    <row r="135" spans="1:21" s="17" customFormat="1" x14ac:dyDescent="0.25">
      <c r="A135" s="48" t="s">
        <v>182</v>
      </c>
      <c r="L135" s="19"/>
      <c r="M135" s="18"/>
    </row>
    <row r="136" spans="1:21" x14ac:dyDescent="0.25">
      <c r="A136" t="s">
        <v>174</v>
      </c>
      <c r="C136" s="32" t="s">
        <v>19</v>
      </c>
      <c r="D136" s="35">
        <v>2</v>
      </c>
      <c r="E136" t="s">
        <v>17</v>
      </c>
      <c r="F136" t="s">
        <v>18</v>
      </c>
      <c r="H136" t="s">
        <v>20</v>
      </c>
      <c r="I136" t="s">
        <v>26</v>
      </c>
      <c r="K136" t="s">
        <v>23</v>
      </c>
      <c r="L136" t="s">
        <v>32</v>
      </c>
      <c r="M136" s="7" t="s">
        <v>33</v>
      </c>
      <c r="O136" t="s">
        <v>31</v>
      </c>
      <c r="R136" t="s">
        <v>47</v>
      </c>
      <c r="S136" t="s">
        <v>289</v>
      </c>
      <c r="T136" s="2">
        <f>H145</f>
        <v>1215100</v>
      </c>
    </row>
    <row r="137" spans="1:21" x14ac:dyDescent="0.25">
      <c r="A137" t="s">
        <v>175</v>
      </c>
      <c r="B137">
        <v>60</v>
      </c>
      <c r="C137">
        <f>MAX(B137,(_xlfn.CEILING.MATH(ROUNDUP(B137*$D$136*((1-1%)*(1-$B$147)),1),1)))</f>
        <v>116</v>
      </c>
      <c r="D137" s="33" t="s">
        <v>97</v>
      </c>
      <c r="E137" s="5">
        <v>0</v>
      </c>
      <c r="F137">
        <f>IF(C137-E137&lt;0,0,(C137*$D$138)-E137)</f>
        <v>116</v>
      </c>
      <c r="H137" t="s">
        <v>175</v>
      </c>
      <c r="I137" s="22">
        <f>Pricing!$B$20</f>
        <v>27000</v>
      </c>
      <c r="J137" s="3">
        <f>IF(F137&lt;0,0,(F137*I137))</f>
        <v>3132000</v>
      </c>
      <c r="L137" t="str">
        <f t="shared" ref="L137:L143" si="73">H137</f>
        <v>Plasma Thruster</v>
      </c>
      <c r="M137" s="3">
        <f>'Component BP'!F443</f>
        <v>3523943.12</v>
      </c>
      <c r="O137" t="str">
        <f t="shared" ref="O137:O143" si="74">IF(AND(J137=0,M137=0),"Not Necessary",IF(J137&lt;M137,$H$2,$L$2))</f>
        <v>Jita Buy Price</v>
      </c>
      <c r="Q137" s="2" t="str">
        <f>IF(O137="Manufacture",M137,"")</f>
        <v/>
      </c>
      <c r="R137" s="2">
        <f t="shared" ref="R137:R143" si="75">IF(O137="Jita Buy Price",J137,IF(O137="Manufacture",M137,""))</f>
        <v>3132000</v>
      </c>
      <c r="S137" t="s">
        <v>171</v>
      </c>
      <c r="T137" s="2">
        <v>1000000</v>
      </c>
    </row>
    <row r="138" spans="1:21" x14ac:dyDescent="0.25">
      <c r="A138" t="s">
        <v>176</v>
      </c>
      <c r="B138">
        <v>360</v>
      </c>
      <c r="C138">
        <f t="shared" ref="C138:C143" si="76">MAX(B138,(_xlfn.CEILING.MATH(ROUNDUP(B138*$D$136*((1-1%)*(1-$B$147)),1),1)))</f>
        <v>692</v>
      </c>
      <c r="D138" s="34">
        <v>1</v>
      </c>
      <c r="E138" s="5">
        <v>0</v>
      </c>
      <c r="F138">
        <f t="shared" ref="F138:F146" si="77">IF(C138-E138&lt;0,0,(C138*$D$138)-E138)</f>
        <v>692</v>
      </c>
      <c r="H138" t="s">
        <v>176</v>
      </c>
      <c r="I138" s="22">
        <f>Pricing!$B$21</f>
        <v>45480</v>
      </c>
      <c r="J138" s="3">
        <f t="shared" ref="J138:J143" si="78">IF(F138&lt;0,0,(F138*I138))</f>
        <v>31472160</v>
      </c>
      <c r="L138" t="str">
        <f t="shared" si="73"/>
        <v>Nanomechanical Microprocessor</v>
      </c>
      <c r="M138" s="3">
        <f>'Component BP'!F449</f>
        <v>24124003.272</v>
      </c>
      <c r="O138" t="str">
        <f t="shared" si="74"/>
        <v>Manufacture</v>
      </c>
      <c r="Q138" s="2">
        <f t="shared" ref="Q138:Q143" si="79">IF(O138="Manufacture",M138,"")</f>
        <v>24124003.272</v>
      </c>
      <c r="R138" s="2">
        <f t="shared" si="75"/>
        <v>24124003.272</v>
      </c>
      <c r="S138" t="s">
        <v>77</v>
      </c>
      <c r="T138" s="4">
        <f>U138*(R146*(D136*D138))</f>
        <v>2520000</v>
      </c>
      <c r="U138" s="25">
        <v>3.5999999999999997E-2</v>
      </c>
    </row>
    <row r="139" spans="1:21" x14ac:dyDescent="0.25">
      <c r="A139" t="s">
        <v>177</v>
      </c>
      <c r="B139">
        <v>1500</v>
      </c>
      <c r="C139">
        <f t="shared" si="76"/>
        <v>2881</v>
      </c>
      <c r="E139" s="5">
        <v>0</v>
      </c>
      <c r="F139">
        <f>IF(C139-E139&lt;0,0,(C139*$D$138)-E139)</f>
        <v>2881</v>
      </c>
      <c r="H139" t="s">
        <v>177</v>
      </c>
      <c r="I139" s="22">
        <f>Pricing!$B$22</f>
        <v>9112</v>
      </c>
      <c r="J139" s="3">
        <f t="shared" si="78"/>
        <v>26251672</v>
      </c>
      <c r="L139" t="str">
        <f t="shared" si="73"/>
        <v>Fernite Carbide Composite AP</v>
      </c>
      <c r="M139" s="3">
        <f>'Component BP'!F453</f>
        <v>58714449.600000001</v>
      </c>
      <c r="O139" t="str">
        <f t="shared" si="74"/>
        <v>Jita Buy Price</v>
      </c>
      <c r="Q139" s="2" t="str">
        <f t="shared" si="79"/>
        <v/>
      </c>
      <c r="R139" s="2">
        <f t="shared" si="75"/>
        <v>26251672</v>
      </c>
      <c r="S139" t="s">
        <v>172</v>
      </c>
      <c r="T139" s="4">
        <f>U139*(R146*(D136*D138))</f>
        <v>0</v>
      </c>
      <c r="U139" s="25">
        <v>0</v>
      </c>
    </row>
    <row r="140" spans="1:21" x14ac:dyDescent="0.25">
      <c r="A140" t="s">
        <v>178</v>
      </c>
      <c r="B140">
        <v>75</v>
      </c>
      <c r="C140">
        <f t="shared" si="76"/>
        <v>145</v>
      </c>
      <c r="E140" s="5">
        <v>0</v>
      </c>
      <c r="F140">
        <f t="shared" si="77"/>
        <v>145</v>
      </c>
      <c r="H140" t="s">
        <v>178</v>
      </c>
      <c r="I140" s="22">
        <f>Pricing!$B$23</f>
        <v>17950</v>
      </c>
      <c r="J140" s="3">
        <f t="shared" si="78"/>
        <v>2602750</v>
      </c>
      <c r="L140" t="str">
        <f t="shared" si="73"/>
        <v>Ladar Sensor Cluster</v>
      </c>
      <c r="M140" s="3">
        <f>'Component BP'!F458</f>
        <v>2610963.48</v>
      </c>
      <c r="O140" t="str">
        <f t="shared" si="74"/>
        <v>Jita Buy Price</v>
      </c>
      <c r="Q140" s="2" t="str">
        <f t="shared" si="79"/>
        <v/>
      </c>
      <c r="R140" s="2">
        <f t="shared" si="75"/>
        <v>2602750</v>
      </c>
      <c r="S140" t="s">
        <v>173</v>
      </c>
      <c r="T140" s="4">
        <f>(R146*0.03*(D136*D138))</f>
        <v>2100000</v>
      </c>
    </row>
    <row r="141" spans="1:21" x14ac:dyDescent="0.25">
      <c r="A141" t="s">
        <v>179</v>
      </c>
      <c r="B141">
        <v>38</v>
      </c>
      <c r="C141">
        <f t="shared" si="76"/>
        <v>73</v>
      </c>
      <c r="E141" s="5">
        <v>0</v>
      </c>
      <c r="F141">
        <f t="shared" si="77"/>
        <v>73</v>
      </c>
      <c r="H141" t="s">
        <v>179</v>
      </c>
      <c r="I141" s="22">
        <f>Pricing!$B$24</f>
        <v>33000</v>
      </c>
      <c r="J141" s="3">
        <f t="shared" si="78"/>
        <v>2409000</v>
      </c>
      <c r="L141" t="str">
        <f t="shared" si="73"/>
        <v>Deflection Shield Emitter</v>
      </c>
      <c r="M141" s="3">
        <f>'Component BP'!F463</f>
        <v>2887767.74</v>
      </c>
      <c r="O141" t="str">
        <f t="shared" si="74"/>
        <v>Jita Buy Price</v>
      </c>
      <c r="Q141" s="2" t="str">
        <f t="shared" si="79"/>
        <v/>
      </c>
      <c r="R141" s="2">
        <f t="shared" si="75"/>
        <v>2409000</v>
      </c>
      <c r="T141" s="4">
        <f>SUM(T136:T140)</f>
        <v>6835100</v>
      </c>
    </row>
    <row r="142" spans="1:21" x14ac:dyDescent="0.25">
      <c r="A142" t="s">
        <v>180</v>
      </c>
      <c r="B142">
        <v>15</v>
      </c>
      <c r="C142">
        <f t="shared" si="76"/>
        <v>29</v>
      </c>
      <c r="E142" s="5">
        <v>0</v>
      </c>
      <c r="F142">
        <f t="shared" si="77"/>
        <v>29</v>
      </c>
      <c r="H142" t="s">
        <v>180</v>
      </c>
      <c r="I142" s="22">
        <f>Pricing!$B$25</f>
        <v>71000</v>
      </c>
      <c r="J142" s="3">
        <f t="shared" si="78"/>
        <v>2059000</v>
      </c>
      <c r="L142" t="str">
        <f t="shared" si="73"/>
        <v>Nuclear Reactor Unit</v>
      </c>
      <c r="M142" s="3">
        <f>'Component BP'!F467</f>
        <v>2657690.46</v>
      </c>
      <c r="O142" t="str">
        <f t="shared" si="74"/>
        <v>Jita Buy Price</v>
      </c>
      <c r="Q142" s="2" t="str">
        <f t="shared" si="79"/>
        <v/>
      </c>
      <c r="R142" s="2">
        <f t="shared" si="75"/>
        <v>2059000</v>
      </c>
    </row>
    <row r="143" spans="1:21" x14ac:dyDescent="0.25">
      <c r="A143" t="s">
        <v>181</v>
      </c>
      <c r="B143">
        <v>150</v>
      </c>
      <c r="C143">
        <f t="shared" si="76"/>
        <v>289</v>
      </c>
      <c r="E143" s="5">
        <v>0</v>
      </c>
      <c r="F143">
        <f t="shared" si="77"/>
        <v>289</v>
      </c>
      <c r="H143" t="s">
        <v>181</v>
      </c>
      <c r="I143" s="22">
        <f>Pricing!$B$26</f>
        <v>31950</v>
      </c>
      <c r="J143" s="3">
        <f t="shared" si="78"/>
        <v>9233550</v>
      </c>
      <c r="L143" t="str">
        <f t="shared" si="73"/>
        <v>Electrolytic Capacitor Unit</v>
      </c>
      <c r="M143" s="3">
        <f>'Component BP'!F473</f>
        <v>10720815.152000001</v>
      </c>
      <c r="O143" t="str">
        <f t="shared" si="74"/>
        <v>Jita Buy Price</v>
      </c>
      <c r="Q143" s="2" t="str">
        <f t="shared" si="79"/>
        <v/>
      </c>
      <c r="R143" s="2">
        <f t="shared" si="75"/>
        <v>9233550</v>
      </c>
    </row>
    <row r="145" spans="1:21" x14ac:dyDescent="0.25">
      <c r="A145" t="s">
        <v>43</v>
      </c>
      <c r="B145">
        <v>15</v>
      </c>
      <c r="C145">
        <f>MAX(B145,(_xlfn.CEILING.MATH(ROUNDUP(B145*$D$136*((1-1%)*(1-2%)*(1-$B$147)),1),1)))</f>
        <v>29</v>
      </c>
      <c r="E145" s="5">
        <f>E85</f>
        <v>0</v>
      </c>
      <c r="F145">
        <f>IF(C145-E145&lt;0,0,(C145*D138)-E145)</f>
        <v>29</v>
      </c>
      <c r="H145" s="4">
        <f>F145*Pricing!$J$9</f>
        <v>1215100</v>
      </c>
      <c r="L145" s="9" t="s">
        <v>36</v>
      </c>
      <c r="M145" s="3" t="s">
        <v>47</v>
      </c>
      <c r="R145" s="2">
        <f>SMALL(J146:M146,1)+T141</f>
        <v>76647075.272</v>
      </c>
    </row>
    <row r="146" spans="1:21" x14ac:dyDescent="0.25">
      <c r="A146" t="s">
        <v>44</v>
      </c>
      <c r="B146">
        <v>23</v>
      </c>
      <c r="C146">
        <f>MAX(B146,(_xlfn.CEILING.MATH(ROUNDUP(B146*$D$136*((1-1%)*(1-2%)*(1-$B$147)),1),1)))</f>
        <v>44</v>
      </c>
      <c r="E146" s="5">
        <f>E86</f>
        <v>0</v>
      </c>
      <c r="F146">
        <f t="shared" si="77"/>
        <v>44</v>
      </c>
      <c r="J146" s="3">
        <f>SUM(J137:J143)</f>
        <v>77160132</v>
      </c>
      <c r="L146" s="3">
        <f>SUM(M137:M143)</f>
        <v>105239632.82399999</v>
      </c>
      <c r="M146" s="16">
        <f>SUM(R137:R143)</f>
        <v>69811975.272</v>
      </c>
      <c r="P146" s="4"/>
      <c r="R146" s="22">
        <f>Pricing!J40</f>
        <v>35000000</v>
      </c>
      <c r="S146" t="str">
        <f>A136</f>
        <v>Sabre Requirements</v>
      </c>
    </row>
    <row r="147" spans="1:21" x14ac:dyDescent="0.25">
      <c r="A147" t="s">
        <v>104</v>
      </c>
      <c r="B147" s="31">
        <v>0.03</v>
      </c>
      <c r="C147" s="10" t="s">
        <v>199</v>
      </c>
      <c r="K147" t="s">
        <v>38</v>
      </c>
      <c r="L147" s="8">
        <f>1-(M146/J146)</f>
        <v>9.5232557767008452E-2</v>
      </c>
      <c r="P147" s="8"/>
      <c r="R147" s="2">
        <f>(R146*(D136*D138))</f>
        <v>70000000</v>
      </c>
      <c r="S147" s="4">
        <f>R147-R145</f>
        <v>-6647075.2719999999</v>
      </c>
      <c r="T147" t="s">
        <v>45</v>
      </c>
    </row>
    <row r="148" spans="1:21" x14ac:dyDescent="0.25">
      <c r="B148" s="29"/>
      <c r="C148" s="10"/>
      <c r="L148" s="8"/>
      <c r="P148" s="8"/>
      <c r="R148" s="2"/>
      <c r="S148" s="8">
        <f>((R147-R145)/R147)</f>
        <v>-9.4958218171428563E-2</v>
      </c>
      <c r="T148" t="s">
        <v>45</v>
      </c>
    </row>
    <row r="149" spans="1:21" x14ac:dyDescent="0.25">
      <c r="B149" s="29"/>
      <c r="C149" s="10"/>
      <c r="L149" s="8"/>
      <c r="P149" s="8"/>
      <c r="R149" s="2"/>
      <c r="S149" s="4">
        <f>R145-T138-T139</f>
        <v>74127075.272</v>
      </c>
      <c r="T149" t="s">
        <v>297</v>
      </c>
    </row>
    <row r="150" spans="1:21" s="17" customFormat="1" x14ac:dyDescent="0.25">
      <c r="B150" s="56"/>
      <c r="C150" s="53"/>
      <c r="L150" s="19"/>
      <c r="M150" s="18"/>
      <c r="P150" s="19"/>
      <c r="R150" s="30"/>
      <c r="S150" s="54"/>
    </row>
    <row r="151" spans="1:21" x14ac:dyDescent="0.25">
      <c r="A151" t="s">
        <v>365</v>
      </c>
      <c r="B151" t="s">
        <v>103</v>
      </c>
      <c r="C151" s="32" t="s">
        <v>19</v>
      </c>
      <c r="D151" s="35">
        <v>4</v>
      </c>
      <c r="E151" t="s">
        <v>17</v>
      </c>
      <c r="F151" t="s">
        <v>18</v>
      </c>
      <c r="H151" t="s">
        <v>20</v>
      </c>
      <c r="I151" t="s">
        <v>26</v>
      </c>
      <c r="K151" t="s">
        <v>23</v>
      </c>
      <c r="L151" t="s">
        <v>195</v>
      </c>
      <c r="M151" s="7" t="s">
        <v>33</v>
      </c>
      <c r="O151" t="s">
        <v>31</v>
      </c>
      <c r="R151" t="s">
        <v>47</v>
      </c>
      <c r="S151" t="s">
        <v>289</v>
      </c>
      <c r="T151" s="2">
        <f>H160</f>
        <v>2430200</v>
      </c>
    </row>
    <row r="152" spans="1:21" x14ac:dyDescent="0.25">
      <c r="A152" t="s">
        <v>175</v>
      </c>
      <c r="B152">
        <v>3</v>
      </c>
      <c r="C152">
        <f t="shared" ref="C152:C158" si="80">MAX(B152,(_xlfn.CEILING.MATH(ROUNDUP(B152*$D$2*((1-1%)*(1-$B$13)),1),1)))</f>
        <v>12</v>
      </c>
      <c r="D152" s="33" t="s">
        <v>97</v>
      </c>
      <c r="E152" s="5">
        <v>0</v>
      </c>
      <c r="F152">
        <f>IF(C152-E152&lt;0,0,(C152*D$153)-E152)</f>
        <v>108</v>
      </c>
      <c r="H152" t="str">
        <f t="shared" ref="H152:H158" si="81">A152</f>
        <v>Plasma Thruster</v>
      </c>
      <c r="I152" s="22">
        <f t="shared" ref="I152:I158" si="82">I137</f>
        <v>27000</v>
      </c>
      <c r="J152" s="3">
        <f t="shared" ref="J152:J158" si="83">IF(F152=0,E152*I152,IF(F152&lt;0,0,(F152*I152)))</f>
        <v>2916000</v>
      </c>
      <c r="L152" t="str">
        <f t="shared" ref="L152:L158" si="84">H152</f>
        <v>Plasma Thruster</v>
      </c>
      <c r="M152" s="3">
        <f>'Component BP'!F480</f>
        <v>3280834.2800000003</v>
      </c>
      <c r="O152" t="str">
        <f t="shared" ref="O152:O158" si="85">IF(AND(J152=0,M152=0),"Not Necessary",IF(J152&lt;M152,$H$2,$L$2))</f>
        <v>Jita Buy Price</v>
      </c>
      <c r="Q152" s="2" t="str">
        <f t="shared" ref="Q152:Q158" si="86">IF(O152="Manufacture",M152,"")</f>
        <v/>
      </c>
      <c r="R152" s="2">
        <f t="shared" ref="R152:R158" si="87">SMALL(J152:M152,1)</f>
        <v>2916000</v>
      </c>
      <c r="S152" t="s">
        <v>171</v>
      </c>
      <c r="T152" s="2">
        <v>1000000</v>
      </c>
    </row>
    <row r="153" spans="1:21" x14ac:dyDescent="0.25">
      <c r="A153" t="s">
        <v>176</v>
      </c>
      <c r="B153">
        <v>30</v>
      </c>
      <c r="C153">
        <f t="shared" si="80"/>
        <v>116</v>
      </c>
      <c r="D153" s="34">
        <v>9</v>
      </c>
      <c r="E153" s="5">
        <v>0</v>
      </c>
      <c r="F153">
        <f>IF(C153-E153&lt;0,0,(C153*D$153)-E153)</f>
        <v>1044</v>
      </c>
      <c r="H153" t="str">
        <f t="shared" si="81"/>
        <v>Nanomechanical Microprocessor</v>
      </c>
      <c r="I153" s="22">
        <f t="shared" si="82"/>
        <v>45480</v>
      </c>
      <c r="J153" s="3">
        <f t="shared" si="83"/>
        <v>47481120</v>
      </c>
      <c r="L153" t="str">
        <f t="shared" si="84"/>
        <v>Nanomechanical Microprocessor</v>
      </c>
      <c r="M153" s="3">
        <f>'Component BP'!F486</f>
        <v>36395243.640000001</v>
      </c>
      <c r="O153" t="str">
        <f t="shared" si="85"/>
        <v>Manufacture</v>
      </c>
      <c r="Q153" s="2">
        <f t="shared" si="86"/>
        <v>36395243.640000001</v>
      </c>
      <c r="R153" s="2">
        <f t="shared" si="87"/>
        <v>36395243.640000001</v>
      </c>
      <c r="S153" t="s">
        <v>77</v>
      </c>
      <c r="T153" s="4">
        <f>U153*(R161*(D151*D153))</f>
        <v>19504800</v>
      </c>
      <c r="U153" s="25">
        <v>3.5999999999999997E-2</v>
      </c>
    </row>
    <row r="154" spans="1:21" x14ac:dyDescent="0.25">
      <c r="A154" t="s">
        <v>177</v>
      </c>
      <c r="B154">
        <v>15</v>
      </c>
      <c r="C154">
        <f t="shared" si="80"/>
        <v>58</v>
      </c>
      <c r="E154" s="5">
        <v>0</v>
      </c>
      <c r="F154">
        <f t="shared" ref="F154:F158" si="88">IF(C154-E154&lt;0,0,(C154*D$153)-E154)</f>
        <v>522</v>
      </c>
      <c r="H154" t="str">
        <f t="shared" si="81"/>
        <v>Fernite Carbide Composite AP</v>
      </c>
      <c r="I154" s="22">
        <f t="shared" si="82"/>
        <v>9112</v>
      </c>
      <c r="J154" s="3">
        <f t="shared" si="83"/>
        <v>4756464</v>
      </c>
      <c r="L154" t="str">
        <f t="shared" si="84"/>
        <v>Fernite Carbide Composite AP</v>
      </c>
      <c r="M154" s="3">
        <f>'Component BP'!F490</f>
        <v>10638705.200000001</v>
      </c>
      <c r="O154" t="str">
        <f t="shared" si="85"/>
        <v>Jita Buy Price</v>
      </c>
      <c r="Q154" s="2" t="str">
        <f t="shared" si="86"/>
        <v/>
      </c>
      <c r="R154" s="2">
        <f t="shared" si="87"/>
        <v>4756464</v>
      </c>
      <c r="S154" t="s">
        <v>172</v>
      </c>
      <c r="T154" s="4">
        <f>U154*(R161*(D151*D153))</f>
        <v>0</v>
      </c>
      <c r="U154" s="25">
        <v>0</v>
      </c>
    </row>
    <row r="155" spans="1:21" x14ac:dyDescent="0.25">
      <c r="A155" t="s">
        <v>178</v>
      </c>
      <c r="B155">
        <v>165</v>
      </c>
      <c r="C155">
        <f t="shared" si="80"/>
        <v>634</v>
      </c>
      <c r="D155">
        <f>D153*D151</f>
        <v>36</v>
      </c>
      <c r="E155" s="5">
        <v>0</v>
      </c>
      <c r="F155">
        <f t="shared" si="88"/>
        <v>5706</v>
      </c>
      <c r="H155" t="str">
        <f t="shared" si="81"/>
        <v>Ladar Sensor Cluster</v>
      </c>
      <c r="I155" s="22">
        <f t="shared" si="82"/>
        <v>17950</v>
      </c>
      <c r="J155" s="3">
        <f t="shared" si="83"/>
        <v>102422700</v>
      </c>
      <c r="L155" t="str">
        <f t="shared" si="84"/>
        <v>Ladar Sensor Cluster</v>
      </c>
      <c r="M155" s="3">
        <f>'Component BP'!F495</f>
        <v>102549919.87</v>
      </c>
      <c r="O155" t="str">
        <f t="shared" si="85"/>
        <v>Jita Buy Price</v>
      </c>
      <c r="Q155" s="2" t="str">
        <f t="shared" si="86"/>
        <v/>
      </c>
      <c r="R155" s="2">
        <f t="shared" si="87"/>
        <v>102422700</v>
      </c>
      <c r="S155" t="s">
        <v>173</v>
      </c>
      <c r="T155" s="4">
        <f>(R161*0.03*(D151*D153))</f>
        <v>16254000</v>
      </c>
    </row>
    <row r="156" spans="1:21" x14ac:dyDescent="0.25">
      <c r="A156" t="s">
        <v>179</v>
      </c>
      <c r="B156">
        <v>68</v>
      </c>
      <c r="C156">
        <f t="shared" si="80"/>
        <v>262</v>
      </c>
      <c r="E156" s="5">
        <v>0</v>
      </c>
      <c r="F156">
        <f t="shared" si="88"/>
        <v>2358</v>
      </c>
      <c r="H156" t="str">
        <f t="shared" si="81"/>
        <v>Deflection Shield Emitter</v>
      </c>
      <c r="I156" s="22">
        <f t="shared" si="82"/>
        <v>33000</v>
      </c>
      <c r="J156" s="3">
        <f t="shared" si="83"/>
        <v>77814000</v>
      </c>
      <c r="L156" t="str">
        <f t="shared" si="84"/>
        <v>Deflection Shield Emitter</v>
      </c>
      <c r="M156" s="3">
        <f>'Component BP'!F500</f>
        <v>93260501.280000001</v>
      </c>
      <c r="O156" t="str">
        <f t="shared" si="85"/>
        <v>Jita Buy Price</v>
      </c>
      <c r="Q156" s="2" t="str">
        <f t="shared" si="86"/>
        <v/>
      </c>
      <c r="R156" s="2">
        <f t="shared" si="87"/>
        <v>77814000</v>
      </c>
      <c r="T156" s="4">
        <f>SUM(T151:T155)</f>
        <v>39189000</v>
      </c>
    </row>
    <row r="157" spans="1:21" x14ac:dyDescent="0.25">
      <c r="A157" t="s">
        <v>180</v>
      </c>
      <c r="B157">
        <v>60</v>
      </c>
      <c r="C157">
        <f t="shared" si="80"/>
        <v>231</v>
      </c>
      <c r="E157" s="5">
        <v>0</v>
      </c>
      <c r="F157">
        <f t="shared" si="88"/>
        <v>2079</v>
      </c>
      <c r="H157" t="str">
        <f t="shared" si="81"/>
        <v>Nuclear Reactor Unit</v>
      </c>
      <c r="I157" s="22">
        <f t="shared" si="82"/>
        <v>71000</v>
      </c>
      <c r="J157" s="3">
        <f t="shared" si="83"/>
        <v>147609000</v>
      </c>
      <c r="L157" t="str">
        <f t="shared" si="84"/>
        <v>Nuclear Reactor Unit</v>
      </c>
      <c r="M157" s="3">
        <f>'Component BP'!F504</f>
        <v>189232903.98000002</v>
      </c>
      <c r="O157" t="str">
        <f t="shared" si="85"/>
        <v>Jita Buy Price</v>
      </c>
      <c r="Q157" s="2" t="str">
        <f t="shared" si="86"/>
        <v/>
      </c>
      <c r="R157" s="2">
        <f t="shared" si="87"/>
        <v>147609000</v>
      </c>
    </row>
    <row r="158" spans="1:21" x14ac:dyDescent="0.25">
      <c r="A158" t="s">
        <v>181</v>
      </c>
      <c r="B158">
        <v>300</v>
      </c>
      <c r="C158">
        <f t="shared" si="80"/>
        <v>1153</v>
      </c>
      <c r="E158" s="5">
        <v>0</v>
      </c>
      <c r="F158">
        <f t="shared" si="88"/>
        <v>10377</v>
      </c>
      <c r="H158" t="str">
        <f t="shared" si="81"/>
        <v>Electrolytic Capacitor Unit</v>
      </c>
      <c r="I158" s="22">
        <f t="shared" si="82"/>
        <v>31950</v>
      </c>
      <c r="J158" s="3">
        <f t="shared" si="83"/>
        <v>331545150</v>
      </c>
      <c r="L158" t="str">
        <f t="shared" si="84"/>
        <v>Electrolytic Capacitor Unit</v>
      </c>
      <c r="M158" s="3">
        <f>'Component BP'!F510</f>
        <v>384793682.38199997</v>
      </c>
      <c r="O158" t="str">
        <f t="shared" si="85"/>
        <v>Jita Buy Price</v>
      </c>
      <c r="Q158" s="2" t="str">
        <f t="shared" si="86"/>
        <v/>
      </c>
      <c r="R158" s="2">
        <f t="shared" si="87"/>
        <v>331545150</v>
      </c>
    </row>
    <row r="160" spans="1:21" x14ac:dyDescent="0.25">
      <c r="A160" t="s">
        <v>43</v>
      </c>
      <c r="B160">
        <v>15</v>
      </c>
      <c r="C160">
        <f>MAX(B160,(_xlfn.CEILING.MATH(ROUNDUP(B160*$D$2*((1-1%)*(1-$B$13)),1),1)))</f>
        <v>58</v>
      </c>
      <c r="E160" s="5">
        <v>0</v>
      </c>
      <c r="F160">
        <f>IF(C160-E160&lt;0,0,(C160*$D$4)-E160)</f>
        <v>522</v>
      </c>
      <c r="H160" s="4">
        <f>C160*Pricing!$J$9</f>
        <v>2430200</v>
      </c>
      <c r="L160" s="9" t="s">
        <v>36</v>
      </c>
      <c r="M160" s="3" t="s">
        <v>47</v>
      </c>
      <c r="R160" s="2">
        <f>SMALL(J161:M161,1)+T156</f>
        <v>742647557.63999999</v>
      </c>
    </row>
    <row r="161" spans="1:21" x14ac:dyDescent="0.25">
      <c r="A161" t="s">
        <v>44</v>
      </c>
      <c r="B161">
        <v>23</v>
      </c>
      <c r="C161">
        <f>MAX(B161,(_xlfn.CEILING.MATH(ROUNDUP(B161*$D$2*((1-1%)*(1-$B$13)),1),1)))</f>
        <v>89</v>
      </c>
      <c r="E161" s="5">
        <v>0</v>
      </c>
      <c r="F161">
        <f>IF(C161-E161&lt;0,0,C161-E161)</f>
        <v>89</v>
      </c>
      <c r="H161" s="4"/>
      <c r="J161" s="3">
        <f>SUM(J152:J158)</f>
        <v>714544434</v>
      </c>
      <c r="L161" s="3">
        <f>SUM(M152:M158)</f>
        <v>820151790.63199997</v>
      </c>
      <c r="M161" s="16">
        <f>SUM(R152:R158)</f>
        <v>703458557.63999999</v>
      </c>
      <c r="O161" s="4"/>
      <c r="P161" s="4"/>
      <c r="R161" s="22">
        <f>Pricing!J41</f>
        <v>15050000</v>
      </c>
      <c r="S161" t="str">
        <f>A151</f>
        <v>Hound  Requirements</v>
      </c>
    </row>
    <row r="162" spans="1:21" x14ac:dyDescent="0.25">
      <c r="A162" t="s">
        <v>104</v>
      </c>
      <c r="B162" s="31">
        <v>0.03</v>
      </c>
      <c r="C162" s="29"/>
      <c r="P162" s="8"/>
      <c r="R162" s="2">
        <f>(R161*(D151*D153))</f>
        <v>541800000</v>
      </c>
      <c r="S162" s="4">
        <f>R162-R160</f>
        <v>-200847557.63999999</v>
      </c>
      <c r="T162" t="s">
        <v>45</v>
      </c>
    </row>
    <row r="163" spans="1:21" x14ac:dyDescent="0.25">
      <c r="A163" s="10"/>
      <c r="C163" s="10" t="s">
        <v>199</v>
      </c>
      <c r="K163" t="s">
        <v>37</v>
      </c>
      <c r="L163" s="4">
        <f>-1*(M161-J161)</f>
        <v>11085876.360000014</v>
      </c>
      <c r="S163" s="8">
        <f>((R162-R160)/R162)</f>
        <v>-0.37070424075304537</v>
      </c>
      <c r="T163" t="s">
        <v>45</v>
      </c>
    </row>
    <row r="164" spans="1:21" x14ac:dyDescent="0.25">
      <c r="K164" t="s">
        <v>38</v>
      </c>
      <c r="L164" s="8">
        <f>1-(M161/J161)</f>
        <v>1.5514607395290425E-2</v>
      </c>
      <c r="S164" s="4">
        <f>R160-T153-T154</f>
        <v>723142757.63999999</v>
      </c>
      <c r="T164" t="s">
        <v>297</v>
      </c>
    </row>
    <row r="165" spans="1:21" s="17" customFormat="1" x14ac:dyDescent="0.25">
      <c r="A165" s="48" t="s">
        <v>194</v>
      </c>
      <c r="K165" s="19" t="s">
        <v>37</v>
      </c>
      <c r="L165" s="17">
        <f>-1*(M146-J146)</f>
        <v>7348156.7280000001</v>
      </c>
      <c r="M165" s="18"/>
      <c r="R165" s="17">
        <f>((R147-R145)/R147)</f>
        <v>-9.4958218171428563E-2</v>
      </c>
    </row>
    <row r="166" spans="1:21" x14ac:dyDescent="0.25">
      <c r="A166" t="s">
        <v>239</v>
      </c>
      <c r="C166" s="32" t="s">
        <v>19</v>
      </c>
      <c r="D166" s="35">
        <v>4</v>
      </c>
      <c r="E166" t="s">
        <v>17</v>
      </c>
      <c r="F166" t="s">
        <v>18</v>
      </c>
      <c r="H166" t="s">
        <v>20</v>
      </c>
      <c r="I166" t="s">
        <v>26</v>
      </c>
      <c r="K166" t="s">
        <v>23</v>
      </c>
      <c r="L166" t="s">
        <v>32</v>
      </c>
      <c r="M166" s="7" t="s">
        <v>33</v>
      </c>
      <c r="O166" t="s">
        <v>31</v>
      </c>
      <c r="R166" t="s">
        <v>47</v>
      </c>
      <c r="S166" t="s">
        <v>289</v>
      </c>
      <c r="T166" s="2">
        <f>H175</f>
        <v>28282500</v>
      </c>
    </row>
    <row r="167" spans="1:21" x14ac:dyDescent="0.25">
      <c r="A167" t="s">
        <v>247</v>
      </c>
      <c r="B167">
        <v>200</v>
      </c>
      <c r="C167">
        <f t="shared" ref="C167:C173" si="89">MAX(B167,(_xlfn.CEILING.MATH(ROUNDUP(B167*$D$166*((1-1%)*(1-$B$177)),1),1)))</f>
        <v>769</v>
      </c>
      <c r="D167" s="33" t="s">
        <v>97</v>
      </c>
      <c r="E167" s="5"/>
      <c r="F167">
        <f>IF(((C167*$D$168)-E167)&lt;0,0,(C167*$D$168)-E167)</f>
        <v>3845</v>
      </c>
      <c r="H167" t="s">
        <v>241</v>
      </c>
      <c r="I167" s="22">
        <f>Pricing!$B$29</f>
        <v>11380</v>
      </c>
      <c r="J167" s="3">
        <f t="shared" ref="J167:J173" si="90">IF(F167&lt;0,0,(F167*I167))</f>
        <v>43756100</v>
      </c>
      <c r="L167" t="s">
        <v>247</v>
      </c>
      <c r="M167" s="3">
        <f>'Component BP'!F516</f>
        <v>36852621.629000001</v>
      </c>
      <c r="O167" t="str">
        <f t="shared" ref="O167:O173" si="91">IF(AND(J167=0,M167=0),"Not Necessary",IF(J167&lt;M167,$H$2,$L$2))</f>
        <v>Manufacture</v>
      </c>
      <c r="Q167" s="2">
        <f>IF(O167="Manufacture",M167,"")</f>
        <v>36852621.629000001</v>
      </c>
      <c r="R167" s="2">
        <f t="shared" ref="R167:R173" si="92">IF(O167="Jita Buy Price",J167,IF(O167="Manufacture",M167,""))</f>
        <v>36852621.629000001</v>
      </c>
      <c r="S167" t="s">
        <v>171</v>
      </c>
      <c r="T167" s="2">
        <v>1000000</v>
      </c>
    </row>
    <row r="168" spans="1:21" x14ac:dyDescent="0.25">
      <c r="A168" t="s">
        <v>242</v>
      </c>
      <c r="B168">
        <v>3</v>
      </c>
      <c r="C168">
        <f t="shared" si="89"/>
        <v>12</v>
      </c>
      <c r="D168" s="34">
        <v>5</v>
      </c>
      <c r="E168" s="5">
        <v>60</v>
      </c>
      <c r="F168">
        <f t="shared" ref="F168:F173" si="93">IF(((C168*$D$168)-E168)&lt;0,0,(C168*$D$168)-E168)</f>
        <v>0</v>
      </c>
      <c r="H168" t="s">
        <v>242</v>
      </c>
      <c r="I168" s="22">
        <f>Pricing!$B$30</f>
        <v>76280</v>
      </c>
      <c r="J168" s="3">
        <f t="shared" si="90"/>
        <v>0</v>
      </c>
      <c r="L168" t="str">
        <f t="shared" ref="L168:L173" si="94">H168</f>
        <v>Fusion Reactor Unit</v>
      </c>
      <c r="M168" s="3">
        <f>'Component BP'!F520</f>
        <v>0</v>
      </c>
      <c r="O168" t="str">
        <f t="shared" si="91"/>
        <v>Not Necessary</v>
      </c>
      <c r="Q168" s="2" t="str">
        <f t="shared" ref="Q168:Q173" si="95">IF(O168="Manufacture",M168,"")</f>
        <v/>
      </c>
      <c r="R168" s="2" t="str">
        <f t="shared" si="92"/>
        <v/>
      </c>
      <c r="S168" t="s">
        <v>77</v>
      </c>
      <c r="T168" s="4">
        <f>U168*(R176*(D166*D168))</f>
        <v>10872000</v>
      </c>
      <c r="U168" s="25">
        <v>3.5999999999999997E-2</v>
      </c>
    </row>
    <row r="169" spans="1:21" x14ac:dyDescent="0.25">
      <c r="A169" t="s">
        <v>240</v>
      </c>
      <c r="B169">
        <v>18</v>
      </c>
      <c r="C169">
        <f t="shared" si="89"/>
        <v>70</v>
      </c>
      <c r="E169" s="5"/>
      <c r="F169">
        <f t="shared" si="93"/>
        <v>350</v>
      </c>
      <c r="H169" t="s">
        <v>240</v>
      </c>
      <c r="I169" s="22">
        <f>Pricing!$B$31</f>
        <v>31420</v>
      </c>
      <c r="J169" s="3">
        <f t="shared" si="90"/>
        <v>10997000</v>
      </c>
      <c r="L169" t="str">
        <f t="shared" si="94"/>
        <v>Ion Thruster</v>
      </c>
      <c r="M169" s="3">
        <f>'Component BP'!F525</f>
        <v>10693905.269000001</v>
      </c>
      <c r="O169" t="str">
        <f t="shared" si="91"/>
        <v>Manufacture</v>
      </c>
      <c r="Q169" s="2">
        <f t="shared" si="95"/>
        <v>10693905.269000001</v>
      </c>
      <c r="R169" s="2">
        <f t="shared" si="92"/>
        <v>10693905.269000001</v>
      </c>
      <c r="S169" t="s">
        <v>172</v>
      </c>
      <c r="T169" s="4">
        <f>U169*(R176*(D166*D168))</f>
        <v>0</v>
      </c>
      <c r="U169" s="25">
        <v>0</v>
      </c>
    </row>
    <row r="170" spans="1:21" x14ac:dyDescent="0.25">
      <c r="A170" t="s">
        <v>246</v>
      </c>
      <c r="B170">
        <v>15</v>
      </c>
      <c r="C170">
        <f t="shared" si="89"/>
        <v>58</v>
      </c>
      <c r="E170" s="5"/>
      <c r="F170">
        <f t="shared" si="93"/>
        <v>290</v>
      </c>
      <c r="H170" t="s">
        <v>246</v>
      </c>
      <c r="I170" s="22">
        <f>Pricing!$B$32</f>
        <v>19100</v>
      </c>
      <c r="J170" s="3">
        <f t="shared" si="90"/>
        <v>5539000</v>
      </c>
      <c r="L170" t="str">
        <f t="shared" si="94"/>
        <v>Magnetometric Sensor Cluster</v>
      </c>
      <c r="M170" s="3">
        <f>'Component BP'!F530</f>
        <v>5302066.2129999995</v>
      </c>
      <c r="O170" t="str">
        <f t="shared" si="91"/>
        <v>Manufacture</v>
      </c>
      <c r="Q170" s="2">
        <f t="shared" si="95"/>
        <v>5302066.2129999995</v>
      </c>
      <c r="R170" s="2">
        <f t="shared" si="92"/>
        <v>5302066.2129999995</v>
      </c>
      <c r="S170" t="s">
        <v>173</v>
      </c>
      <c r="T170" s="4">
        <f>(R176*0.03*(D166*D168))</f>
        <v>9060000</v>
      </c>
    </row>
    <row r="171" spans="1:21" x14ac:dyDescent="0.25">
      <c r="A171" t="s">
        <v>243</v>
      </c>
      <c r="B171">
        <v>42</v>
      </c>
      <c r="C171">
        <f t="shared" si="89"/>
        <v>162</v>
      </c>
      <c r="E171" s="5"/>
      <c r="F171">
        <f t="shared" si="93"/>
        <v>810</v>
      </c>
      <c r="H171" t="s">
        <v>243</v>
      </c>
      <c r="I171" s="22">
        <f>Pricing!$B$33</f>
        <v>38800</v>
      </c>
      <c r="J171" s="3">
        <f t="shared" si="90"/>
        <v>31428000</v>
      </c>
      <c r="L171" t="str">
        <f t="shared" si="94"/>
        <v>Oscillator Capacitor</v>
      </c>
      <c r="M171" s="3">
        <f>'Component BP'!F536</f>
        <v>25484928.573000003</v>
      </c>
      <c r="O171" t="str">
        <f t="shared" si="91"/>
        <v>Manufacture</v>
      </c>
      <c r="Q171" s="2">
        <f t="shared" si="95"/>
        <v>25484928.573000003</v>
      </c>
      <c r="R171" s="2">
        <f t="shared" si="92"/>
        <v>25484928.573000003</v>
      </c>
      <c r="T171" s="4">
        <f>SUM(T166:T170)</f>
        <v>49214500</v>
      </c>
    </row>
    <row r="172" spans="1:21" x14ac:dyDescent="0.25">
      <c r="A172" t="s">
        <v>244</v>
      </c>
      <c r="B172">
        <v>170</v>
      </c>
      <c r="C172">
        <f t="shared" si="89"/>
        <v>654</v>
      </c>
      <c r="E172" s="5"/>
      <c r="F172">
        <f t="shared" si="93"/>
        <v>3270</v>
      </c>
      <c r="H172" t="s">
        <v>244</v>
      </c>
      <c r="I172" s="22">
        <f>Pricing!$B$34</f>
        <v>45040</v>
      </c>
      <c r="J172" s="3">
        <f t="shared" si="90"/>
        <v>147280800</v>
      </c>
      <c r="L172" t="str">
        <f t="shared" si="94"/>
        <v>Photon Microprocessor</v>
      </c>
      <c r="M172" s="3">
        <f>'Component BP'!F542</f>
        <v>115440846.86299999</v>
      </c>
      <c r="O172" t="str">
        <f t="shared" si="91"/>
        <v>Manufacture</v>
      </c>
      <c r="Q172" s="2">
        <f t="shared" si="95"/>
        <v>115440846.86299999</v>
      </c>
      <c r="R172" s="2">
        <f t="shared" si="92"/>
        <v>115440846.86299999</v>
      </c>
    </row>
    <row r="173" spans="1:21" x14ac:dyDescent="0.25">
      <c r="A173" t="s">
        <v>245</v>
      </c>
      <c r="B173">
        <v>22</v>
      </c>
      <c r="C173">
        <f t="shared" si="89"/>
        <v>85</v>
      </c>
      <c r="E173" s="5"/>
      <c r="F173">
        <f t="shared" si="93"/>
        <v>425</v>
      </c>
      <c r="H173" t="s">
        <v>245</v>
      </c>
      <c r="I173" s="22">
        <f>Pricing!$B$35</f>
        <v>37110</v>
      </c>
      <c r="J173" s="3">
        <f t="shared" si="90"/>
        <v>15771750</v>
      </c>
      <c r="L173" t="str">
        <f t="shared" si="94"/>
        <v>Pulse Shield Emitter</v>
      </c>
      <c r="M173" s="3">
        <f>'Component BP'!F547</f>
        <v>12974413.025</v>
      </c>
      <c r="O173" t="str">
        <f t="shared" si="91"/>
        <v>Manufacture</v>
      </c>
      <c r="Q173" s="2">
        <f t="shared" si="95"/>
        <v>12974413.025</v>
      </c>
      <c r="R173" s="2">
        <f t="shared" si="92"/>
        <v>12974413.025</v>
      </c>
    </row>
    <row r="175" spans="1:21" x14ac:dyDescent="0.25">
      <c r="A175" t="s">
        <v>43</v>
      </c>
      <c r="B175">
        <v>35</v>
      </c>
      <c r="C175">
        <f>MAX(B175,(_xlfn.CEILING.MATH(ROUNDUP(B175*$D$166*((1-1%)*(1-$B$177)),1),1)))</f>
        <v>135</v>
      </c>
      <c r="E175" s="5">
        <f>E143</f>
        <v>0</v>
      </c>
      <c r="F175">
        <f>IF(C175-E175&lt;0,0,(C175*D168)-E175)</f>
        <v>675</v>
      </c>
      <c r="H175" s="4">
        <f>F175*Pricing!$J$9</f>
        <v>28282500</v>
      </c>
      <c r="L175" s="9" t="s">
        <v>36</v>
      </c>
      <c r="M175" s="3" t="s">
        <v>47</v>
      </c>
      <c r="R175" s="2">
        <f>SMALL(J176:M176,1)+T171</f>
        <v>255963281.572</v>
      </c>
    </row>
    <row r="176" spans="1:21" x14ac:dyDescent="0.25">
      <c r="A176" t="s">
        <v>44</v>
      </c>
      <c r="B176" s="61"/>
      <c r="C176" s="61"/>
      <c r="E176" s="5">
        <f>E144</f>
        <v>0</v>
      </c>
      <c r="F176">
        <f>IF(C176-E176&lt;0,0,(C176*$D$138)-E176)</f>
        <v>0</v>
      </c>
      <c r="J176" s="3">
        <f>SUM(J167:J173)</f>
        <v>254772650</v>
      </c>
      <c r="L176" s="3">
        <f>SUM(M167:M173)</f>
        <v>206748781.572</v>
      </c>
      <c r="M176" s="16">
        <f>SUM(R167:R173)</f>
        <v>206748781.572</v>
      </c>
      <c r="P176" s="4"/>
      <c r="R176" s="22">
        <f>Pricing!J42</f>
        <v>15100000</v>
      </c>
      <c r="S176" t="str">
        <f>A166</f>
        <v>Prospect Requirements</v>
      </c>
    </row>
    <row r="177" spans="1:21" x14ac:dyDescent="0.25">
      <c r="A177" t="s">
        <v>104</v>
      </c>
      <c r="B177" s="31">
        <v>0.03</v>
      </c>
      <c r="C177" s="10" t="s">
        <v>199</v>
      </c>
      <c r="K177" t="s">
        <v>38</v>
      </c>
      <c r="L177" s="8">
        <f>1-(M176/J176)</f>
        <v>0.18849695376642672</v>
      </c>
      <c r="P177" s="8"/>
      <c r="R177" s="2">
        <f>(R176*(D166*D168))</f>
        <v>302000000</v>
      </c>
      <c r="S177" s="4">
        <f>R177-R175</f>
        <v>46036718.428000003</v>
      </c>
      <c r="T177" t="s">
        <v>45</v>
      </c>
    </row>
    <row r="178" spans="1:21" x14ac:dyDescent="0.25">
      <c r="S178" s="8">
        <f>((R177-R175)/R177)</f>
        <v>0.15243946499337749</v>
      </c>
      <c r="T178" t="s">
        <v>45</v>
      </c>
    </row>
    <row r="179" spans="1:21" x14ac:dyDescent="0.25">
      <c r="S179" s="4">
        <f>R175-T168-T169</f>
        <v>245091281.572</v>
      </c>
      <c r="T179" t="s">
        <v>297</v>
      </c>
    </row>
    <row r="180" spans="1:21" s="17" customFormat="1" x14ac:dyDescent="0.25">
      <c r="M180" s="18"/>
    </row>
    <row r="181" spans="1:21" x14ac:dyDescent="0.25">
      <c r="A181" t="s">
        <v>298</v>
      </c>
      <c r="C181" s="32" t="s">
        <v>19</v>
      </c>
      <c r="D181" s="35">
        <v>4</v>
      </c>
      <c r="E181" t="s">
        <v>17</v>
      </c>
      <c r="F181" t="s">
        <v>18</v>
      </c>
      <c r="H181" t="s">
        <v>20</v>
      </c>
      <c r="I181" t="s">
        <v>26</v>
      </c>
      <c r="K181" t="s">
        <v>23</v>
      </c>
      <c r="L181" t="s">
        <v>32</v>
      </c>
      <c r="M181" s="7" t="s">
        <v>33</v>
      </c>
      <c r="O181" t="s">
        <v>31</v>
      </c>
      <c r="R181" t="s">
        <v>47</v>
      </c>
      <c r="S181" t="s">
        <v>289</v>
      </c>
      <c r="T181" s="2">
        <f>H190</f>
        <v>9720800</v>
      </c>
    </row>
    <row r="182" spans="1:21" x14ac:dyDescent="0.25">
      <c r="A182" t="s">
        <v>247</v>
      </c>
      <c r="B182">
        <v>300</v>
      </c>
      <c r="C182">
        <f>MAX(B182,(_xlfn.CEILING.MATH(ROUNDUP(B182*$D$181*((1-1%)*(1-$B$192)),1),1)))</f>
        <v>1153</v>
      </c>
      <c r="D182" s="33" t="s">
        <v>97</v>
      </c>
      <c r="E182" s="5"/>
      <c r="F182">
        <f>IF((C182*$D$183)-E182&lt;0,0,(C182*$D$183)-E182)</f>
        <v>4612</v>
      </c>
      <c r="H182" t="s">
        <v>241</v>
      </c>
      <c r="I182" s="22">
        <f>Pricing!$B$29</f>
        <v>11380</v>
      </c>
      <c r="J182" s="3">
        <f>IF(F182&lt;0,0,(F182*I182))</f>
        <v>52484560</v>
      </c>
      <c r="L182" t="s">
        <v>247</v>
      </c>
      <c r="M182" s="3">
        <f>'Component BP'!F553</f>
        <v>44203885.717</v>
      </c>
      <c r="O182" t="str">
        <f t="shared" ref="O182:O188" si="96">IF(AND(J182=0,M182=0),"Not Necessary",IF(J182&lt;M182,$H$2,$L$2))</f>
        <v>Manufacture</v>
      </c>
      <c r="Q182" s="2">
        <f>IF(O182="Manufacture",M182,"")</f>
        <v>44203885.717</v>
      </c>
      <c r="R182" s="2">
        <f t="shared" ref="R182:R188" si="97">IF(O182="Jita Buy Price",J182,IF(O182="Manufacture",M182,""))</f>
        <v>44203885.717</v>
      </c>
      <c r="S182" t="s">
        <v>171</v>
      </c>
      <c r="T182" s="2">
        <v>1000000</v>
      </c>
    </row>
    <row r="183" spans="1:21" x14ac:dyDescent="0.25">
      <c r="A183" t="s">
        <v>242</v>
      </c>
      <c r="B183">
        <v>3</v>
      </c>
      <c r="C183">
        <f t="shared" ref="C183:C190" si="98">MAX(B183,(_xlfn.CEILING.MATH(ROUNDUP(B183*$D$181*((1-1%)*(1-$B$192)),1),1)))</f>
        <v>12</v>
      </c>
      <c r="D183" s="34">
        <v>4</v>
      </c>
      <c r="E183" s="5"/>
      <c r="F183">
        <f>IF((C183*$D$183)-E183&lt;0,0,(C183*$D$183)-E183)</f>
        <v>48</v>
      </c>
      <c r="G183">
        <f>F183+F168</f>
        <v>48</v>
      </c>
      <c r="H183" t="s">
        <v>242</v>
      </c>
      <c r="I183" s="22">
        <f>Pricing!$B$30</f>
        <v>76280</v>
      </c>
      <c r="J183" s="3">
        <f t="shared" ref="J183:J188" si="99">IF(F183&lt;0,0,(F183*I183))</f>
        <v>3661440</v>
      </c>
      <c r="L183" t="str">
        <f t="shared" ref="L183:L188" si="100">H183</f>
        <v>Fusion Reactor Unit</v>
      </c>
      <c r="M183" s="3">
        <f>'Component BP'!F557</f>
        <v>4383617.9939999999</v>
      </c>
      <c r="O183" t="str">
        <f t="shared" si="96"/>
        <v>Jita Buy Price</v>
      </c>
      <c r="Q183" s="2" t="str">
        <f t="shared" ref="Q183:Q188" si="101">IF(O183="Manufacture",M183,"")</f>
        <v/>
      </c>
      <c r="R183" s="2">
        <f t="shared" si="97"/>
        <v>3661440</v>
      </c>
      <c r="S183" t="s">
        <v>77</v>
      </c>
      <c r="T183" s="4">
        <f>U183*(R191*(D181*D183))</f>
        <v>8553600</v>
      </c>
      <c r="U183" s="25">
        <v>3.5999999999999997E-2</v>
      </c>
    </row>
    <row r="184" spans="1:21" x14ac:dyDescent="0.25">
      <c r="A184" t="s">
        <v>240</v>
      </c>
      <c r="B184">
        <v>30</v>
      </c>
      <c r="C184">
        <f t="shared" si="98"/>
        <v>116</v>
      </c>
      <c r="E184" s="5"/>
      <c r="F184">
        <f>IF((C184*$D$183)-E184&lt;0,0,(C184*$D$183)-E184)</f>
        <v>464</v>
      </c>
      <c r="H184" t="s">
        <v>240</v>
      </c>
      <c r="I184" s="22">
        <f>Pricing!$B$31</f>
        <v>31420</v>
      </c>
      <c r="J184" s="3">
        <f t="shared" si="99"/>
        <v>14578880</v>
      </c>
      <c r="L184" t="str">
        <f t="shared" si="100"/>
        <v>Ion Thruster</v>
      </c>
      <c r="M184" s="3">
        <f>'Component BP'!F562</f>
        <v>14177705.684</v>
      </c>
      <c r="O184" t="str">
        <f t="shared" si="96"/>
        <v>Manufacture</v>
      </c>
      <c r="Q184" s="2">
        <f t="shared" si="101"/>
        <v>14177705.684</v>
      </c>
      <c r="R184" s="2">
        <f t="shared" si="97"/>
        <v>14177705.684</v>
      </c>
      <c r="S184" t="s">
        <v>172</v>
      </c>
      <c r="T184" s="4">
        <f>U184*(R191*(D181*D183))</f>
        <v>0</v>
      </c>
      <c r="U184" s="25">
        <v>0</v>
      </c>
    </row>
    <row r="185" spans="1:21" x14ac:dyDescent="0.25">
      <c r="A185" t="s">
        <v>246</v>
      </c>
      <c r="B185">
        <v>68</v>
      </c>
      <c r="C185">
        <f t="shared" si="98"/>
        <v>262</v>
      </c>
      <c r="E185" s="5"/>
      <c r="F185">
        <f t="shared" ref="F185:F188" si="102">IF((C185*$D$183)-E185&lt;0,0,(C185*$D$183)-E185)</f>
        <v>1048</v>
      </c>
      <c r="H185" t="s">
        <v>246</v>
      </c>
      <c r="I185" s="22">
        <f>Pricing!$B$32</f>
        <v>19100</v>
      </c>
      <c r="J185" s="3">
        <f t="shared" si="99"/>
        <v>20016800</v>
      </c>
      <c r="L185" t="str">
        <f t="shared" si="100"/>
        <v>Magnetometric Sensor Cluster</v>
      </c>
      <c r="M185" s="3">
        <f>'Component BP'!F567</f>
        <v>19153075.879000001</v>
      </c>
      <c r="O185" t="str">
        <f t="shared" si="96"/>
        <v>Manufacture</v>
      </c>
      <c r="Q185" s="2">
        <f t="shared" si="101"/>
        <v>19153075.879000001</v>
      </c>
      <c r="R185" s="2">
        <f t="shared" si="97"/>
        <v>19153075.879000001</v>
      </c>
      <c r="S185" t="s">
        <v>173</v>
      </c>
      <c r="T185" s="4">
        <f>(R191*0.03*(D181*D183))</f>
        <v>7128000</v>
      </c>
    </row>
    <row r="186" spans="1:21" x14ac:dyDescent="0.25">
      <c r="A186" t="s">
        <v>243</v>
      </c>
      <c r="B186">
        <v>60</v>
      </c>
      <c r="C186">
        <f t="shared" si="98"/>
        <v>231</v>
      </c>
      <c r="E186" s="5"/>
      <c r="F186">
        <f t="shared" si="102"/>
        <v>924</v>
      </c>
      <c r="H186" t="s">
        <v>243</v>
      </c>
      <c r="I186" s="22">
        <f>Pricing!$B$33</f>
        <v>38800</v>
      </c>
      <c r="J186" s="3">
        <f t="shared" si="99"/>
        <v>35851200</v>
      </c>
      <c r="L186" t="str">
        <f t="shared" si="100"/>
        <v>Oscillator Capacitor</v>
      </c>
      <c r="M186" s="3">
        <f>'Component BP'!F573</f>
        <v>29070165.756999999</v>
      </c>
      <c r="O186" t="str">
        <f t="shared" si="96"/>
        <v>Manufacture</v>
      </c>
      <c r="Q186" s="2">
        <f t="shared" si="101"/>
        <v>29070165.756999999</v>
      </c>
      <c r="R186" s="2">
        <f t="shared" si="97"/>
        <v>29070165.756999999</v>
      </c>
      <c r="T186" s="4">
        <f>SUM(T181:T185)</f>
        <v>26402400</v>
      </c>
    </row>
    <row r="187" spans="1:21" x14ac:dyDescent="0.25">
      <c r="A187" t="s">
        <v>244</v>
      </c>
      <c r="B187">
        <v>165</v>
      </c>
      <c r="C187">
        <f t="shared" si="98"/>
        <v>634</v>
      </c>
      <c r="E187" s="5"/>
      <c r="F187">
        <f t="shared" si="102"/>
        <v>2536</v>
      </c>
      <c r="H187" t="s">
        <v>244</v>
      </c>
      <c r="I187" s="22">
        <f>Pricing!$B$34</f>
        <v>45040</v>
      </c>
      <c r="J187" s="3">
        <f t="shared" si="99"/>
        <v>114221440</v>
      </c>
      <c r="L187" t="str">
        <f t="shared" si="100"/>
        <v>Photon Microprocessor</v>
      </c>
      <c r="M187" s="3">
        <f>'Component BP'!F579</f>
        <v>89528049.594999999</v>
      </c>
      <c r="O187" t="str">
        <f t="shared" si="96"/>
        <v>Manufacture</v>
      </c>
      <c r="Q187" s="2">
        <f t="shared" si="101"/>
        <v>89528049.594999999</v>
      </c>
      <c r="R187" s="2">
        <f t="shared" si="97"/>
        <v>89528049.594999999</v>
      </c>
    </row>
    <row r="188" spans="1:21" x14ac:dyDescent="0.25">
      <c r="A188" t="s">
        <v>245</v>
      </c>
      <c r="B188">
        <v>15</v>
      </c>
      <c r="C188">
        <f t="shared" si="98"/>
        <v>58</v>
      </c>
      <c r="E188" s="5"/>
      <c r="F188">
        <f t="shared" si="102"/>
        <v>232</v>
      </c>
      <c r="H188" t="s">
        <v>245</v>
      </c>
      <c r="I188" s="22">
        <f>Pricing!$B$35</f>
        <v>37110</v>
      </c>
      <c r="J188" s="3">
        <f t="shared" si="99"/>
        <v>8609520</v>
      </c>
      <c r="L188" t="str">
        <f t="shared" si="100"/>
        <v>Pulse Shield Emitter</v>
      </c>
      <c r="M188" s="3">
        <f>'Component BP'!F584</f>
        <v>7082739.6890000002</v>
      </c>
      <c r="O188" t="str">
        <f t="shared" si="96"/>
        <v>Manufacture</v>
      </c>
      <c r="Q188" s="2">
        <f t="shared" si="101"/>
        <v>7082739.6890000002</v>
      </c>
      <c r="R188" s="2">
        <f t="shared" si="97"/>
        <v>7082739.6890000002</v>
      </c>
    </row>
    <row r="190" spans="1:21" x14ac:dyDescent="0.25">
      <c r="A190" t="s">
        <v>43</v>
      </c>
      <c r="B190">
        <v>15</v>
      </c>
      <c r="C190">
        <f t="shared" si="98"/>
        <v>58</v>
      </c>
      <c r="E190" s="5">
        <v>0</v>
      </c>
      <c r="F190">
        <f>IF(C190-E190&lt;0,0,(C190*$D$183)-E190)</f>
        <v>232</v>
      </c>
      <c r="H190" s="4">
        <f>F190*Pricing!$J$9</f>
        <v>9720800</v>
      </c>
      <c r="L190" s="9" t="s">
        <v>36</v>
      </c>
      <c r="M190" s="3" t="s">
        <v>47</v>
      </c>
      <c r="R190" s="2">
        <f>SMALL(J191:M191,1)+T186</f>
        <v>233279462.32100001</v>
      </c>
    </row>
    <row r="191" spans="1:21" x14ac:dyDescent="0.25">
      <c r="A191" t="s">
        <v>44</v>
      </c>
      <c r="E191" s="5">
        <f>E174</f>
        <v>0</v>
      </c>
      <c r="F191">
        <f>IF(C191-E191&lt;0,0,(C191*$D$198)-E191)</f>
        <v>0</v>
      </c>
      <c r="J191" s="3">
        <f>SUM(J182:J188)</f>
        <v>249423840</v>
      </c>
      <c r="L191" s="3">
        <f>SUM(M182:M188)</f>
        <v>207599240.315</v>
      </c>
      <c r="M191" s="16">
        <f>SUM(R182:R188)</f>
        <v>206877062.32100001</v>
      </c>
      <c r="P191" s="4"/>
      <c r="R191" s="22">
        <f>Pricing!J43</f>
        <v>14850000</v>
      </c>
      <c r="S191" t="str">
        <f>A181</f>
        <v>Helios Requirements</v>
      </c>
    </row>
    <row r="192" spans="1:21" x14ac:dyDescent="0.25">
      <c r="A192" t="s">
        <v>104</v>
      </c>
      <c r="B192" s="31">
        <v>0.03</v>
      </c>
      <c r="C192" s="10" t="s">
        <v>199</v>
      </c>
      <c r="K192" t="s">
        <v>38</v>
      </c>
      <c r="L192" s="8">
        <f>1-(M191/J191)</f>
        <v>0.17058023675282996</v>
      </c>
      <c r="P192" s="8"/>
      <c r="R192" s="2">
        <f>(R191*(D181*D183))</f>
        <v>237600000</v>
      </c>
      <c r="S192" s="4">
        <f>R192-R190</f>
        <v>4320537.6789999902</v>
      </c>
      <c r="T192" t="s">
        <v>45</v>
      </c>
    </row>
    <row r="193" spans="1:21" x14ac:dyDescent="0.25">
      <c r="S193" s="8">
        <f>((R192-R190)/R192)</f>
        <v>1.818408114057235E-2</v>
      </c>
      <c r="T193" t="s">
        <v>45</v>
      </c>
    </row>
    <row r="194" spans="1:21" x14ac:dyDescent="0.25">
      <c r="S194" s="4">
        <f>R190-T183-T184</f>
        <v>224725862.32100001</v>
      </c>
      <c r="T194" t="s">
        <v>297</v>
      </c>
    </row>
    <row r="195" spans="1:21" s="17" customFormat="1" x14ac:dyDescent="0.25">
      <c r="M195" s="18"/>
    </row>
    <row r="196" spans="1:21" x14ac:dyDescent="0.25">
      <c r="A196" t="s">
        <v>300</v>
      </c>
      <c r="C196" s="32" t="s">
        <v>19</v>
      </c>
      <c r="D196" s="35">
        <v>4</v>
      </c>
      <c r="E196" t="s">
        <v>17</v>
      </c>
      <c r="F196" t="s">
        <v>18</v>
      </c>
      <c r="H196" t="s">
        <v>20</v>
      </c>
      <c r="I196" t="s">
        <v>26</v>
      </c>
      <c r="K196" t="s">
        <v>23</v>
      </c>
      <c r="L196" t="s">
        <v>32</v>
      </c>
      <c r="M196" s="7" t="s">
        <v>33</v>
      </c>
      <c r="O196" t="s">
        <v>31</v>
      </c>
      <c r="R196" t="s">
        <v>47</v>
      </c>
      <c r="S196" t="s">
        <v>289</v>
      </c>
      <c r="T196" s="2">
        <f>H205</f>
        <v>24469600</v>
      </c>
    </row>
    <row r="197" spans="1:21" x14ac:dyDescent="0.25">
      <c r="A197" t="s">
        <v>247</v>
      </c>
      <c r="B197">
        <v>300</v>
      </c>
      <c r="C197">
        <f>MAX(B197,(_xlfn.CEILING.MATH(ROUNDUP(B197*$D$196*((1-1%)*(1-$B$207)),1),1)))</f>
        <v>1153</v>
      </c>
      <c r="D197" s="33" t="s">
        <v>97</v>
      </c>
      <c r="E197" s="5">
        <v>0</v>
      </c>
      <c r="F197">
        <f>IF(C197-E197&lt;0,0,(C197*$D$198)-E197)</f>
        <v>4612</v>
      </c>
      <c r="H197" t="s">
        <v>241</v>
      </c>
      <c r="I197" s="22">
        <f>Pricing!$B$29</f>
        <v>11380</v>
      </c>
      <c r="J197" s="3">
        <f>IF(F197&lt;0,0,(F197*I197))</f>
        <v>52484560</v>
      </c>
      <c r="L197" t="s">
        <v>247</v>
      </c>
      <c r="M197" s="3">
        <f>'Component BP'!F590</f>
        <v>44203885.717</v>
      </c>
      <c r="O197" t="str">
        <f t="shared" ref="O197:O203" si="103">IF(AND(J197=0,M197=0),"Not Necessary",IF(J197&lt;M197,$H$2,$L$2))</f>
        <v>Manufacture</v>
      </c>
      <c r="Q197" s="2">
        <f>IF(O197="Manufacture",M197,"")</f>
        <v>44203885.717</v>
      </c>
      <c r="R197" s="2">
        <f t="shared" ref="R197:R203" si="104">IF(O197="Jita Buy Price",J197,IF(O197="Manufacture",M197,""))</f>
        <v>44203885.717</v>
      </c>
      <c r="S197" t="s">
        <v>171</v>
      </c>
      <c r="T197" s="2">
        <v>1000000</v>
      </c>
    </row>
    <row r="198" spans="1:21" x14ac:dyDescent="0.25">
      <c r="A198" t="s">
        <v>242</v>
      </c>
      <c r="B198">
        <v>6</v>
      </c>
      <c r="C198">
        <f t="shared" ref="C198:C205" si="105">MAX(B198,(_xlfn.CEILING.MATH(ROUNDUP(B198*$D$196*((1-1%)*(1-$B$207)),1),1)))</f>
        <v>24</v>
      </c>
      <c r="D198" s="34">
        <v>4</v>
      </c>
      <c r="E198" s="5">
        <v>0</v>
      </c>
      <c r="F198">
        <f>IF(C198-E198&lt;0,0,(C198*$D$198)-E198)</f>
        <v>96</v>
      </c>
      <c r="H198" t="s">
        <v>242</v>
      </c>
      <c r="I198" s="22">
        <f>Pricing!$B$30</f>
        <v>76280</v>
      </c>
      <c r="J198" s="3">
        <f t="shared" ref="J198:J203" si="106">IF(F198&lt;0,0,(F198*I198))</f>
        <v>7322880</v>
      </c>
      <c r="L198" t="str">
        <f t="shared" ref="L198:L203" si="107">H198</f>
        <v>Fusion Reactor Unit</v>
      </c>
      <c r="M198" s="3">
        <f>'Component BP'!F594</f>
        <v>8767072.1150000002</v>
      </c>
      <c r="O198" t="str">
        <f t="shared" si="103"/>
        <v>Jita Buy Price</v>
      </c>
      <c r="Q198" s="2" t="str">
        <f t="shared" ref="Q198:Q203" si="108">IF(O198="Manufacture",M198,"")</f>
        <v/>
      </c>
      <c r="R198" s="2">
        <f t="shared" si="104"/>
        <v>7322880</v>
      </c>
      <c r="S198" t="s">
        <v>77</v>
      </c>
      <c r="T198" s="4">
        <f>U198*(R206*(D196*D198))</f>
        <v>8092799.9999999991</v>
      </c>
      <c r="U198" s="25">
        <v>3.5999999999999997E-2</v>
      </c>
    </row>
    <row r="199" spans="1:21" x14ac:dyDescent="0.25">
      <c r="A199" t="s">
        <v>240</v>
      </c>
      <c r="B199">
        <v>30</v>
      </c>
      <c r="C199">
        <f t="shared" si="105"/>
        <v>116</v>
      </c>
      <c r="E199" s="5">
        <v>0</v>
      </c>
      <c r="F199">
        <f t="shared" ref="F199:F203" si="109">IF(C199-E199&lt;0,0,(C199*$D$198)-E199)</f>
        <v>464</v>
      </c>
      <c r="H199" t="s">
        <v>240</v>
      </c>
      <c r="I199" s="22">
        <f>Pricing!$B$31</f>
        <v>31420</v>
      </c>
      <c r="J199" s="3">
        <f t="shared" si="106"/>
        <v>14578880</v>
      </c>
      <c r="L199" t="str">
        <f t="shared" si="107"/>
        <v>Ion Thruster</v>
      </c>
      <c r="M199" s="3">
        <f>'Component BP'!F599</f>
        <v>14177705.684</v>
      </c>
      <c r="O199" t="str">
        <f t="shared" si="103"/>
        <v>Manufacture</v>
      </c>
      <c r="Q199" s="2">
        <f t="shared" si="108"/>
        <v>14177705.684</v>
      </c>
      <c r="R199" s="2">
        <f t="shared" si="104"/>
        <v>14177705.684</v>
      </c>
      <c r="S199" t="s">
        <v>172</v>
      </c>
      <c r="T199" s="4">
        <f>U199*(R206*(D196*D198))</f>
        <v>0</v>
      </c>
      <c r="U199" s="25">
        <v>0</v>
      </c>
    </row>
    <row r="200" spans="1:21" x14ac:dyDescent="0.25">
      <c r="A200" t="s">
        <v>246</v>
      </c>
      <c r="B200">
        <v>60</v>
      </c>
      <c r="C200">
        <f t="shared" si="105"/>
        <v>231</v>
      </c>
      <c r="E200" s="5">
        <v>0</v>
      </c>
      <c r="F200">
        <f t="shared" si="109"/>
        <v>924</v>
      </c>
      <c r="H200" t="s">
        <v>246</v>
      </c>
      <c r="I200" s="22">
        <f>Pricing!$B$32</f>
        <v>19100</v>
      </c>
      <c r="J200" s="3">
        <f t="shared" si="106"/>
        <v>17648400</v>
      </c>
      <c r="L200" t="str">
        <f t="shared" si="107"/>
        <v>Magnetometric Sensor Cluster</v>
      </c>
      <c r="M200" s="3">
        <f>'Component BP'!F604</f>
        <v>16884639.723000001</v>
      </c>
      <c r="O200" t="str">
        <f t="shared" si="103"/>
        <v>Manufacture</v>
      </c>
      <c r="Q200" s="2">
        <f t="shared" si="108"/>
        <v>16884639.723000001</v>
      </c>
      <c r="R200" s="2">
        <f t="shared" si="104"/>
        <v>16884639.723000001</v>
      </c>
      <c r="S200" t="s">
        <v>173</v>
      </c>
      <c r="T200" s="4">
        <f>(R206*0.03*(D196*D198))</f>
        <v>6744000</v>
      </c>
    </row>
    <row r="201" spans="1:21" x14ac:dyDescent="0.25">
      <c r="A201" t="s">
        <v>243</v>
      </c>
      <c r="B201">
        <v>60</v>
      </c>
      <c r="C201">
        <f t="shared" si="105"/>
        <v>231</v>
      </c>
      <c r="E201" s="5">
        <v>0</v>
      </c>
      <c r="F201">
        <f t="shared" si="109"/>
        <v>924</v>
      </c>
      <c r="H201" t="s">
        <v>243</v>
      </c>
      <c r="I201" s="22">
        <f>Pricing!$B$33</f>
        <v>38800</v>
      </c>
      <c r="J201" s="3">
        <f t="shared" si="106"/>
        <v>35851200</v>
      </c>
      <c r="L201" t="str">
        <f t="shared" si="107"/>
        <v>Oscillator Capacitor</v>
      </c>
      <c r="M201" s="3">
        <f>'Component BP'!F610</f>
        <v>29070165.756999999</v>
      </c>
      <c r="O201" t="str">
        <f t="shared" si="103"/>
        <v>Manufacture</v>
      </c>
      <c r="Q201" s="2">
        <f t="shared" si="108"/>
        <v>29070165.756999999</v>
      </c>
      <c r="R201" s="2">
        <f t="shared" si="104"/>
        <v>29070165.756999999</v>
      </c>
      <c r="T201" s="4">
        <f>SUM(T196:T200)</f>
        <v>40306400</v>
      </c>
    </row>
    <row r="202" spans="1:21" x14ac:dyDescent="0.25">
      <c r="A202" t="s">
        <v>244</v>
      </c>
      <c r="B202">
        <v>180</v>
      </c>
      <c r="C202">
        <f t="shared" si="105"/>
        <v>692</v>
      </c>
      <c r="E202" s="5">
        <v>0</v>
      </c>
      <c r="F202">
        <f t="shared" si="109"/>
        <v>2768</v>
      </c>
      <c r="H202" t="s">
        <v>244</v>
      </c>
      <c r="I202" s="22">
        <f>Pricing!$B$34</f>
        <v>45040</v>
      </c>
      <c r="J202" s="3">
        <f t="shared" si="106"/>
        <v>124670720</v>
      </c>
      <c r="L202" t="str">
        <f t="shared" si="107"/>
        <v>Photon Microprocessor</v>
      </c>
      <c r="M202" s="3">
        <f>'Component BP'!F616</f>
        <v>97715010.157000005</v>
      </c>
      <c r="O202" t="str">
        <f t="shared" si="103"/>
        <v>Manufacture</v>
      </c>
      <c r="Q202" s="2">
        <f t="shared" si="108"/>
        <v>97715010.157000005</v>
      </c>
      <c r="R202" s="2">
        <f t="shared" si="104"/>
        <v>97715010.157000005</v>
      </c>
    </row>
    <row r="203" spans="1:21" x14ac:dyDescent="0.25">
      <c r="A203" t="s">
        <v>245</v>
      </c>
      <c r="B203">
        <v>15</v>
      </c>
      <c r="C203">
        <f t="shared" si="105"/>
        <v>58</v>
      </c>
      <c r="E203" s="5">
        <v>0</v>
      </c>
      <c r="F203">
        <f t="shared" si="109"/>
        <v>232</v>
      </c>
      <c r="H203" t="s">
        <v>245</v>
      </c>
      <c r="I203" s="22">
        <f>Pricing!$B$35</f>
        <v>37110</v>
      </c>
      <c r="J203" s="3">
        <f t="shared" si="106"/>
        <v>8609520</v>
      </c>
      <c r="L203" t="str">
        <f t="shared" si="107"/>
        <v>Pulse Shield Emitter</v>
      </c>
      <c r="M203" s="3">
        <f>'Component BP'!F621</f>
        <v>7082739.6890000002</v>
      </c>
      <c r="O203" t="str">
        <f t="shared" si="103"/>
        <v>Manufacture</v>
      </c>
      <c r="Q203" s="2">
        <f t="shared" si="108"/>
        <v>7082739.6890000002</v>
      </c>
      <c r="R203" s="2">
        <f t="shared" si="104"/>
        <v>7082739.6890000002</v>
      </c>
    </row>
    <row r="205" spans="1:21" x14ac:dyDescent="0.25">
      <c r="A205" t="s">
        <v>43</v>
      </c>
      <c r="B205">
        <v>38</v>
      </c>
      <c r="C205">
        <f t="shared" si="105"/>
        <v>146</v>
      </c>
      <c r="E205" s="5">
        <f>E188</f>
        <v>0</v>
      </c>
      <c r="F205">
        <f>IF(C205-E205&lt;0,0,(C205*$D$198)-E205)</f>
        <v>584</v>
      </c>
      <c r="H205" s="4">
        <f>F205*Pricing!$J$9</f>
        <v>24469600</v>
      </c>
      <c r="L205" s="9" t="s">
        <v>36</v>
      </c>
      <c r="M205" s="3" t="s">
        <v>47</v>
      </c>
      <c r="R205" s="2">
        <f>SMALL(J206:M206,1)+T201</f>
        <v>256763426.727</v>
      </c>
    </row>
    <row r="206" spans="1:21" x14ac:dyDescent="0.25">
      <c r="A206" t="s">
        <v>44</v>
      </c>
      <c r="E206" s="5">
        <f>E189</f>
        <v>0</v>
      </c>
      <c r="F206">
        <f>IF(C206-E206&lt;0,0,(C206*$D$198)-E206)</f>
        <v>0</v>
      </c>
      <c r="J206" s="3">
        <f>SUM(J197:J203)</f>
        <v>261166160</v>
      </c>
      <c r="L206" s="3">
        <f>SUM(M197:M203)</f>
        <v>217901218.84200001</v>
      </c>
      <c r="M206" s="16">
        <f>SUM(R197:R203)</f>
        <v>216457026.727</v>
      </c>
      <c r="P206" s="4"/>
      <c r="R206" s="22">
        <f>Pricing!J44</f>
        <v>14050000</v>
      </c>
      <c r="S206" t="str">
        <f>A196</f>
        <v>Nemesis Requirements</v>
      </c>
    </row>
    <row r="207" spans="1:21" x14ac:dyDescent="0.25">
      <c r="A207" t="s">
        <v>104</v>
      </c>
      <c r="B207" s="31">
        <v>0.03</v>
      </c>
      <c r="C207" s="10" t="s">
        <v>199</v>
      </c>
      <c r="K207" t="s">
        <v>38</v>
      </c>
      <c r="L207" s="8">
        <f>1-(M206/J206)</f>
        <v>0.17119037655184732</v>
      </c>
      <c r="P207" s="8"/>
      <c r="R207" s="2">
        <f>(R206*(D196*D198))</f>
        <v>224800000</v>
      </c>
      <c r="S207" s="4">
        <f>R207-R205</f>
        <v>-31963426.726999998</v>
      </c>
      <c r="T207" t="s">
        <v>45</v>
      </c>
    </row>
    <row r="208" spans="1:21" x14ac:dyDescent="0.25">
      <c r="S208" s="8">
        <f>((R207-R205)/R207)</f>
        <v>-0.14218606195284697</v>
      </c>
      <c r="T208" t="s">
        <v>45</v>
      </c>
    </row>
    <row r="209" spans="19:20" x14ac:dyDescent="0.25">
      <c r="S209" s="4">
        <f>R205-T198-T199</f>
        <v>248670626.727</v>
      </c>
      <c r="T209" t="s">
        <v>297</v>
      </c>
    </row>
  </sheetData>
  <sortState xmlns:xlrd2="http://schemas.microsoft.com/office/spreadsheetml/2017/richdata2" ref="A3:F9">
    <sortCondition ref="A3:A9"/>
  </sortState>
  <conditionalFormatting sqref="O69:O74 O178:O180 O2:O31 O195 O210:O1048576 O105">
    <cfRule type="cellIs" dxfId="57" priority="42" operator="equal">
      <formula>"Jita Buy Price"</formula>
    </cfRule>
  </conditionalFormatting>
  <conditionalFormatting sqref="O30 O32:O44">
    <cfRule type="cellIs" dxfId="56" priority="41" operator="equal">
      <formula>"Jita Buy Price"</formula>
    </cfRule>
  </conditionalFormatting>
  <conditionalFormatting sqref="O60">
    <cfRule type="cellIs" dxfId="55" priority="40" operator="equal">
      <formula>"Jita Buy Price"</formula>
    </cfRule>
  </conditionalFormatting>
  <conditionalFormatting sqref="O61:O68">
    <cfRule type="cellIs" dxfId="54" priority="39" operator="equal">
      <formula>"Jita Buy Price"</formula>
    </cfRule>
  </conditionalFormatting>
  <conditionalFormatting sqref="O84:O90">
    <cfRule type="cellIs" dxfId="53" priority="38" operator="equal">
      <formula>"Jita Buy Price"</formula>
    </cfRule>
  </conditionalFormatting>
  <conditionalFormatting sqref="O75">
    <cfRule type="cellIs" dxfId="52" priority="37" operator="equal">
      <formula>"Jita Buy Price"</formula>
    </cfRule>
  </conditionalFormatting>
  <conditionalFormatting sqref="O76:O83">
    <cfRule type="cellIs" dxfId="51" priority="36" operator="equal">
      <formula>"Jita Buy Price"</formula>
    </cfRule>
  </conditionalFormatting>
  <conditionalFormatting sqref="O144:O150">
    <cfRule type="cellIs" dxfId="50" priority="35" operator="equal">
      <formula>"Jita Buy Price"</formula>
    </cfRule>
  </conditionalFormatting>
  <conditionalFormatting sqref="O16">
    <cfRule type="cellIs" dxfId="49" priority="32" operator="equal">
      <formula>"Jita Buy Price"</formula>
    </cfRule>
  </conditionalFormatting>
  <conditionalFormatting sqref="O136:O143">
    <cfRule type="cellIs" dxfId="48" priority="33" operator="equal">
      <formula>"Jita Buy Price"</formula>
    </cfRule>
  </conditionalFormatting>
  <conditionalFormatting sqref="O17:O29">
    <cfRule type="cellIs" dxfId="47" priority="31" operator="equal">
      <formula>"Jita Buy Price"</formula>
    </cfRule>
  </conditionalFormatting>
  <conditionalFormatting sqref="O165">
    <cfRule type="cellIs" dxfId="46" priority="30" operator="equal">
      <formula>"Jita Buy Price"</formula>
    </cfRule>
  </conditionalFormatting>
  <conditionalFormatting sqref="O1">
    <cfRule type="cellIs" dxfId="45" priority="29" operator="equal">
      <formula>"Jita Buy Price"</formula>
    </cfRule>
  </conditionalFormatting>
  <conditionalFormatting sqref="O1">
    <cfRule type="cellIs" dxfId="44" priority="28" operator="equal">
      <formula>"Jita Buy Price"</formula>
    </cfRule>
  </conditionalFormatting>
  <conditionalFormatting sqref="O174:O177">
    <cfRule type="cellIs" dxfId="43" priority="27" operator="equal">
      <formula>"Jita Buy Price"</formula>
    </cfRule>
  </conditionalFormatting>
  <conditionalFormatting sqref="O166:O173">
    <cfRule type="cellIs" dxfId="42" priority="26" operator="equal">
      <formula>"Jita Buy Price"</formula>
    </cfRule>
  </conditionalFormatting>
  <conditionalFormatting sqref="O114:O120 O135">
    <cfRule type="cellIs" dxfId="41" priority="25" operator="equal">
      <formula>"Jita Buy Price"</formula>
    </cfRule>
  </conditionalFormatting>
  <conditionalFormatting sqref="O106:O113">
    <cfRule type="cellIs" dxfId="40" priority="24" operator="equal">
      <formula>"Jita Buy Price"</formula>
    </cfRule>
  </conditionalFormatting>
  <conditionalFormatting sqref="O121">
    <cfRule type="cellIs" dxfId="39" priority="21" operator="equal">
      <formula>"Jita Buy Price"</formula>
    </cfRule>
  </conditionalFormatting>
  <conditionalFormatting sqref="O129:O134">
    <cfRule type="cellIs" dxfId="38" priority="23" operator="equal">
      <formula>"Jita Buy Price"</formula>
    </cfRule>
  </conditionalFormatting>
  <conditionalFormatting sqref="O122:O128">
    <cfRule type="cellIs" dxfId="37" priority="22" operator="equal">
      <formula>"Jita Buy Price"</formula>
    </cfRule>
  </conditionalFormatting>
  <conditionalFormatting sqref="O193:O194">
    <cfRule type="cellIs" dxfId="36" priority="17" operator="equal">
      <formula>"Jita Buy Price"</formula>
    </cfRule>
  </conditionalFormatting>
  <conditionalFormatting sqref="O189:O192">
    <cfRule type="cellIs" dxfId="35" priority="16" operator="equal">
      <formula>"Jita Buy Price"</formula>
    </cfRule>
  </conditionalFormatting>
  <conditionalFormatting sqref="O181:O188">
    <cfRule type="cellIs" dxfId="34" priority="15" operator="equal">
      <formula>"Jita Buy Price"</formula>
    </cfRule>
  </conditionalFormatting>
  <conditionalFormatting sqref="O208:O209">
    <cfRule type="cellIs" dxfId="33" priority="14" operator="equal">
      <formula>"Jita Buy Price"</formula>
    </cfRule>
  </conditionalFormatting>
  <conditionalFormatting sqref="O204:O207">
    <cfRule type="cellIs" dxfId="32" priority="13" operator="equal">
      <formula>"Jita Buy Price"</formula>
    </cfRule>
  </conditionalFormatting>
  <conditionalFormatting sqref="O196:O203">
    <cfRule type="cellIs" dxfId="31" priority="12" operator="equal">
      <formula>"Jita Buy Price"</formula>
    </cfRule>
  </conditionalFormatting>
  <conditionalFormatting sqref="O45">
    <cfRule type="cellIs" dxfId="30" priority="7" operator="equal">
      <formula>"Jita Buy Price"</formula>
    </cfRule>
  </conditionalFormatting>
  <conditionalFormatting sqref="O46:O59">
    <cfRule type="cellIs" dxfId="29" priority="6" operator="equal">
      <formula>"Jita Buy Price"</formula>
    </cfRule>
  </conditionalFormatting>
  <conditionalFormatting sqref="O59">
    <cfRule type="cellIs" dxfId="28" priority="5" operator="equal">
      <formula>"Jita Buy Price"</formula>
    </cfRule>
  </conditionalFormatting>
  <conditionalFormatting sqref="O46:O58">
    <cfRule type="cellIs" dxfId="27" priority="4" operator="equal">
      <formula>"Jita Buy Price"</formula>
    </cfRule>
  </conditionalFormatting>
  <conditionalFormatting sqref="O151:O164">
    <cfRule type="cellIs" dxfId="26" priority="3" operator="equal">
      <formula>"Jita Buy Price"</formula>
    </cfRule>
  </conditionalFormatting>
  <conditionalFormatting sqref="O99:O104">
    <cfRule type="cellIs" dxfId="25" priority="2" operator="equal">
      <formula>"Jita Buy Price"</formula>
    </cfRule>
  </conditionalFormatting>
  <conditionalFormatting sqref="O91:O98">
    <cfRule type="cellIs" dxfId="24" priority="1" operator="equal">
      <formula>"Jita Buy Price"</formula>
    </cfRule>
  </conditionalFormatting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4E2CF-CDC6-45B4-B823-B97E4AED4FDF}">
  <sheetPr>
    <tabColor rgb="FFFF0000"/>
  </sheetPr>
  <dimension ref="A1:R621"/>
  <sheetViews>
    <sheetView topLeftCell="A9" zoomScaleNormal="100" workbookViewId="0">
      <selection activeCell="F34" sqref="F34"/>
    </sheetView>
  </sheetViews>
  <sheetFormatPr defaultRowHeight="15" x14ac:dyDescent="0.25"/>
  <cols>
    <col min="4" max="4" width="11.5703125" style="2" bestFit="1" customWidth="1"/>
    <col min="6" max="6" width="16.28515625" bestFit="1" customWidth="1"/>
    <col min="7" max="7" width="11" customWidth="1"/>
    <col min="8" max="8" width="14.28515625" bestFit="1" customWidth="1"/>
    <col min="9" max="9" width="10.5703125" bestFit="1" customWidth="1"/>
    <col min="10" max="10" width="14.28515625" bestFit="1" customWidth="1"/>
    <col min="11" max="11" width="13.28515625" style="3" bestFit="1" customWidth="1"/>
    <col min="12" max="12" width="10.42578125" style="3" bestFit="1" customWidth="1"/>
    <col min="13" max="13" width="13.7109375" style="3" bestFit="1" customWidth="1"/>
    <col min="14" max="14" width="13.28515625" bestFit="1" customWidth="1"/>
    <col min="15" max="15" width="20.42578125" bestFit="1" customWidth="1"/>
    <col min="16" max="17" width="14.28515625" customWidth="1"/>
    <col min="18" max="18" width="22.85546875" bestFit="1" customWidth="1"/>
  </cols>
  <sheetData>
    <row r="1" spans="1:18" x14ac:dyDescent="0.25">
      <c r="A1" t="s">
        <v>39</v>
      </c>
    </row>
    <row r="2" spans="1:18" x14ac:dyDescent="0.25">
      <c r="A2" t="s">
        <v>6</v>
      </c>
      <c r="D2" s="2" t="s">
        <v>21</v>
      </c>
      <c r="E2" t="s">
        <v>19</v>
      </c>
      <c r="G2" t="s">
        <v>24</v>
      </c>
      <c r="J2" t="s">
        <v>25</v>
      </c>
      <c r="K2" s="3" t="s">
        <v>30</v>
      </c>
      <c r="L2" s="3" t="s">
        <v>27</v>
      </c>
      <c r="M2" s="3" t="s">
        <v>35</v>
      </c>
      <c r="N2" t="s">
        <v>26</v>
      </c>
      <c r="O2" s="3" t="s">
        <v>34</v>
      </c>
      <c r="P2" s="3"/>
      <c r="Q2" s="3"/>
      <c r="R2" s="3"/>
    </row>
    <row r="3" spans="1:18" x14ac:dyDescent="0.25">
      <c r="A3" t="s">
        <v>8</v>
      </c>
      <c r="B3">
        <v>9</v>
      </c>
      <c r="C3">
        <v>9</v>
      </c>
      <c r="D3" s="22">
        <f>Pricing!F3</f>
        <v>145.9</v>
      </c>
      <c r="E3">
        <f>IF('Ship Component Reqs'!F3&lt;0,0,'Ship Component Reqs'!F3)</f>
        <v>108</v>
      </c>
      <c r="F3" s="12">
        <f>MAX(E3,_xlfn.CEILING.MATH(ROUNDUP(E3*C3*((1-10%)*(1-2%)*(1-1%)),20)))*D3</f>
        <v>123869.1</v>
      </c>
      <c r="G3" s="15">
        <f>MAX(E3,_xlfn.CEILING.MATH(ROUNDUP(E3*C3*((1-10%)*(1-2%)*(1-1%)),20)))</f>
        <v>849</v>
      </c>
      <c r="H3" s="4"/>
      <c r="I3" s="4"/>
      <c r="J3" t="str">
        <f>A3</f>
        <v>Tungsten Carbide</v>
      </c>
      <c r="K3" s="3">
        <f>G3+G7+G12+G17+G23+G28+G34</f>
        <v>588575</v>
      </c>
      <c r="L3" s="20"/>
      <c r="M3" s="6">
        <f t="shared" ref="M3:M11" si="0">((K3)-L3)</f>
        <v>588575</v>
      </c>
      <c r="N3">
        <f>D3</f>
        <v>145.9</v>
      </c>
      <c r="O3" s="13">
        <f>IF(M3&lt;0,0,M3*N3)</f>
        <v>85873092.5</v>
      </c>
      <c r="P3" s="2"/>
      <c r="Q3" s="2"/>
      <c r="R3" s="2"/>
    </row>
    <row r="4" spans="1:18" ht="17.25" x14ac:dyDescent="0.4">
      <c r="A4" t="s">
        <v>9</v>
      </c>
      <c r="B4">
        <v>2</v>
      </c>
      <c r="C4">
        <v>2</v>
      </c>
      <c r="D4" s="22">
        <f>Pricing!F26</f>
        <v>49950</v>
      </c>
      <c r="E4">
        <f>E3</f>
        <v>108</v>
      </c>
      <c r="F4" s="38">
        <f>MAX(E4,_xlfn.CEILING.MATH(ROUNDUP(E4*C4*((1-10%)*(1-2%)*(1-1%)),20)))*D4</f>
        <v>9440550</v>
      </c>
      <c r="G4" s="15">
        <f t="shared" ref="G4" si="1">MAX(E4,_xlfn.CEILING.MATH(ROUNDUP(E4*C4*((1-10%)*(1-2%)*(1-1%)),20)))</f>
        <v>189</v>
      </c>
      <c r="H4" s="4"/>
      <c r="J4" t="str">
        <f>A4</f>
        <v>Fermionic Condensates</v>
      </c>
      <c r="K4" s="3">
        <f>G4</f>
        <v>189</v>
      </c>
      <c r="L4" s="20"/>
      <c r="M4" s="6">
        <f t="shared" si="0"/>
        <v>189</v>
      </c>
      <c r="N4">
        <f>D4</f>
        <v>49950</v>
      </c>
      <c r="O4" s="13">
        <f t="shared" ref="O4:O10" si="2">IF(M4&lt;0,0,M4*N4)</f>
        <v>9440550</v>
      </c>
      <c r="P4" s="2"/>
      <c r="Q4" s="2"/>
      <c r="R4" s="2"/>
    </row>
    <row r="5" spans="1:18" x14ac:dyDescent="0.25">
      <c r="E5" s="1" t="str">
        <f>A2</f>
        <v>Antimatter Reactor Unit</v>
      </c>
      <c r="F5" s="4">
        <f>SUM(F3:F4)</f>
        <v>9564419.0999999996</v>
      </c>
      <c r="J5" t="str">
        <f>A8</f>
        <v>Phenolic Composites</v>
      </c>
      <c r="K5" s="3">
        <f>G8+G18</f>
        <v>29895</v>
      </c>
      <c r="L5" s="20"/>
      <c r="M5" s="6">
        <f t="shared" si="0"/>
        <v>29895</v>
      </c>
      <c r="N5">
        <f>D8</f>
        <v>1484</v>
      </c>
      <c r="O5" s="13">
        <f t="shared" si="2"/>
        <v>44364180</v>
      </c>
      <c r="P5" s="2"/>
      <c r="Q5" s="2"/>
      <c r="R5" s="2"/>
    </row>
    <row r="6" spans="1:18" x14ac:dyDescent="0.25">
      <c r="A6" t="s">
        <v>1</v>
      </c>
      <c r="F6" s="4"/>
      <c r="J6" t="str">
        <f>A9</f>
        <v>Ferrogel</v>
      </c>
      <c r="K6" s="3">
        <f>G9+G13</f>
        <v>522</v>
      </c>
      <c r="L6" s="20"/>
      <c r="M6" s="6">
        <f t="shared" si="0"/>
        <v>522</v>
      </c>
      <c r="N6">
        <f>D9</f>
        <v>23970</v>
      </c>
      <c r="O6" s="13">
        <f>IF(M6&lt;0,0,M6*N6)</f>
        <v>12512340</v>
      </c>
      <c r="P6" s="2"/>
      <c r="Q6" s="2"/>
      <c r="R6" s="2"/>
    </row>
    <row r="7" spans="1:18" x14ac:dyDescent="0.25">
      <c r="A7" t="str">
        <f>A3</f>
        <v>Tungsten Carbide</v>
      </c>
      <c r="B7">
        <v>12</v>
      </c>
      <c r="C7">
        <v>13</v>
      </c>
      <c r="D7" s="37">
        <f>D3</f>
        <v>145.9</v>
      </c>
      <c r="E7">
        <f>IF('Ship Component Reqs'!F4&lt;0,0,'Ship Component Reqs'!F4)</f>
        <v>0</v>
      </c>
      <c r="F7" s="12">
        <f t="shared" ref="F7:F8" si="3">MAX(E7,_xlfn.CEILING.MATH(ROUNDUP(E7*C7*((1-10%)*(1-2%)*(1-1%)),20)))*D7</f>
        <v>0</v>
      </c>
      <c r="G7" s="15">
        <f t="shared" ref="G7:G9" si="4">MAX(E7,_xlfn.CEILING.MATH(ROUNDUP(E7*C7*((1-10%)*(1-2%)*(1-1%)),20)))</f>
        <v>0</v>
      </c>
      <c r="J7" t="str">
        <f>A14</f>
        <v>Sylramic Fibers</v>
      </c>
      <c r="K7" s="3">
        <f>G14+G35</f>
        <v>103774</v>
      </c>
      <c r="L7" s="20"/>
      <c r="M7" s="6">
        <f t="shared" si="0"/>
        <v>103774</v>
      </c>
      <c r="N7">
        <f>D14</f>
        <v>332.4</v>
      </c>
      <c r="O7" s="13">
        <f t="shared" si="2"/>
        <v>34494477.599999994</v>
      </c>
      <c r="P7" s="2"/>
      <c r="Q7" s="2"/>
      <c r="R7" s="2"/>
    </row>
    <row r="8" spans="1:18" x14ac:dyDescent="0.25">
      <c r="A8" t="s">
        <v>10</v>
      </c>
      <c r="B8">
        <v>3</v>
      </c>
      <c r="C8">
        <v>3</v>
      </c>
      <c r="D8" s="22">
        <f>Pricing!F27</f>
        <v>1484</v>
      </c>
      <c r="E8">
        <f>E7</f>
        <v>0</v>
      </c>
      <c r="F8" s="12">
        <f t="shared" si="3"/>
        <v>0</v>
      </c>
      <c r="G8" s="15">
        <f t="shared" si="4"/>
        <v>0</v>
      </c>
      <c r="J8" t="str">
        <f>A19</f>
        <v>Terahertz Meta Materials</v>
      </c>
      <c r="K8" s="3">
        <f>G19+G30</f>
        <v>13596</v>
      </c>
      <c r="L8" s="20"/>
      <c r="M8" s="6">
        <f t="shared" si="0"/>
        <v>13596</v>
      </c>
      <c r="N8">
        <f>D19</f>
        <v>11940</v>
      </c>
      <c r="O8" s="13">
        <f t="shared" si="2"/>
        <v>162336240</v>
      </c>
      <c r="P8" s="2"/>
      <c r="Q8" s="2"/>
      <c r="R8" s="2"/>
    </row>
    <row r="9" spans="1:18" ht="17.25" x14ac:dyDescent="0.4">
      <c r="A9" t="s">
        <v>11</v>
      </c>
      <c r="B9">
        <v>1</v>
      </c>
      <c r="C9">
        <v>1</v>
      </c>
      <c r="D9" s="22">
        <f>Pricing!F28</f>
        <v>23970</v>
      </c>
      <c r="E9">
        <f>E7</f>
        <v>0</v>
      </c>
      <c r="F9" s="38">
        <f>MAX(E9,_xlfn.CEILING.MATH(ROUNDUP(E9*C9*((1-10%)*(1-2%)*(1-1%)),20)))*D9</f>
        <v>0</v>
      </c>
      <c r="G9" s="15">
        <f t="shared" si="4"/>
        <v>0</v>
      </c>
      <c r="J9" t="str">
        <f>A20</f>
        <v>Nano Transistors</v>
      </c>
      <c r="K9" s="3">
        <f>G24+G29+G20</f>
        <v>14402</v>
      </c>
      <c r="L9" s="20"/>
      <c r="M9" s="6">
        <f t="shared" si="0"/>
        <v>14402</v>
      </c>
      <c r="N9">
        <f>D20</f>
        <v>3902</v>
      </c>
      <c r="O9" s="13">
        <f t="shared" si="2"/>
        <v>56196604</v>
      </c>
      <c r="P9" s="2"/>
      <c r="Q9" s="2"/>
      <c r="R9" s="2"/>
    </row>
    <row r="10" spans="1:18" x14ac:dyDescent="0.25">
      <c r="E10" s="1" t="str">
        <f>A6</f>
        <v>Fusion Thruster</v>
      </c>
      <c r="F10" s="4">
        <f>SUM(F7:F9)*1.03</f>
        <v>0</v>
      </c>
      <c r="J10" t="str">
        <f>A25</f>
        <v>Hypersynaptic Fibers</v>
      </c>
      <c r="K10" s="3">
        <f>G25</f>
        <v>4118</v>
      </c>
      <c r="L10" s="20"/>
      <c r="M10" s="6">
        <f t="shared" si="0"/>
        <v>4118</v>
      </c>
      <c r="N10">
        <f>D25</f>
        <v>6173</v>
      </c>
      <c r="O10" s="13">
        <f t="shared" si="2"/>
        <v>25420414</v>
      </c>
      <c r="P10" s="2"/>
      <c r="Q10" s="2"/>
      <c r="R10" s="2"/>
    </row>
    <row r="11" spans="1:18" ht="17.25" x14ac:dyDescent="0.4">
      <c r="A11" t="s">
        <v>7</v>
      </c>
      <c r="F11" s="4"/>
      <c r="J11" t="str">
        <f>A31</f>
        <v>Fullerides</v>
      </c>
      <c r="K11" s="3">
        <f>G31</f>
        <v>19969</v>
      </c>
      <c r="L11" s="20"/>
      <c r="M11" s="6">
        <f t="shared" si="0"/>
        <v>19969</v>
      </c>
      <c r="N11">
        <f>D31</f>
        <v>579.4</v>
      </c>
      <c r="O11" s="11">
        <f>IF(M11&lt;0,0,M11*N11)</f>
        <v>11570038.6</v>
      </c>
      <c r="P11" s="2"/>
      <c r="Q11" s="11"/>
      <c r="R11" s="2"/>
    </row>
    <row r="12" spans="1:18" x14ac:dyDescent="0.25">
      <c r="A12" t="str">
        <f>A7</f>
        <v>Tungsten Carbide</v>
      </c>
      <c r="B12">
        <v>20</v>
      </c>
      <c r="C12">
        <v>22</v>
      </c>
      <c r="D12" s="37">
        <f>D3</f>
        <v>145.9</v>
      </c>
      <c r="E12">
        <f>IF('Ship Component Reqs'!F5&lt;0,0,'Ship Component Reqs'!F5)</f>
        <v>522</v>
      </c>
      <c r="F12" s="12">
        <f t="shared" ref="F12:F13" si="5">MAX(E12,_xlfn.CEILING.MATH(ROUNDUP(E12*C12*((1-10%)*(1-2%)*(1-1%)),20)))*D12</f>
        <v>1463085.2</v>
      </c>
      <c r="G12" s="15">
        <f t="shared" ref="G12:G14" si="6">MAX(E12,_xlfn.CEILING.MATH(ROUNDUP(E12*C12*((1-10%)*(1-2%)*(1-1%)),20)))</f>
        <v>10028</v>
      </c>
      <c r="H12" s="4"/>
      <c r="K12" s="10"/>
      <c r="O12" s="4">
        <f>SUM(O3:O11)</f>
        <v>442207936.70000005</v>
      </c>
      <c r="P12" s="4"/>
      <c r="Q12" s="4"/>
      <c r="R12" s="4"/>
    </row>
    <row r="13" spans="1:18" x14ac:dyDescent="0.25">
      <c r="A13" t="str">
        <f>A9</f>
        <v>Ferrogel</v>
      </c>
      <c r="B13">
        <v>1</v>
      </c>
      <c r="C13">
        <v>1</v>
      </c>
      <c r="D13" s="37">
        <f>D9</f>
        <v>23970</v>
      </c>
      <c r="E13">
        <f>E12</f>
        <v>522</v>
      </c>
      <c r="F13" s="12">
        <f t="shared" si="5"/>
        <v>12512340</v>
      </c>
      <c r="G13" s="15">
        <f t="shared" si="6"/>
        <v>522</v>
      </c>
      <c r="J13" s="4"/>
      <c r="K13" t="s">
        <v>46</v>
      </c>
      <c r="R13" s="4"/>
    </row>
    <row r="14" spans="1:18" ht="17.25" x14ac:dyDescent="0.4">
      <c r="A14" t="s">
        <v>12</v>
      </c>
      <c r="B14">
        <v>9</v>
      </c>
      <c r="C14">
        <v>9</v>
      </c>
      <c r="D14" s="22">
        <f>Pricing!F29</f>
        <v>332.4</v>
      </c>
      <c r="E14">
        <f>E12</f>
        <v>522</v>
      </c>
      <c r="F14" s="38">
        <f>MAX(E14,_xlfn.CEILING.MATH(ROUNDUP(E14*C14*((1-10%)*(1-2%)*(1-1%)),20)))*D14</f>
        <v>1363837.2</v>
      </c>
      <c r="G14" s="15">
        <f t="shared" si="6"/>
        <v>4103</v>
      </c>
    </row>
    <row r="15" spans="1:18" x14ac:dyDescent="0.25">
      <c r="E15" s="1" t="str">
        <f>A11</f>
        <v>Linear Shield Emitter</v>
      </c>
      <c r="F15" s="4">
        <f>SUM(F12:F14)*1.03</f>
        <v>15799440.271999998</v>
      </c>
      <c r="J15" s="4" t="s">
        <v>285</v>
      </c>
    </row>
    <row r="16" spans="1:18" x14ac:dyDescent="0.25">
      <c r="A16" t="s">
        <v>4</v>
      </c>
      <c r="F16" s="4"/>
      <c r="J16" t="s">
        <v>283</v>
      </c>
    </row>
    <row r="17" spans="1:15" x14ac:dyDescent="0.25">
      <c r="A17" t="str">
        <f>A12</f>
        <v>Tungsten Carbide</v>
      </c>
      <c r="B17">
        <v>16</v>
      </c>
      <c r="C17">
        <v>17</v>
      </c>
      <c r="D17" s="2">
        <f>D12</f>
        <v>145.9</v>
      </c>
      <c r="E17">
        <f>IF('Ship Component Reqs'!F6&lt;0,0,'Ship Component Reqs'!F6)</f>
        <v>5706</v>
      </c>
      <c r="F17" s="12">
        <f t="shared" ref="F17:F19" si="7">MAX(E17,_xlfn.CEILING.MATH(ROUNDUP(E17*C17*((1-10%)*(1-2%)*(1-1%)),20)))*D17</f>
        <v>12357875.9</v>
      </c>
      <c r="G17" s="15">
        <f t="shared" ref="G17:G20" si="8">MAX(E17,_xlfn.CEILING.MATH(ROUNDUP(E17*C17*((1-10%)*(1-2%)*(1-1%)),20)))</f>
        <v>84701</v>
      </c>
      <c r="H17" s="4"/>
      <c r="J17" t="str">
        <f>A3</f>
        <v>Tungsten Carbide</v>
      </c>
      <c r="K17" s="3">
        <v>31</v>
      </c>
      <c r="L17" s="3">
        <f>D3</f>
        <v>145.9</v>
      </c>
      <c r="M17" s="3">
        <f>'BP Tech 2 Manufacture Nonship'!$F$33</f>
        <v>288</v>
      </c>
      <c r="N17" s="2">
        <f>MAX(M17,_xlfn.CEILING.MATH(ROUNDUP(M17*K17*((1-10%)*(1-1%)),20)))*L17</f>
        <v>1160634.5</v>
      </c>
      <c r="O17" s="15">
        <f>MAX(M17,_xlfn.CEILING.MATH(ROUNDUP(M17*K17*((1-10%)*(1-1%)),20)))</f>
        <v>7955</v>
      </c>
    </row>
    <row r="18" spans="1:15" x14ac:dyDescent="0.25">
      <c r="A18" t="str">
        <f>A8</f>
        <v>Phenolic Composites</v>
      </c>
      <c r="B18">
        <v>6</v>
      </c>
      <c r="C18">
        <v>6</v>
      </c>
      <c r="D18" s="2">
        <f>D8</f>
        <v>1484</v>
      </c>
      <c r="E18">
        <f>E17</f>
        <v>5706</v>
      </c>
      <c r="F18" s="12">
        <f t="shared" si="7"/>
        <v>44364180</v>
      </c>
      <c r="G18" s="15">
        <f t="shared" si="8"/>
        <v>29895</v>
      </c>
      <c r="J18" t="str">
        <f>A25</f>
        <v>Hypersynaptic Fibers</v>
      </c>
      <c r="K18" s="3">
        <v>1</v>
      </c>
      <c r="L18" s="3">
        <f>D25</f>
        <v>6173</v>
      </c>
      <c r="M18" s="3">
        <f>'BP Tech 2 Manufacture Nonship'!$F$33</f>
        <v>288</v>
      </c>
      <c r="N18" s="2">
        <f>MAX(M18,_xlfn.CEILING.MATH(ROUNDUP(M18*K18*((1-10%)*(1-1%)),20)))*L18</f>
        <v>1777824</v>
      </c>
      <c r="O18" s="15">
        <f>MAX(M18,_xlfn.CEILING.MATH(ROUNDUP(M18*K18*((1-10%)*(1-1%)),20)))</f>
        <v>288</v>
      </c>
    </row>
    <row r="19" spans="1:15" x14ac:dyDescent="0.25">
      <c r="A19" t="s">
        <v>13</v>
      </c>
      <c r="B19">
        <v>2</v>
      </c>
      <c r="C19">
        <v>2</v>
      </c>
      <c r="D19" s="22">
        <f>Pricing!F5</f>
        <v>11940</v>
      </c>
      <c r="E19">
        <f>E17</f>
        <v>5706</v>
      </c>
      <c r="F19" s="12">
        <f t="shared" si="7"/>
        <v>118982100</v>
      </c>
      <c r="G19" s="15">
        <f t="shared" si="8"/>
        <v>9965</v>
      </c>
      <c r="J19" t="str">
        <f>A31</f>
        <v>Fullerides</v>
      </c>
      <c r="K19" s="3">
        <v>11</v>
      </c>
      <c r="L19" s="3">
        <f>D31</f>
        <v>579.4</v>
      </c>
      <c r="M19" s="3">
        <f>'BP Tech 2 Manufacture Nonship'!$F$33</f>
        <v>288</v>
      </c>
      <c r="N19" s="2">
        <f>MAX(M19,_xlfn.CEILING.MATH(ROUNDUP(M19*K19*((1-10%)*(1-1%)),20)))*L19</f>
        <v>1635646.2</v>
      </c>
      <c r="O19" s="15">
        <f>MAX(M19,_xlfn.CEILING.MATH(ROUNDUP(M19*K19*((1-10%)*(1-1%)),20)))</f>
        <v>2823</v>
      </c>
    </row>
    <row r="20" spans="1:15" ht="17.25" x14ac:dyDescent="0.4">
      <c r="A20" t="s">
        <v>14</v>
      </c>
      <c r="B20">
        <v>2</v>
      </c>
      <c r="C20">
        <v>2</v>
      </c>
      <c r="D20" s="22">
        <f>Pricing!F30</f>
        <v>3902</v>
      </c>
      <c r="E20">
        <f>E18</f>
        <v>5706</v>
      </c>
      <c r="F20" s="38">
        <f>MAX(E20,_xlfn.CEILING.MATH(ROUNDUP(E20*C20*((1-10%)*(1-2%)*(1-1%)),20)))*D20</f>
        <v>38883430</v>
      </c>
      <c r="G20" s="15">
        <f t="shared" si="8"/>
        <v>9965</v>
      </c>
      <c r="N20" s="2">
        <f>SUM(N17:N19)</f>
        <v>4574104.7</v>
      </c>
    </row>
    <row r="21" spans="1:15" x14ac:dyDescent="0.25">
      <c r="E21" s="1" t="str">
        <f>A16</f>
        <v>Nanoelectrical Microprocessor</v>
      </c>
      <c r="F21" s="4">
        <f>SUM(F17:F20)*1.03</f>
        <v>221025213.477</v>
      </c>
    </row>
    <row r="22" spans="1:15" x14ac:dyDescent="0.25">
      <c r="A22" t="s">
        <v>3</v>
      </c>
      <c r="F22" s="4"/>
    </row>
    <row r="23" spans="1:15" x14ac:dyDescent="0.25">
      <c r="A23" t="str">
        <f>A17</f>
        <v>Tungsten Carbide</v>
      </c>
      <c r="B23">
        <v>20</v>
      </c>
      <c r="C23">
        <v>22</v>
      </c>
      <c r="D23" s="2">
        <f>D17</f>
        <v>145.9</v>
      </c>
      <c r="E23">
        <f>IF('Ship Component Reqs'!F7&lt;0,0,'Ship Component Reqs'!F7)</f>
        <v>2358</v>
      </c>
      <c r="F23" s="12">
        <f t="shared" ref="F23:F24" si="9">MAX(E23,_xlfn.CEILING.MATH(ROUNDUP(E23*C23*((1-10%)*(1-2%)*(1-1%)),20)))*D23</f>
        <v>6608978.2000000002</v>
      </c>
      <c r="G23" s="15">
        <f t="shared" ref="G23:G25" si="10">MAX(E23,_xlfn.CEILING.MATH(ROUNDUP(E23*C23*((1-10%)*(1-2%)*(1-1%)),20)))</f>
        <v>45298</v>
      </c>
      <c r="H23" s="4"/>
      <c r="K23" s="14"/>
    </row>
    <row r="24" spans="1:15" x14ac:dyDescent="0.25">
      <c r="A24" t="s">
        <v>14</v>
      </c>
      <c r="B24">
        <v>1</v>
      </c>
      <c r="C24">
        <v>1</v>
      </c>
      <c r="D24" s="2">
        <f>D20</f>
        <v>3902</v>
      </c>
      <c r="E24">
        <f>E23</f>
        <v>2358</v>
      </c>
      <c r="F24" s="12">
        <f t="shared" si="9"/>
        <v>9200916</v>
      </c>
      <c r="G24" s="15">
        <f t="shared" si="10"/>
        <v>2358</v>
      </c>
    </row>
    <row r="25" spans="1:15" ht="17.25" x14ac:dyDescent="0.4">
      <c r="A25" t="s">
        <v>15</v>
      </c>
      <c r="B25">
        <v>2</v>
      </c>
      <c r="C25">
        <v>2</v>
      </c>
      <c r="D25" s="22">
        <f>Pricing!F31</f>
        <v>6173</v>
      </c>
      <c r="E25">
        <f>E24</f>
        <v>2358</v>
      </c>
      <c r="F25" s="38">
        <f>MAX(E25,_xlfn.CEILING.MATH(ROUNDUP(E25*C25*((1-10%)*(1-2%)*(1-1%)),20)))*D25</f>
        <v>25420414</v>
      </c>
      <c r="G25" s="15">
        <f t="shared" si="10"/>
        <v>4118</v>
      </c>
    </row>
    <row r="26" spans="1:15" x14ac:dyDescent="0.25">
      <c r="E26" s="1" t="str">
        <f>A22</f>
        <v>Radar Sensor Cluster</v>
      </c>
      <c r="F26" s="4">
        <f>SUM(F23:F25)*1.03</f>
        <v>42467217.446000002</v>
      </c>
    </row>
    <row r="27" spans="1:15" x14ac:dyDescent="0.25">
      <c r="A27" t="s">
        <v>2</v>
      </c>
      <c r="F27" s="4"/>
    </row>
    <row r="28" spans="1:15" x14ac:dyDescent="0.25">
      <c r="A28" t="str">
        <f>A23</f>
        <v>Tungsten Carbide</v>
      </c>
      <c r="B28">
        <v>25</v>
      </c>
      <c r="C28">
        <v>27</v>
      </c>
      <c r="D28" s="2">
        <f>D23</f>
        <v>145.9</v>
      </c>
      <c r="E28">
        <f>IF('Ship Component Reqs'!F8&lt;0,0,'Ship Component Reqs'!F8)</f>
        <v>2079</v>
      </c>
      <c r="F28" s="12">
        <f t="shared" ref="F28:F30" si="11">MAX(E28,_xlfn.CEILING.MATH(ROUNDUP(E28*C28*((1-10%)*(1-2%)*(1-1%)),20)))*D28</f>
        <v>7151288.5</v>
      </c>
      <c r="G28" s="15">
        <f t="shared" ref="G28:G31" si="12">MAX(E28,_xlfn.CEILING.MATH(ROUNDUP(E28*C28*((1-10%)*(1-2%)*(1-1%)),20)))</f>
        <v>49015</v>
      </c>
      <c r="H28" s="4"/>
    </row>
    <row r="29" spans="1:15" x14ac:dyDescent="0.25">
      <c r="A29" t="str">
        <f>A24</f>
        <v>Nano Transistors</v>
      </c>
      <c r="B29">
        <v>1</v>
      </c>
      <c r="C29">
        <v>1</v>
      </c>
      <c r="D29" s="2">
        <f>D24</f>
        <v>3902</v>
      </c>
      <c r="E29">
        <f>E28</f>
        <v>2079</v>
      </c>
      <c r="F29" s="12">
        <f t="shared" si="11"/>
        <v>8112258</v>
      </c>
      <c r="G29" s="15">
        <f t="shared" si="12"/>
        <v>2079</v>
      </c>
    </row>
    <row r="30" spans="1:15" x14ac:dyDescent="0.25">
      <c r="A30" t="str">
        <f>A19</f>
        <v>Terahertz Meta Materials</v>
      </c>
      <c r="B30">
        <v>2</v>
      </c>
      <c r="C30">
        <v>2</v>
      </c>
      <c r="D30" s="2">
        <f>D19</f>
        <v>11940</v>
      </c>
      <c r="E30">
        <f>E28</f>
        <v>2079</v>
      </c>
      <c r="F30" s="12">
        <f t="shared" si="11"/>
        <v>43354140</v>
      </c>
      <c r="G30" s="15">
        <f t="shared" si="12"/>
        <v>3631</v>
      </c>
      <c r="I30" s="10"/>
    </row>
    <row r="31" spans="1:15" ht="17.25" x14ac:dyDescent="0.4">
      <c r="A31" t="s">
        <v>16</v>
      </c>
      <c r="B31">
        <v>10</v>
      </c>
      <c r="C31">
        <v>11</v>
      </c>
      <c r="D31" s="22">
        <f>Pricing!F32</f>
        <v>579.4</v>
      </c>
      <c r="E31">
        <f>E29</f>
        <v>2079</v>
      </c>
      <c r="F31" s="38">
        <f>MAX(E31,_xlfn.CEILING.MATH(ROUNDUP(E31*C31*((1-10%)*(1-2%)*(1-1%)),20)))*D31</f>
        <v>11570038.6</v>
      </c>
      <c r="G31" s="15">
        <f t="shared" si="12"/>
        <v>19969</v>
      </c>
    </row>
    <row r="32" spans="1:15" x14ac:dyDescent="0.25">
      <c r="E32" s="1" t="str">
        <f>A27</f>
        <v>Tesseract Capacitor Unit</v>
      </c>
      <c r="F32" s="4">
        <f>SUM(F28:F31)*1.03</f>
        <v>72293356.853</v>
      </c>
    </row>
    <row r="33" spans="1:15" x14ac:dyDescent="0.25">
      <c r="A33" t="s">
        <v>5</v>
      </c>
      <c r="F33" s="4"/>
    </row>
    <row r="34" spans="1:15" x14ac:dyDescent="0.25">
      <c r="A34" t="str">
        <f>A28</f>
        <v>Tungsten Carbide</v>
      </c>
      <c r="B34">
        <v>40</v>
      </c>
      <c r="C34">
        <v>44</v>
      </c>
      <c r="D34" s="2">
        <f>D28</f>
        <v>145.9</v>
      </c>
      <c r="E34">
        <f>IF('Ship Component Reqs'!F9&lt;0,0,'Ship Component Reqs'!F9)</f>
        <v>10377</v>
      </c>
      <c r="F34" s="12">
        <f>MAX(E34,_xlfn.CEILING.MATH(ROUNDUP(E34*C34*((1-10%)*(1-2%)*(1-1%)),20)))*D34</f>
        <v>58167995.600000001</v>
      </c>
      <c r="G34" s="15">
        <f>MAX(E34,_xlfn.CEILING.MATH(ROUNDUP(E34*C34*((1-10%)*(1-2%)*(1-1%)),20)))</f>
        <v>398684</v>
      </c>
      <c r="H34" s="4"/>
    </row>
    <row r="35" spans="1:15" ht="17.25" x14ac:dyDescent="0.4">
      <c r="A35" t="str">
        <f>A14</f>
        <v>Sylramic Fibers</v>
      </c>
      <c r="B35">
        <v>10</v>
      </c>
      <c r="C35">
        <v>11</v>
      </c>
      <c r="D35" s="2">
        <f>D14</f>
        <v>332.4</v>
      </c>
      <c r="E35">
        <f>E34</f>
        <v>10377</v>
      </c>
      <c r="F35" s="38">
        <f>MAX(E35,_xlfn.CEILING.MATH(ROUNDUP(E35*C35*((1-10%)*(1-2%)*(1-1%)),20)))*D35</f>
        <v>33130640.399999999</v>
      </c>
      <c r="G35" s="15">
        <f t="shared" ref="G35" si="13">MAX(E35,_xlfn.CEILING.MATH(ROUNDUP(E35*C35*((1-10%)*(1-2%)*(1-1%)),20)))</f>
        <v>99671</v>
      </c>
    </row>
    <row r="36" spans="1:15" x14ac:dyDescent="0.25">
      <c r="E36" s="1" t="str">
        <f>A33</f>
        <v>Tungsten Carbide Armor Plate</v>
      </c>
      <c r="F36" s="4">
        <f>SUM(F34:F35)*1.03</f>
        <v>94037595.079999998</v>
      </c>
      <c r="G36" s="4"/>
      <c r="H36" s="4"/>
    </row>
    <row r="37" spans="1:15" s="17" customFormat="1" x14ac:dyDescent="0.25">
      <c r="D37" s="30"/>
      <c r="K37" s="18"/>
      <c r="L37" s="18"/>
      <c r="M37" s="18"/>
    </row>
    <row r="38" spans="1:15" x14ac:dyDescent="0.25">
      <c r="A38" t="s">
        <v>187</v>
      </c>
    </row>
    <row r="39" spans="1:15" x14ac:dyDescent="0.25">
      <c r="A39" t="s">
        <v>6</v>
      </c>
      <c r="D39" s="2" t="s">
        <v>21</v>
      </c>
      <c r="E39" t="s">
        <v>19</v>
      </c>
      <c r="G39" t="s">
        <v>24</v>
      </c>
      <c r="J39" t="s">
        <v>25</v>
      </c>
      <c r="K39" s="3" t="s">
        <v>30</v>
      </c>
      <c r="L39" s="3" t="s">
        <v>27</v>
      </c>
      <c r="M39" s="3" t="s">
        <v>35</v>
      </c>
      <c r="N39" t="s">
        <v>26</v>
      </c>
      <c r="O39" s="3" t="s">
        <v>34</v>
      </c>
    </row>
    <row r="40" spans="1:15" x14ac:dyDescent="0.25">
      <c r="A40" t="s">
        <v>8</v>
      </c>
      <c r="B40">
        <v>9</v>
      </c>
      <c r="C40">
        <v>9</v>
      </c>
      <c r="D40" s="22">
        <f>D3</f>
        <v>145.9</v>
      </c>
      <c r="E40">
        <f>IF('Ship Component Reqs'!F18&lt;0,0,'Ship Component Reqs'!F18)</f>
        <v>96</v>
      </c>
      <c r="F40" s="12">
        <f>MAX(E40,_xlfn.CEILING.MATH(ROUNDUP(E40*C40*((1-10%)*(1-2%)*(1-1%)),20)))*D40</f>
        <v>110154.5</v>
      </c>
      <c r="G40" s="15">
        <f>MAX(E40,_xlfn.CEILING.MATH(ROUNDUP(E40*C40*((1-10%)*(1-2%)*(1-1%)),20)))</f>
        <v>755</v>
      </c>
      <c r="H40" s="4"/>
      <c r="I40" s="4"/>
      <c r="J40" t="str">
        <f>A40</f>
        <v>Tungsten Carbide</v>
      </c>
      <c r="K40" s="3">
        <f>G40+G44+G49+G54+G60+G65+G71</f>
        <v>268298</v>
      </c>
      <c r="L40" s="20">
        <v>0</v>
      </c>
      <c r="M40" s="6">
        <f t="shared" ref="M40:M48" si="14">((K40)-L40)</f>
        <v>268298</v>
      </c>
      <c r="N40" s="4">
        <f>D40</f>
        <v>145.9</v>
      </c>
      <c r="O40" s="13">
        <f t="shared" ref="O40:O48" si="15">IF(M40&lt;0,0,M40*N40)</f>
        <v>39144678.200000003</v>
      </c>
    </row>
    <row r="41" spans="1:15" ht="17.25" x14ac:dyDescent="0.4">
      <c r="A41" t="s">
        <v>9</v>
      </c>
      <c r="B41">
        <v>2</v>
      </c>
      <c r="C41">
        <v>2</v>
      </c>
      <c r="D41" s="22">
        <f>D4</f>
        <v>49950</v>
      </c>
      <c r="E41">
        <f>E40</f>
        <v>96</v>
      </c>
      <c r="F41" s="38">
        <f>MAX(E41,_xlfn.CEILING.MATH(ROUNDUP(E41*C41*((1-10%)*(1-2%)*(1-1%)),20)))*D41</f>
        <v>8391600</v>
      </c>
      <c r="G41" s="15">
        <f t="shared" ref="G41" si="16">MAX(E41,_xlfn.CEILING.MATH(ROUNDUP(E41*C41*((1-10%)*(1-2%)*(1-1%)),20)))</f>
        <v>168</v>
      </c>
      <c r="H41" s="4"/>
      <c r="I41" s="4"/>
      <c r="J41" t="str">
        <f>A41</f>
        <v>Fermionic Condensates</v>
      </c>
      <c r="K41" s="3">
        <f>G41</f>
        <v>168</v>
      </c>
      <c r="L41" s="20">
        <v>0</v>
      </c>
      <c r="M41" s="6">
        <f t="shared" si="14"/>
        <v>168</v>
      </c>
      <c r="N41" s="2">
        <f>D41</f>
        <v>49950</v>
      </c>
      <c r="O41" s="13">
        <f t="shared" si="15"/>
        <v>8391600</v>
      </c>
    </row>
    <row r="42" spans="1:15" x14ac:dyDescent="0.25">
      <c r="E42" s="1" t="str">
        <f>A39</f>
        <v>Antimatter Reactor Unit</v>
      </c>
      <c r="F42" s="4">
        <f>SUM(F40:F41)</f>
        <v>8501754.5</v>
      </c>
      <c r="J42" t="str">
        <f>A45</f>
        <v>Phenolic Composites</v>
      </c>
      <c r="K42" s="3">
        <f>G45+G55</f>
        <v>15718</v>
      </c>
      <c r="L42" s="20">
        <v>0</v>
      </c>
      <c r="M42" s="6">
        <f t="shared" si="14"/>
        <v>15718</v>
      </c>
      <c r="N42" s="4">
        <f>D45</f>
        <v>1484</v>
      </c>
      <c r="O42" s="13">
        <f t="shared" si="15"/>
        <v>23325512</v>
      </c>
    </row>
    <row r="43" spans="1:15" x14ac:dyDescent="0.25">
      <c r="A43" t="s">
        <v>1</v>
      </c>
      <c r="F43" s="4"/>
      <c r="J43" t="str">
        <f>A46</f>
        <v>Ferrogel</v>
      </c>
      <c r="K43" s="3">
        <f>G46+G50</f>
        <v>696</v>
      </c>
      <c r="L43" s="20">
        <v>0</v>
      </c>
      <c r="M43" s="6">
        <f t="shared" si="14"/>
        <v>696</v>
      </c>
      <c r="N43" s="4">
        <f>D46</f>
        <v>23970</v>
      </c>
      <c r="O43" s="13">
        <f t="shared" si="15"/>
        <v>16683120</v>
      </c>
    </row>
    <row r="44" spans="1:15" x14ac:dyDescent="0.25">
      <c r="A44" t="str">
        <f>A40</f>
        <v>Tungsten Carbide</v>
      </c>
      <c r="B44">
        <v>12</v>
      </c>
      <c r="C44">
        <v>13</v>
      </c>
      <c r="D44" s="37">
        <f>D40</f>
        <v>145.9</v>
      </c>
      <c r="E44">
        <f>IF('Ship Component Reqs'!F19&lt;0,0,'Ship Component Reqs'!F19)</f>
        <v>464</v>
      </c>
      <c r="F44" s="12">
        <f t="shared" ref="F44:F45" si="17">MAX(E44,_xlfn.CEILING.MATH(ROUNDUP(E44*C44*((1-10%)*(1-2%)*(1-1%)),20)))*D44</f>
        <v>768601.20000000007</v>
      </c>
      <c r="G44" s="15">
        <f t="shared" ref="G44:G46" si="18">MAX(E44,_xlfn.CEILING.MATH(ROUNDUP(E44*C44*((1-10%)*(1-2%)*(1-1%)),20)))</f>
        <v>5268</v>
      </c>
      <c r="J44" t="str">
        <f>A51</f>
        <v>Sylramic Fibers</v>
      </c>
      <c r="K44" s="3">
        <f>G51+G72</f>
        <v>46123</v>
      </c>
      <c r="L44" s="20">
        <v>0</v>
      </c>
      <c r="M44" s="6">
        <f t="shared" si="14"/>
        <v>46123</v>
      </c>
      <c r="N44" s="4">
        <f>D51</f>
        <v>332.4</v>
      </c>
      <c r="O44" s="13">
        <f t="shared" si="15"/>
        <v>15331285.199999999</v>
      </c>
    </row>
    <row r="45" spans="1:15" x14ac:dyDescent="0.25">
      <c r="A45" t="s">
        <v>10</v>
      </c>
      <c r="B45">
        <v>3</v>
      </c>
      <c r="C45">
        <v>3</v>
      </c>
      <c r="D45" s="22">
        <f>D8</f>
        <v>1484</v>
      </c>
      <c r="E45">
        <f>E44</f>
        <v>464</v>
      </c>
      <c r="F45" s="12">
        <f t="shared" si="17"/>
        <v>1804544</v>
      </c>
      <c r="G45" s="15">
        <f t="shared" si="18"/>
        <v>1216</v>
      </c>
      <c r="J45" t="str">
        <f>A56</f>
        <v>Terahertz Meta Materials</v>
      </c>
      <c r="K45" s="3">
        <f>G56+G67</f>
        <v>6448</v>
      </c>
      <c r="L45" s="20"/>
      <c r="M45" s="6">
        <f t="shared" si="14"/>
        <v>6448</v>
      </c>
      <c r="N45" s="4">
        <f>D56</f>
        <v>11940</v>
      </c>
      <c r="O45" s="13">
        <f t="shared" si="15"/>
        <v>76989120</v>
      </c>
    </row>
    <row r="46" spans="1:15" ht="17.25" x14ac:dyDescent="0.4">
      <c r="A46" t="s">
        <v>11</v>
      </c>
      <c r="B46">
        <v>1</v>
      </c>
      <c r="C46">
        <v>1</v>
      </c>
      <c r="D46" s="22">
        <f>D9</f>
        <v>23970</v>
      </c>
      <c r="E46">
        <f>E44</f>
        <v>464</v>
      </c>
      <c r="F46" s="38">
        <f>MAX(E46,_xlfn.CEILING.MATH(ROUNDUP(E46*C46*((1-10%)*(1-2%)*(1-1%)),20)))*D46</f>
        <v>11122080</v>
      </c>
      <c r="G46" s="15">
        <f t="shared" si="18"/>
        <v>464</v>
      </c>
      <c r="J46" t="str">
        <f>A57</f>
        <v>Nano Transistors</v>
      </c>
      <c r="K46" s="3">
        <f>G61+G66+G57</f>
        <v>6682</v>
      </c>
      <c r="L46" s="20">
        <v>0</v>
      </c>
      <c r="M46" s="6">
        <f>((K46)-L46)</f>
        <v>6682</v>
      </c>
      <c r="N46" s="4">
        <f>D57</f>
        <v>3902</v>
      </c>
      <c r="O46" s="13">
        <f t="shared" si="15"/>
        <v>26073164</v>
      </c>
    </row>
    <row r="47" spans="1:15" x14ac:dyDescent="0.25">
      <c r="E47" s="1" t="str">
        <f>A43</f>
        <v>Fusion Thruster</v>
      </c>
      <c r="F47" s="4">
        <f>SUM(F44:F46)*1.03</f>
        <v>14106081.956</v>
      </c>
      <c r="J47" t="str">
        <f>A62</f>
        <v>Hypersynaptic Fibers</v>
      </c>
      <c r="K47" s="3">
        <f>G62</f>
        <v>1614</v>
      </c>
      <c r="L47" s="20">
        <v>0</v>
      </c>
      <c r="M47" s="6">
        <f t="shared" si="14"/>
        <v>1614</v>
      </c>
      <c r="N47" s="4">
        <f>D62</f>
        <v>6173</v>
      </c>
      <c r="O47" s="13">
        <f t="shared" si="15"/>
        <v>9963222</v>
      </c>
    </row>
    <row r="48" spans="1:15" ht="17.25" x14ac:dyDescent="0.4">
      <c r="A48" t="s">
        <v>7</v>
      </c>
      <c r="F48" s="4"/>
      <c r="J48" t="str">
        <f>A68</f>
        <v>Fullerides</v>
      </c>
      <c r="K48" s="3">
        <f>G68</f>
        <v>8876</v>
      </c>
      <c r="L48" s="20"/>
      <c r="M48" s="6">
        <f t="shared" si="14"/>
        <v>8876</v>
      </c>
      <c r="N48" s="4">
        <f>D68</f>
        <v>579.4</v>
      </c>
      <c r="O48" s="11">
        <f t="shared" si="15"/>
        <v>5142754.3999999994</v>
      </c>
    </row>
    <row r="49" spans="1:15" x14ac:dyDescent="0.25">
      <c r="A49" t="str">
        <f>A44</f>
        <v>Tungsten Carbide</v>
      </c>
      <c r="B49">
        <v>20</v>
      </c>
      <c r="C49">
        <v>22</v>
      </c>
      <c r="D49" s="37">
        <f>D40</f>
        <v>145.9</v>
      </c>
      <c r="E49">
        <f>IF('Ship Component Reqs'!F20&lt;0,0,'Ship Component Reqs'!F20)</f>
        <v>232</v>
      </c>
      <c r="F49" s="12">
        <f t="shared" ref="F49:F50" si="19">MAX(E49,_xlfn.CEILING.MATH(ROUNDUP(E49*C49*((1-10%)*(1-2%)*(1-1%)),20)))*D49</f>
        <v>650276.30000000005</v>
      </c>
      <c r="G49" s="15">
        <f t="shared" ref="G49:G51" si="20">MAX(E49,_xlfn.CEILING.MATH(ROUNDUP(E49*C49*((1-10%)*(1-2%)*(1-1%)),20)))</f>
        <v>4457</v>
      </c>
      <c r="H49" s="4"/>
      <c r="K49" s="10"/>
      <c r="M49" s="3">
        <f>M48+M521</f>
        <v>16657</v>
      </c>
      <c r="O49" s="4">
        <f>SUM(O40:O48)</f>
        <v>221044455.80000001</v>
      </c>
    </row>
    <row r="50" spans="1:15" x14ac:dyDescent="0.25">
      <c r="A50" t="str">
        <f>A46</f>
        <v>Ferrogel</v>
      </c>
      <c r="B50">
        <v>1</v>
      </c>
      <c r="C50">
        <v>1</v>
      </c>
      <c r="D50" s="37">
        <f>D46</f>
        <v>23970</v>
      </c>
      <c r="E50">
        <f>E49</f>
        <v>232</v>
      </c>
      <c r="F50" s="12">
        <f t="shared" si="19"/>
        <v>5561040</v>
      </c>
      <c r="G50" s="15">
        <f t="shared" si="20"/>
        <v>232</v>
      </c>
      <c r="J50" s="4"/>
      <c r="K50" t="s">
        <v>46</v>
      </c>
    </row>
    <row r="51" spans="1:15" ht="17.25" x14ac:dyDescent="0.4">
      <c r="A51" t="s">
        <v>12</v>
      </c>
      <c r="B51">
        <v>9</v>
      </c>
      <c r="C51">
        <v>9</v>
      </c>
      <c r="D51" s="22">
        <f>D14</f>
        <v>332.4</v>
      </c>
      <c r="E51">
        <f>E49</f>
        <v>232</v>
      </c>
      <c r="F51" s="38">
        <f>MAX(E51,_xlfn.CEILING.MATH(ROUNDUP(E51*C51*((1-10%)*(1-2%)*(1-1%)),20)))*D51</f>
        <v>606297.59999999998</v>
      </c>
      <c r="G51" s="15">
        <f t="shared" si="20"/>
        <v>1824</v>
      </c>
    </row>
    <row r="52" spans="1:15" x14ac:dyDescent="0.25">
      <c r="E52" s="1" t="str">
        <f>A48</f>
        <v>Linear Shield Emitter</v>
      </c>
      <c r="F52" s="4">
        <f>SUM(F49:F51)*1.03</f>
        <v>7022142.3169999998</v>
      </c>
      <c r="J52" s="4"/>
    </row>
    <row r="53" spans="1:15" x14ac:dyDescent="0.25">
      <c r="A53" t="s">
        <v>4</v>
      </c>
      <c r="F53" s="4"/>
    </row>
    <row r="54" spans="1:15" x14ac:dyDescent="0.25">
      <c r="A54" t="str">
        <f>A49</f>
        <v>Tungsten Carbide</v>
      </c>
      <c r="B54">
        <v>16</v>
      </c>
      <c r="C54">
        <v>17</v>
      </c>
      <c r="D54" s="2">
        <f>D49</f>
        <v>145.9</v>
      </c>
      <c r="E54">
        <f>IF('Ship Component Reqs'!F21&lt;0,0,'Ship Component Reqs'!F21)</f>
        <v>2768</v>
      </c>
      <c r="F54" s="12">
        <f t="shared" ref="F54:F56" si="21">MAX(E54,_xlfn.CEILING.MATH(ROUNDUP(E54*C54*((1-10%)*(1-2%)*(1-1%)),20)))*D54</f>
        <v>5994885.1000000006</v>
      </c>
      <c r="G54" s="15">
        <f t="shared" ref="G54:G57" si="22">MAX(E54,_xlfn.CEILING.MATH(ROUNDUP(E54*C54*((1-10%)*(1-2%)*(1-1%)),20)))</f>
        <v>41089</v>
      </c>
      <c r="H54" s="4"/>
    </row>
    <row r="55" spans="1:15" x14ac:dyDescent="0.25">
      <c r="A55" t="str">
        <f>A45</f>
        <v>Phenolic Composites</v>
      </c>
      <c r="B55">
        <v>6</v>
      </c>
      <c r="C55">
        <v>6</v>
      </c>
      <c r="D55" s="2">
        <f>D45</f>
        <v>1484</v>
      </c>
      <c r="E55">
        <f>E54</f>
        <v>2768</v>
      </c>
      <c r="F55" s="12">
        <f t="shared" si="21"/>
        <v>21520968</v>
      </c>
      <c r="G55" s="15">
        <f t="shared" si="22"/>
        <v>14502</v>
      </c>
      <c r="N55" s="16"/>
    </row>
    <row r="56" spans="1:15" x14ac:dyDescent="0.25">
      <c r="A56" t="s">
        <v>13</v>
      </c>
      <c r="B56">
        <v>2</v>
      </c>
      <c r="C56">
        <v>2</v>
      </c>
      <c r="D56" s="22">
        <f>D19</f>
        <v>11940</v>
      </c>
      <c r="E56">
        <f>E54</f>
        <v>2768</v>
      </c>
      <c r="F56" s="12">
        <f t="shared" si="21"/>
        <v>57717960</v>
      </c>
      <c r="G56" s="15">
        <f t="shared" si="22"/>
        <v>4834</v>
      </c>
    </row>
    <row r="57" spans="1:15" ht="17.25" x14ac:dyDescent="0.4">
      <c r="A57" t="s">
        <v>14</v>
      </c>
      <c r="B57">
        <v>2</v>
      </c>
      <c r="C57">
        <v>2</v>
      </c>
      <c r="D57" s="22">
        <f>D20</f>
        <v>3902</v>
      </c>
      <c r="E57">
        <f>E55</f>
        <v>2768</v>
      </c>
      <c r="F57" s="38">
        <f>MAX(E57,_xlfn.CEILING.MATH(ROUNDUP(E57*C57*((1-10%)*(1-2%)*(1-1%)),20)))*D57</f>
        <v>18862268</v>
      </c>
      <c r="G57" s="15">
        <f t="shared" si="22"/>
        <v>4834</v>
      </c>
    </row>
    <row r="58" spans="1:15" x14ac:dyDescent="0.25">
      <c r="E58" s="1" t="str">
        <f>A53</f>
        <v>Nanoelectrical Microprocessor</v>
      </c>
      <c r="F58" s="4">
        <f>SUM(F54:F57)*1.03</f>
        <v>107218963.53299999</v>
      </c>
    </row>
    <row r="59" spans="1:15" x14ac:dyDescent="0.25">
      <c r="A59" t="s">
        <v>3</v>
      </c>
      <c r="F59" s="4"/>
    </row>
    <row r="60" spans="1:15" x14ac:dyDescent="0.25">
      <c r="A60" t="str">
        <f>A54</f>
        <v>Tungsten Carbide</v>
      </c>
      <c r="B60">
        <v>20</v>
      </c>
      <c r="C60">
        <v>22</v>
      </c>
      <c r="D60" s="2">
        <f>D54</f>
        <v>145.9</v>
      </c>
      <c r="E60">
        <f>IF('Ship Component Reqs'!F22&lt;0,0,'Ship Component Reqs'!F22)</f>
        <v>924</v>
      </c>
      <c r="F60" s="12">
        <f t="shared" ref="F60:F61" si="23">MAX(E60,_xlfn.CEILING.MATH(ROUNDUP(E60*C60*((1-10%)*(1-2%)*(1-1%)),20)))*D60</f>
        <v>2589870.9</v>
      </c>
      <c r="G60" s="15">
        <f t="shared" ref="G60:G62" si="24">MAX(E60,_xlfn.CEILING.MATH(ROUNDUP(E60*C60*((1-10%)*(1-2%)*(1-1%)),20)))</f>
        <v>17751</v>
      </c>
      <c r="H60" s="4"/>
      <c r="K60" s="14"/>
    </row>
    <row r="61" spans="1:15" x14ac:dyDescent="0.25">
      <c r="A61" t="s">
        <v>14</v>
      </c>
      <c r="B61">
        <v>1</v>
      </c>
      <c r="C61">
        <v>1</v>
      </c>
      <c r="D61" s="2">
        <f>D57</f>
        <v>3902</v>
      </c>
      <c r="E61">
        <f>E60</f>
        <v>924</v>
      </c>
      <c r="F61" s="12">
        <f t="shared" si="23"/>
        <v>3605448</v>
      </c>
      <c r="G61" s="15">
        <f t="shared" si="24"/>
        <v>924</v>
      </c>
    </row>
    <row r="62" spans="1:15" ht="17.25" x14ac:dyDescent="0.4">
      <c r="A62" t="s">
        <v>15</v>
      </c>
      <c r="B62">
        <v>2</v>
      </c>
      <c r="C62">
        <v>2</v>
      </c>
      <c r="D62" s="22">
        <f>D25</f>
        <v>6173</v>
      </c>
      <c r="E62">
        <f>E61</f>
        <v>924</v>
      </c>
      <c r="F62" s="38">
        <f>MAX(E62,_xlfn.CEILING.MATH(ROUNDUP(E62*C62*((1-10%)*(1-2%)*(1-1%)),20)))*D62</f>
        <v>9963222</v>
      </c>
      <c r="G62" s="15">
        <f t="shared" si="24"/>
        <v>1614</v>
      </c>
    </row>
    <row r="63" spans="1:15" x14ac:dyDescent="0.25">
      <c r="E63" s="1" t="str">
        <f>A59</f>
        <v>Radar Sensor Cluster</v>
      </c>
      <c r="F63" s="4">
        <f>SUM(F60:F62)*1.03</f>
        <v>16643297.127</v>
      </c>
    </row>
    <row r="64" spans="1:15" x14ac:dyDescent="0.25">
      <c r="A64" t="s">
        <v>2</v>
      </c>
      <c r="F64" s="4"/>
    </row>
    <row r="65" spans="1:15" x14ac:dyDescent="0.25">
      <c r="A65" t="str">
        <f>A60</f>
        <v>Tungsten Carbide</v>
      </c>
      <c r="B65">
        <v>25</v>
      </c>
      <c r="C65">
        <v>27</v>
      </c>
      <c r="D65" s="2">
        <f>D60</f>
        <v>145.9</v>
      </c>
      <c r="E65">
        <f>IF('Ship Component Reqs'!F23&lt;0,0,'Ship Component Reqs'!F23)</f>
        <v>924</v>
      </c>
      <c r="F65" s="12">
        <f t="shared" ref="F65:F67" si="25">MAX(E65,_xlfn.CEILING.MATH(ROUNDUP(E65*C65*((1-10%)*(1-2%)*(1-1%)),20)))*D65</f>
        <v>3178431.5</v>
      </c>
      <c r="G65" s="15">
        <f t="shared" ref="G65:G68" si="26">MAX(E65,_xlfn.CEILING.MATH(ROUNDUP(E65*C65*((1-10%)*(1-2%)*(1-1%)),20)))</f>
        <v>21785</v>
      </c>
      <c r="H65" s="4"/>
    </row>
    <row r="66" spans="1:15" x14ac:dyDescent="0.25">
      <c r="A66" t="str">
        <f>A61</f>
        <v>Nano Transistors</v>
      </c>
      <c r="B66">
        <v>1</v>
      </c>
      <c r="C66">
        <v>1</v>
      </c>
      <c r="D66" s="2">
        <f>D61</f>
        <v>3902</v>
      </c>
      <c r="E66">
        <f>E65</f>
        <v>924</v>
      </c>
      <c r="F66" s="12">
        <f t="shared" si="25"/>
        <v>3605448</v>
      </c>
      <c r="G66" s="15">
        <f t="shared" si="26"/>
        <v>924</v>
      </c>
    </row>
    <row r="67" spans="1:15" x14ac:dyDescent="0.25">
      <c r="A67" t="str">
        <f>A56</f>
        <v>Terahertz Meta Materials</v>
      </c>
      <c r="B67">
        <v>2</v>
      </c>
      <c r="C67">
        <v>2</v>
      </c>
      <c r="D67" s="2">
        <f>D56</f>
        <v>11940</v>
      </c>
      <c r="E67">
        <f>E65</f>
        <v>924</v>
      </c>
      <c r="F67" s="12">
        <f t="shared" si="25"/>
        <v>19271160</v>
      </c>
      <c r="G67" s="15">
        <f t="shared" si="26"/>
        <v>1614</v>
      </c>
      <c r="I67" s="10"/>
    </row>
    <row r="68" spans="1:15" ht="17.25" x14ac:dyDescent="0.4">
      <c r="A68" t="s">
        <v>16</v>
      </c>
      <c r="B68">
        <v>10</v>
      </c>
      <c r="C68">
        <v>11</v>
      </c>
      <c r="D68" s="22">
        <f>D31</f>
        <v>579.4</v>
      </c>
      <c r="E68">
        <f>E66</f>
        <v>924</v>
      </c>
      <c r="F68" s="38">
        <f>MAX(E68,_xlfn.CEILING.MATH(ROUNDUP(E68*C68*((1-10%)*(1-2%)*(1-1%)),20)))*D68</f>
        <v>5142754.3999999994</v>
      </c>
      <c r="G68" s="15">
        <f t="shared" si="26"/>
        <v>8876</v>
      </c>
    </row>
    <row r="69" spans="1:15" x14ac:dyDescent="0.25">
      <c r="E69" s="1" t="str">
        <f>A64</f>
        <v>Tesseract Capacitor Unit</v>
      </c>
      <c r="F69" s="4">
        <f>SUM(F65:F68)*1.03</f>
        <v>32133727.717</v>
      </c>
    </row>
    <row r="70" spans="1:15" x14ac:dyDescent="0.25">
      <c r="A70" t="s">
        <v>5</v>
      </c>
      <c r="F70" s="4"/>
    </row>
    <row r="71" spans="1:15" x14ac:dyDescent="0.25">
      <c r="A71" t="str">
        <f>A65</f>
        <v>Tungsten Carbide</v>
      </c>
      <c r="B71">
        <v>40</v>
      </c>
      <c r="C71">
        <v>44</v>
      </c>
      <c r="D71" s="2">
        <f>D65</f>
        <v>145.9</v>
      </c>
      <c r="E71">
        <f>IF('Ship Component Reqs'!F24&lt;0,0,'Ship Component Reqs'!F24)</f>
        <v>4612</v>
      </c>
      <c r="F71" s="12">
        <f>MAX(E71,_xlfn.CEILING.MATH(ROUNDUP(E71*C71*((1-10%)*(1-2%)*(1-1%)),20)))*D71</f>
        <v>25852458.699999999</v>
      </c>
      <c r="G71" s="15">
        <f>MAX(E71,_xlfn.CEILING.MATH(ROUNDUP(E71*C71*((1-10%)*(1-2%)*(1-1%)),20)))</f>
        <v>177193</v>
      </c>
      <c r="H71" s="4"/>
    </row>
    <row r="72" spans="1:15" ht="17.25" x14ac:dyDescent="0.4">
      <c r="A72" t="str">
        <f>A51</f>
        <v>Sylramic Fibers</v>
      </c>
      <c r="B72">
        <v>10</v>
      </c>
      <c r="C72">
        <v>11</v>
      </c>
      <c r="D72" s="2">
        <f>D51</f>
        <v>332.4</v>
      </c>
      <c r="E72">
        <f>E71</f>
        <v>4612</v>
      </c>
      <c r="F72" s="38">
        <f>MAX(E72,_xlfn.CEILING.MATH(ROUNDUP(E72*C72*((1-10%)*(1-2%)*(1-1%)),20)))*D72</f>
        <v>14724987.6</v>
      </c>
      <c r="G72" s="15">
        <f t="shared" ref="G72" si="27">MAX(E72,_xlfn.CEILING.MATH(ROUNDUP(E72*C72*((1-10%)*(1-2%)*(1-1%)),20)))</f>
        <v>44299</v>
      </c>
    </row>
    <row r="73" spans="1:15" x14ac:dyDescent="0.25">
      <c r="E73" s="1" t="str">
        <f>A70</f>
        <v>Tungsten Carbide Armor Plate</v>
      </c>
      <c r="F73" s="4">
        <f>SUM(F71:F72)*1.03</f>
        <v>41794769.688999996</v>
      </c>
      <c r="G73" s="4"/>
    </row>
    <row r="74" spans="1:15" s="17" customFormat="1" x14ac:dyDescent="0.25">
      <c r="D74" s="30"/>
      <c r="K74" s="18"/>
      <c r="L74" s="18"/>
      <c r="M74" s="18"/>
    </row>
    <row r="75" spans="1:15" x14ac:dyDescent="0.25">
      <c r="A75" t="s">
        <v>236</v>
      </c>
      <c r="E75" s="1"/>
      <c r="F75" s="4"/>
    </row>
    <row r="76" spans="1:15" x14ac:dyDescent="0.25">
      <c r="A76" t="s">
        <v>6</v>
      </c>
      <c r="D76" s="2" t="s">
        <v>21</v>
      </c>
      <c r="E76" t="s">
        <v>19</v>
      </c>
      <c r="G76" t="s">
        <v>24</v>
      </c>
      <c r="J76" t="s">
        <v>25</v>
      </c>
      <c r="K76" s="3" t="s">
        <v>30</v>
      </c>
      <c r="L76" s="3" t="s">
        <v>27</v>
      </c>
      <c r="M76" s="3" t="s">
        <v>35</v>
      </c>
      <c r="N76" t="s">
        <v>26</v>
      </c>
      <c r="O76" s="3" t="s">
        <v>34</v>
      </c>
    </row>
    <row r="77" spans="1:15" x14ac:dyDescent="0.25">
      <c r="A77" t="s">
        <v>8</v>
      </c>
      <c r="B77">
        <v>9</v>
      </c>
      <c r="C77">
        <v>9</v>
      </c>
      <c r="D77" s="22">
        <f>D40</f>
        <v>145.9</v>
      </c>
      <c r="E77">
        <f>E3+E40</f>
        <v>204</v>
      </c>
      <c r="F77" s="12">
        <f>MAX(E77,_xlfn.CEILING.MATH(ROUNDUP(E77*C77*((1-10%)*(1-2%)*(1-1%)),20)))*D77</f>
        <v>234023.6</v>
      </c>
      <c r="G77" s="15">
        <f>MAX(E77,_xlfn.CEILING.MATH(ROUNDUP(E77*C77*((1-10%)*(1-2%)*(1-1%)),20)))</f>
        <v>1604</v>
      </c>
      <c r="H77" s="4"/>
      <c r="I77" s="4"/>
      <c r="J77" t="str">
        <f>A77</f>
        <v>Tungsten Carbide</v>
      </c>
      <c r="K77" s="3">
        <f>G77+G81+G86+G91+G97+G102+G108</f>
        <v>856870</v>
      </c>
      <c r="L77" s="20"/>
      <c r="M77" s="6">
        <f t="shared" ref="M77:M82" si="28">((K77)-L77)</f>
        <v>856870</v>
      </c>
      <c r="N77" s="4">
        <f>D77</f>
        <v>145.9</v>
      </c>
      <c r="O77" s="13">
        <f t="shared" ref="O77:O85" si="29">IF(M77&lt;0,0,M77*N77)</f>
        <v>125017333</v>
      </c>
    </row>
    <row r="78" spans="1:15" ht="17.25" x14ac:dyDescent="0.4">
      <c r="A78" t="s">
        <v>9</v>
      </c>
      <c r="B78">
        <v>2</v>
      </c>
      <c r="C78">
        <v>2</v>
      </c>
      <c r="D78" s="22">
        <f>D41</f>
        <v>49950</v>
      </c>
      <c r="E78">
        <f>E77</f>
        <v>204</v>
      </c>
      <c r="F78" s="38">
        <f>MAX(E78,_xlfn.CEILING.MATH(ROUNDUP(E78*C78*((1-10%)*(1-2%)*(1-1%)),20)))*D78</f>
        <v>17832150</v>
      </c>
      <c r="G78" s="15">
        <f t="shared" ref="G78" si="30">MAX(E78,_xlfn.CEILING.MATH(ROUNDUP(E78*C78*((1-10%)*(1-2%)*(1-1%)),20)))</f>
        <v>357</v>
      </c>
      <c r="H78" s="4"/>
      <c r="J78" t="str">
        <f>A78</f>
        <v>Fermionic Condensates</v>
      </c>
      <c r="K78" s="3">
        <f>G78</f>
        <v>357</v>
      </c>
      <c r="L78" s="20">
        <v>0</v>
      </c>
      <c r="M78" s="6">
        <f t="shared" si="28"/>
        <v>357</v>
      </c>
      <c r="N78" s="2">
        <f>D78</f>
        <v>49950</v>
      </c>
      <c r="O78" s="13">
        <f t="shared" si="29"/>
        <v>17832150</v>
      </c>
    </row>
    <row r="79" spans="1:15" x14ac:dyDescent="0.25">
      <c r="E79" s="1" t="str">
        <f>A76</f>
        <v>Antimatter Reactor Unit</v>
      </c>
      <c r="F79" s="4">
        <f>SUM(F77:F78)</f>
        <v>18066173.600000001</v>
      </c>
      <c r="J79" t="str">
        <f>A82</f>
        <v>Phenolic Composites</v>
      </c>
      <c r="K79" s="3">
        <f>G82+G92</f>
        <v>45612</v>
      </c>
      <c r="L79" s="20">
        <v>0</v>
      </c>
      <c r="M79" s="6">
        <f t="shared" si="28"/>
        <v>45612</v>
      </c>
      <c r="N79" s="4">
        <f>D82</f>
        <v>1484</v>
      </c>
      <c r="O79" s="13">
        <f t="shared" si="29"/>
        <v>67688208</v>
      </c>
    </row>
    <row r="80" spans="1:15" x14ac:dyDescent="0.25">
      <c r="A80" t="s">
        <v>1</v>
      </c>
      <c r="F80" s="4"/>
      <c r="J80" t="str">
        <f>A83</f>
        <v>Ferrogel</v>
      </c>
      <c r="K80" s="3">
        <f>G83+G87</f>
        <v>1218</v>
      </c>
      <c r="L80" s="20">
        <v>0</v>
      </c>
      <c r="M80" s="6">
        <f t="shared" si="28"/>
        <v>1218</v>
      </c>
      <c r="N80" s="4">
        <f>D83</f>
        <v>23970</v>
      </c>
      <c r="O80" s="13">
        <f t="shared" si="29"/>
        <v>29195460</v>
      </c>
    </row>
    <row r="81" spans="1:15" x14ac:dyDescent="0.25">
      <c r="A81" t="str">
        <f>A77</f>
        <v>Tungsten Carbide</v>
      </c>
      <c r="B81">
        <v>12</v>
      </c>
      <c r="C81">
        <v>13</v>
      </c>
      <c r="D81" s="37">
        <f>D77</f>
        <v>145.9</v>
      </c>
      <c r="E81">
        <f>E7+E44</f>
        <v>464</v>
      </c>
      <c r="F81" s="12">
        <f t="shared" ref="F81:F82" si="31">MAX(E81,_xlfn.CEILING.MATH(ROUNDUP(E81*C81*((1-10%)*(1-2%)*(1-1%)),20)))*D81</f>
        <v>768601.20000000007</v>
      </c>
      <c r="G81" s="15">
        <f t="shared" ref="G81:G83" si="32">MAX(E81,_xlfn.CEILING.MATH(ROUNDUP(E81*C81*((1-10%)*(1-2%)*(1-1%)),20)))</f>
        <v>5268</v>
      </c>
      <c r="J81" t="str">
        <f>A88</f>
        <v>Sylramic Fibers</v>
      </c>
      <c r="K81" s="3">
        <f>G88+G109</f>
        <v>149896</v>
      </c>
      <c r="L81" s="20"/>
      <c r="M81" s="6">
        <f t="shared" si="28"/>
        <v>149896</v>
      </c>
      <c r="N81" s="4">
        <f>D88</f>
        <v>332.4</v>
      </c>
      <c r="O81" s="13">
        <f t="shared" si="29"/>
        <v>49825430.399999999</v>
      </c>
    </row>
    <row r="82" spans="1:15" x14ac:dyDescent="0.25">
      <c r="A82" t="s">
        <v>10</v>
      </c>
      <c r="B82">
        <v>3</v>
      </c>
      <c r="C82">
        <v>3</v>
      </c>
      <c r="D82" s="22">
        <f>D45</f>
        <v>1484</v>
      </c>
      <c r="E82">
        <f>E81</f>
        <v>464</v>
      </c>
      <c r="F82" s="12">
        <f t="shared" si="31"/>
        <v>1804544</v>
      </c>
      <c r="G82" s="15">
        <f t="shared" si="32"/>
        <v>1216</v>
      </c>
      <c r="J82" t="str">
        <f>A93</f>
        <v>Terahertz Meta Materials</v>
      </c>
      <c r="K82" s="3">
        <f>G93+G104</f>
        <v>20044</v>
      </c>
      <c r="L82" s="20">
        <v>0</v>
      </c>
      <c r="M82" s="6">
        <f t="shared" si="28"/>
        <v>20044</v>
      </c>
      <c r="N82" s="4">
        <f>D93</f>
        <v>11940</v>
      </c>
      <c r="O82" s="13">
        <f t="shared" si="29"/>
        <v>239325360</v>
      </c>
    </row>
    <row r="83" spans="1:15" ht="17.25" x14ac:dyDescent="0.4">
      <c r="A83" t="s">
        <v>11</v>
      </c>
      <c r="B83">
        <v>1</v>
      </c>
      <c r="C83">
        <v>1</v>
      </c>
      <c r="D83" s="22">
        <f>D46</f>
        <v>23970</v>
      </c>
      <c r="E83">
        <f>E81</f>
        <v>464</v>
      </c>
      <c r="F83" s="38">
        <f>MAX(E83,_xlfn.CEILING.MATH(ROUNDUP(E83*C83*((1-10%)*(1-2%)*(1-1%)),20)))*D83</f>
        <v>11122080</v>
      </c>
      <c r="G83" s="15">
        <f t="shared" si="32"/>
        <v>464</v>
      </c>
      <c r="J83" t="str">
        <f>A94</f>
        <v>Nano Transistors</v>
      </c>
      <c r="K83" s="3">
        <f>G98+G103+G94</f>
        <v>21084</v>
      </c>
      <c r="L83" s="20">
        <v>0</v>
      </c>
      <c r="M83" s="6">
        <f>((K83)-L83)</f>
        <v>21084</v>
      </c>
      <c r="N83" s="4">
        <f>D94</f>
        <v>3902</v>
      </c>
      <c r="O83" s="13">
        <f t="shared" si="29"/>
        <v>82269768</v>
      </c>
    </row>
    <row r="84" spans="1:15" x14ac:dyDescent="0.25">
      <c r="E84" s="1" t="str">
        <f>A80</f>
        <v>Fusion Thruster</v>
      </c>
      <c r="F84" s="4">
        <f>SUM(F81:F83)*1.03</f>
        <v>14106081.956</v>
      </c>
      <c r="J84" t="str">
        <f>A99</f>
        <v>Hypersynaptic Fibers</v>
      </c>
      <c r="K84" s="3">
        <f>G99</f>
        <v>5732</v>
      </c>
      <c r="L84" s="20">
        <v>0</v>
      </c>
      <c r="M84" s="6">
        <f>((K84)-L84)</f>
        <v>5732</v>
      </c>
      <c r="N84" s="4">
        <f>D99</f>
        <v>6173</v>
      </c>
      <c r="O84" s="13">
        <f t="shared" si="29"/>
        <v>35383636</v>
      </c>
    </row>
    <row r="85" spans="1:15" ht="17.25" x14ac:dyDescent="0.4">
      <c r="A85" t="s">
        <v>7</v>
      </c>
      <c r="F85" s="4"/>
      <c r="J85" t="str">
        <f>A105</f>
        <v>Fullerides</v>
      </c>
      <c r="K85" s="3">
        <f>G105</f>
        <v>28844</v>
      </c>
      <c r="L85" s="20">
        <v>0</v>
      </c>
      <c r="M85" s="6">
        <f>((K85)-L85)</f>
        <v>28844</v>
      </c>
      <c r="N85" s="4">
        <f>D105</f>
        <v>579.4</v>
      </c>
      <c r="O85" s="11">
        <f t="shared" si="29"/>
        <v>16712213.6</v>
      </c>
    </row>
    <row r="86" spans="1:15" x14ac:dyDescent="0.25">
      <c r="A86" t="str">
        <f>A81</f>
        <v>Tungsten Carbide</v>
      </c>
      <c r="B86">
        <v>20</v>
      </c>
      <c r="C86">
        <v>22</v>
      </c>
      <c r="D86" s="37">
        <f>D77</f>
        <v>145.9</v>
      </c>
      <c r="E86">
        <f>E12+E49</f>
        <v>754</v>
      </c>
      <c r="F86" s="12">
        <f t="shared" ref="F86:F87" si="33">MAX(E86,_xlfn.CEILING.MATH(ROUNDUP(E86*C86*((1-10%)*(1-2%)*(1-1%)),20)))*D86</f>
        <v>2113361.5</v>
      </c>
      <c r="G86" s="15">
        <f t="shared" ref="G86:G88" si="34">MAX(E86,_xlfn.CEILING.MATH(ROUNDUP(E86*C86*((1-10%)*(1-2%)*(1-1%)),20)))</f>
        <v>14485</v>
      </c>
      <c r="H86" s="4"/>
      <c r="K86" s="10"/>
      <c r="O86" s="4">
        <f>SUM(O77:O85)</f>
        <v>663249559</v>
      </c>
    </row>
    <row r="87" spans="1:15" x14ac:dyDescent="0.25">
      <c r="A87" t="str">
        <f>A83</f>
        <v>Ferrogel</v>
      </c>
      <c r="B87">
        <v>1</v>
      </c>
      <c r="C87">
        <v>1</v>
      </c>
      <c r="D87" s="37">
        <f>D83</f>
        <v>23970</v>
      </c>
      <c r="E87">
        <f>E86</f>
        <v>754</v>
      </c>
      <c r="F87" s="12">
        <f t="shared" si="33"/>
        <v>18073380</v>
      </c>
      <c r="G87" s="15">
        <f t="shared" si="34"/>
        <v>754</v>
      </c>
      <c r="J87" s="4"/>
      <c r="K87" t="s">
        <v>46</v>
      </c>
    </row>
    <row r="88" spans="1:15" ht="17.25" x14ac:dyDescent="0.4">
      <c r="A88" t="s">
        <v>12</v>
      </c>
      <c r="B88">
        <v>9</v>
      </c>
      <c r="C88">
        <v>9</v>
      </c>
      <c r="D88" s="22">
        <f>D51</f>
        <v>332.4</v>
      </c>
      <c r="E88">
        <f>E86</f>
        <v>754</v>
      </c>
      <c r="F88" s="38">
        <f>MAX(E88,_xlfn.CEILING.MATH(ROUNDUP(E88*C88*((1-10%)*(1-2%)*(1-1%)),20)))*D88</f>
        <v>1969802.4</v>
      </c>
      <c r="G88" s="15">
        <f t="shared" si="34"/>
        <v>5926</v>
      </c>
    </row>
    <row r="89" spans="1:15" x14ac:dyDescent="0.25">
      <c r="E89" s="1" t="str">
        <f>A85</f>
        <v>Linear Shield Emitter</v>
      </c>
      <c r="F89" s="4">
        <f>SUM(F86:F88)*1.03</f>
        <v>22821240.217</v>
      </c>
      <c r="J89" s="4"/>
    </row>
    <row r="90" spans="1:15" x14ac:dyDescent="0.25">
      <c r="A90" t="s">
        <v>4</v>
      </c>
      <c r="F90" s="4"/>
    </row>
    <row r="91" spans="1:15" x14ac:dyDescent="0.25">
      <c r="A91" t="str">
        <f>A86</f>
        <v>Tungsten Carbide</v>
      </c>
      <c r="B91">
        <v>16</v>
      </c>
      <c r="C91">
        <v>17</v>
      </c>
      <c r="D91" s="2">
        <f>D86</f>
        <v>145.9</v>
      </c>
      <c r="E91">
        <f>E54+E17</f>
        <v>8474</v>
      </c>
      <c r="F91" s="12">
        <f t="shared" ref="F91:F93" si="35">MAX(E91,_xlfn.CEILING.MATH(ROUNDUP(E91*C91*((1-10%)*(1-2%)*(1-1%)),20)))*D91</f>
        <v>18352615.100000001</v>
      </c>
      <c r="G91" s="15">
        <f t="shared" ref="G91:G94" si="36">MAX(E91,_xlfn.CEILING.MATH(ROUNDUP(E91*C91*((1-10%)*(1-2%)*(1-1%)),20)))</f>
        <v>125789</v>
      </c>
      <c r="H91" s="4"/>
    </row>
    <row r="92" spans="1:15" x14ac:dyDescent="0.25">
      <c r="A92" t="str">
        <f>A82</f>
        <v>Phenolic Composites</v>
      </c>
      <c r="B92">
        <v>6</v>
      </c>
      <c r="C92">
        <v>6</v>
      </c>
      <c r="D92" s="2">
        <f>D82</f>
        <v>1484</v>
      </c>
      <c r="E92">
        <f>E91</f>
        <v>8474</v>
      </c>
      <c r="F92" s="12">
        <f t="shared" si="35"/>
        <v>65883664</v>
      </c>
      <c r="G92" s="15">
        <f t="shared" si="36"/>
        <v>44396</v>
      </c>
      <c r="N92" s="16"/>
    </row>
    <row r="93" spans="1:15" x14ac:dyDescent="0.25">
      <c r="A93" t="s">
        <v>13</v>
      </c>
      <c r="B93">
        <v>2</v>
      </c>
      <c r="C93">
        <v>2</v>
      </c>
      <c r="D93" s="22">
        <f>D56</f>
        <v>11940</v>
      </c>
      <c r="E93">
        <f>E91</f>
        <v>8474</v>
      </c>
      <c r="F93" s="12">
        <f t="shared" si="35"/>
        <v>176700060</v>
      </c>
      <c r="G93" s="15">
        <f t="shared" si="36"/>
        <v>14799</v>
      </c>
    </row>
    <row r="94" spans="1:15" ht="17.25" x14ac:dyDescent="0.4">
      <c r="A94" t="s">
        <v>14</v>
      </c>
      <c r="B94">
        <v>2</v>
      </c>
      <c r="C94">
        <v>2</v>
      </c>
      <c r="D94" s="22">
        <f>D57</f>
        <v>3902</v>
      </c>
      <c r="E94">
        <f>E92</f>
        <v>8474</v>
      </c>
      <c r="F94" s="38">
        <f>MAX(E94,_xlfn.CEILING.MATH(ROUNDUP(E94*C94*((1-10%)*(1-2%)*(1-1%)),20)))*D94</f>
        <v>57745698</v>
      </c>
      <c r="G94" s="15">
        <f t="shared" si="36"/>
        <v>14799</v>
      </c>
    </row>
    <row r="95" spans="1:15" x14ac:dyDescent="0.25">
      <c r="E95" s="1" t="str">
        <f>A90</f>
        <v>Nanoelectrical Microprocessor</v>
      </c>
      <c r="F95" s="4">
        <f>SUM(F91:F94)*1.03</f>
        <v>328242498.21300006</v>
      </c>
    </row>
    <row r="96" spans="1:15" x14ac:dyDescent="0.25">
      <c r="A96" t="s">
        <v>3</v>
      </c>
      <c r="F96" s="4"/>
    </row>
    <row r="97" spans="1:13" x14ac:dyDescent="0.25">
      <c r="A97" t="str">
        <f>A91</f>
        <v>Tungsten Carbide</v>
      </c>
      <c r="B97">
        <v>20</v>
      </c>
      <c r="C97">
        <v>22</v>
      </c>
      <c r="D97" s="2">
        <f>D91</f>
        <v>145.9</v>
      </c>
      <c r="E97">
        <f>E60+E23</f>
        <v>3282</v>
      </c>
      <c r="F97" s="12">
        <f t="shared" ref="F97:F98" si="37">MAX(E97,_xlfn.CEILING.MATH(ROUNDUP(E97*C97*((1-10%)*(1-2%)*(1-1%)),20)))*D97</f>
        <v>9198703.2000000011</v>
      </c>
      <c r="G97" s="15">
        <f t="shared" ref="G97:G99" si="38">MAX(E97,_xlfn.CEILING.MATH(ROUNDUP(E97*C97*((1-10%)*(1-2%)*(1-1%)),20)))</f>
        <v>63048</v>
      </c>
      <c r="H97" s="4"/>
      <c r="K97" s="14"/>
    </row>
    <row r="98" spans="1:13" x14ac:dyDescent="0.25">
      <c r="A98" t="s">
        <v>14</v>
      </c>
      <c r="B98">
        <v>1</v>
      </c>
      <c r="C98">
        <v>1</v>
      </c>
      <c r="D98" s="2">
        <f>D94</f>
        <v>3902</v>
      </c>
      <c r="E98">
        <f>E97</f>
        <v>3282</v>
      </c>
      <c r="F98" s="12">
        <f t="shared" si="37"/>
        <v>12806364</v>
      </c>
      <c r="G98" s="15">
        <f t="shared" si="38"/>
        <v>3282</v>
      </c>
    </row>
    <row r="99" spans="1:13" ht="17.25" x14ac:dyDescent="0.4">
      <c r="A99" t="s">
        <v>15</v>
      </c>
      <c r="B99">
        <v>2</v>
      </c>
      <c r="C99">
        <v>2</v>
      </c>
      <c r="D99" s="22">
        <f>D62</f>
        <v>6173</v>
      </c>
      <c r="E99">
        <f>E98</f>
        <v>3282</v>
      </c>
      <c r="F99" s="38">
        <f>MAX(E99,_xlfn.CEILING.MATH(ROUNDUP(E99*C99*((1-10%)*(1-2%)*(1-1%)),20)))*D99</f>
        <v>35383636</v>
      </c>
      <c r="G99" s="15">
        <f t="shared" si="38"/>
        <v>5732</v>
      </c>
    </row>
    <row r="100" spans="1:13" x14ac:dyDescent="0.25">
      <c r="E100" s="1" t="str">
        <f>A96</f>
        <v>Radar Sensor Cluster</v>
      </c>
      <c r="F100" s="4">
        <f>SUM(F97:F99)*1.03</f>
        <v>59110364.296000004</v>
      </c>
    </row>
    <row r="101" spans="1:13" x14ac:dyDescent="0.25">
      <c r="A101" t="s">
        <v>2</v>
      </c>
      <c r="F101" s="4"/>
    </row>
    <row r="102" spans="1:13" x14ac:dyDescent="0.25">
      <c r="A102" t="str">
        <f>A97</f>
        <v>Tungsten Carbide</v>
      </c>
      <c r="B102">
        <v>25</v>
      </c>
      <c r="C102">
        <v>27</v>
      </c>
      <c r="D102" s="2">
        <f>D97</f>
        <v>145.9</v>
      </c>
      <c r="E102">
        <f>E65+E28</f>
        <v>3003</v>
      </c>
      <c r="F102" s="12">
        <f t="shared" ref="F102:F104" si="39">MAX(E102,_xlfn.CEILING.MATH(ROUNDUP(E102*C102*((1-10%)*(1-2%)*(1-1%)),20)))*D102</f>
        <v>10329574.1</v>
      </c>
      <c r="G102" s="15">
        <f t="shared" ref="G102:G105" si="40">MAX(E102,_xlfn.CEILING.MATH(ROUNDUP(E102*C102*((1-10%)*(1-2%)*(1-1%)),20)))</f>
        <v>70799</v>
      </c>
      <c r="H102" s="4"/>
    </row>
    <row r="103" spans="1:13" x14ac:dyDescent="0.25">
      <c r="A103" t="str">
        <f>A98</f>
        <v>Nano Transistors</v>
      </c>
      <c r="B103">
        <v>1</v>
      </c>
      <c r="C103">
        <v>1</v>
      </c>
      <c r="D103" s="2">
        <f>D98</f>
        <v>3902</v>
      </c>
      <c r="E103">
        <f>E102</f>
        <v>3003</v>
      </c>
      <c r="F103" s="12">
        <f t="shared" si="39"/>
        <v>11717706</v>
      </c>
      <c r="G103" s="15">
        <f t="shared" si="40"/>
        <v>3003</v>
      </c>
    </row>
    <row r="104" spans="1:13" x14ac:dyDescent="0.25">
      <c r="A104" t="str">
        <f>A93</f>
        <v>Terahertz Meta Materials</v>
      </c>
      <c r="B104">
        <v>2</v>
      </c>
      <c r="C104">
        <v>2</v>
      </c>
      <c r="D104" s="2">
        <f>D93</f>
        <v>11940</v>
      </c>
      <c r="E104">
        <f>E102</f>
        <v>3003</v>
      </c>
      <c r="F104" s="12">
        <f t="shared" si="39"/>
        <v>62625300</v>
      </c>
      <c r="G104" s="15">
        <f t="shared" si="40"/>
        <v>5245</v>
      </c>
      <c r="I104" s="10"/>
    </row>
    <row r="105" spans="1:13" ht="17.25" x14ac:dyDescent="0.4">
      <c r="A105" t="s">
        <v>16</v>
      </c>
      <c r="B105">
        <v>10</v>
      </c>
      <c r="C105">
        <v>11</v>
      </c>
      <c r="D105" s="22">
        <f>D68</f>
        <v>579.4</v>
      </c>
      <c r="E105">
        <f>E103</f>
        <v>3003</v>
      </c>
      <c r="F105" s="38">
        <f>MAX(E105,_xlfn.CEILING.MATH(ROUNDUP(E105*C105*((1-10%)*(1-2%)*(1-1%)),20)))*D105</f>
        <v>16712213.6</v>
      </c>
      <c r="G105" s="15">
        <f t="shared" si="40"/>
        <v>28844</v>
      </c>
    </row>
    <row r="106" spans="1:13" x14ac:dyDescent="0.25">
      <c r="E106" s="1" t="str">
        <f>A101</f>
        <v>Tesseract Capacitor Unit</v>
      </c>
      <c r="F106" s="4">
        <f>SUM(F102:F105)*1.03</f>
        <v>104426337.51099999</v>
      </c>
    </row>
    <row r="107" spans="1:13" x14ac:dyDescent="0.25">
      <c r="A107" t="s">
        <v>5</v>
      </c>
      <c r="F107" s="4"/>
    </row>
    <row r="108" spans="1:13" x14ac:dyDescent="0.25">
      <c r="A108" t="str">
        <f>A102</f>
        <v>Tungsten Carbide</v>
      </c>
      <c r="B108">
        <v>40</v>
      </c>
      <c r="C108">
        <v>44</v>
      </c>
      <c r="D108" s="2">
        <f>D102</f>
        <v>145.9</v>
      </c>
      <c r="E108">
        <f>+E71+E34</f>
        <v>14989</v>
      </c>
      <c r="F108" s="12">
        <f>MAX(E108,_xlfn.CEILING.MATH(ROUNDUP(E108*C108*((1-10%)*(1-2%)*(1-1%)),20)))*D108</f>
        <v>84020454.299999997</v>
      </c>
      <c r="G108" s="15">
        <f>MAX(E108,_xlfn.CEILING.MATH(ROUNDUP(E108*C108*((1-10%)*(1-2%)*(1-1%)),20)))</f>
        <v>575877</v>
      </c>
      <c r="H108" s="4"/>
    </row>
    <row r="109" spans="1:13" ht="17.25" x14ac:dyDescent="0.4">
      <c r="A109" t="str">
        <f>A88</f>
        <v>Sylramic Fibers</v>
      </c>
      <c r="B109">
        <v>10</v>
      </c>
      <c r="C109">
        <v>11</v>
      </c>
      <c r="D109" s="2">
        <f>D88</f>
        <v>332.4</v>
      </c>
      <c r="E109">
        <f>E108</f>
        <v>14989</v>
      </c>
      <c r="F109" s="38">
        <f>MAX(E109,_xlfn.CEILING.MATH(ROUNDUP(E109*C109*((1-10%)*(1-2%)*(1-1%)),20)))*D109</f>
        <v>47855628</v>
      </c>
      <c r="G109" s="15">
        <f t="shared" ref="G109" si="41">MAX(E109,_xlfn.CEILING.MATH(ROUNDUP(E109*C109*((1-10%)*(1-2%)*(1-1%)),20)))</f>
        <v>143970</v>
      </c>
    </row>
    <row r="110" spans="1:13" x14ac:dyDescent="0.25">
      <c r="E110" s="1" t="str">
        <f>A107</f>
        <v>Tungsten Carbide Armor Plate</v>
      </c>
      <c r="F110" s="4">
        <f>SUM(F108:F109)*1.03</f>
        <v>135832364.76899999</v>
      </c>
      <c r="G110" s="4"/>
    </row>
    <row r="111" spans="1:13" x14ac:dyDescent="0.25">
      <c r="E111" s="1"/>
      <c r="F111" s="4"/>
    </row>
    <row r="112" spans="1:13" s="17" customFormat="1" x14ac:dyDescent="0.25">
      <c r="D112" s="30"/>
      <c r="K112" s="18"/>
      <c r="L112" s="18"/>
      <c r="M112" s="18"/>
    </row>
    <row r="113" spans="1:15" x14ac:dyDescent="0.25">
      <c r="A113" t="s">
        <v>40</v>
      </c>
    </row>
    <row r="114" spans="1:15" x14ac:dyDescent="0.25">
      <c r="A114" t="s">
        <v>6</v>
      </c>
      <c r="D114" s="2" t="s">
        <v>21</v>
      </c>
      <c r="J114" t="s">
        <v>25</v>
      </c>
      <c r="K114" s="3" t="s">
        <v>30</v>
      </c>
      <c r="L114" s="3" t="s">
        <v>27</v>
      </c>
      <c r="M114" s="3" t="s">
        <v>35</v>
      </c>
      <c r="N114" t="s">
        <v>26</v>
      </c>
      <c r="O114" s="3" t="s">
        <v>34</v>
      </c>
    </row>
    <row r="115" spans="1:15" x14ac:dyDescent="0.25">
      <c r="A115" t="s">
        <v>8</v>
      </c>
      <c r="B115">
        <v>9</v>
      </c>
      <c r="C115">
        <v>9</v>
      </c>
      <c r="D115" s="22">
        <f>D3</f>
        <v>145.9</v>
      </c>
      <c r="E115">
        <f>IF('Ship Component Reqs'!F33&lt;0,0,'Ship Component Reqs'!F33)</f>
        <v>15</v>
      </c>
      <c r="F115" s="12">
        <f>MAX(E115,_xlfn.CEILING.MATH(ROUNDUP(E115*C115*((1-10%)*(1-2%)*(1-1%)),20)))*D115</f>
        <v>17216.2</v>
      </c>
      <c r="G115" s="15">
        <f>MAX(E115,_xlfn.CEILING.MATH(ROUNDUP(E115*C115*((1-10%)*(1-2%)*(1-1%)),20)))</f>
        <v>118</v>
      </c>
      <c r="J115" t="str">
        <f>A115</f>
        <v>Tungsten Carbide</v>
      </c>
      <c r="K115" s="3">
        <f>G115+G119+G124+G129+G135+G140+G146</f>
        <v>67481</v>
      </c>
      <c r="L115" s="3">
        <v>0</v>
      </c>
      <c r="M115" s="6">
        <f>((K115*'Ship Component Reqs'!$D$32)-L115)</f>
        <v>67481</v>
      </c>
      <c r="N115">
        <f>D115</f>
        <v>145.9</v>
      </c>
      <c r="O115" s="13">
        <f>IF(M115&lt;0,0,M115*N115)</f>
        <v>9845477.9000000004</v>
      </c>
    </row>
    <row r="116" spans="1:15" ht="17.25" x14ac:dyDescent="0.4">
      <c r="A116" t="s">
        <v>9</v>
      </c>
      <c r="B116">
        <v>2</v>
      </c>
      <c r="C116">
        <v>2</v>
      </c>
      <c r="D116" s="22">
        <f>D4</f>
        <v>49950</v>
      </c>
      <c r="E116">
        <f>E115</f>
        <v>15</v>
      </c>
      <c r="F116" s="38">
        <f>MAX(E116,_xlfn.CEILING.MATH(ROUNDUP(E116*C116*((1-10%)*(1-2%)*(1-1%)),20)))*D116</f>
        <v>1348650</v>
      </c>
      <c r="G116" s="15">
        <f t="shared" ref="G116" si="42">MAX(E116,_xlfn.CEILING.MATH(ROUNDUP(E116*C116*((1-10%)*(1-2%)*(1-1%)),20)))</f>
        <v>27</v>
      </c>
      <c r="J116" t="str">
        <f>A116</f>
        <v>Fermionic Condensates</v>
      </c>
      <c r="K116" s="3">
        <f>G116</f>
        <v>27</v>
      </c>
      <c r="L116" s="3">
        <v>0</v>
      </c>
      <c r="M116" s="6">
        <f>((K116*'Ship Component Reqs'!$D$32)-L116)</f>
        <v>27</v>
      </c>
      <c r="N116">
        <f>D116</f>
        <v>49950</v>
      </c>
      <c r="O116" s="13">
        <f t="shared" ref="O116:O122" si="43">IF(M116&lt;0,0,M116*N116)</f>
        <v>1348650</v>
      </c>
    </row>
    <row r="117" spans="1:15" x14ac:dyDescent="0.25">
      <c r="E117" s="1" t="str">
        <f>A114</f>
        <v>Antimatter Reactor Unit</v>
      </c>
      <c r="F117" s="4">
        <f>SUM(F115:F116)</f>
        <v>1365866.2</v>
      </c>
      <c r="J117" t="str">
        <f>A120</f>
        <v>Phenolic Composites</v>
      </c>
      <c r="K117" s="3">
        <f>G120+G130</f>
        <v>1989</v>
      </c>
      <c r="L117" s="3">
        <v>0</v>
      </c>
      <c r="M117" s="6">
        <f>((K117*'Ship Component Reqs'!$D$32)-L117)</f>
        <v>1989</v>
      </c>
      <c r="N117">
        <f>D120</f>
        <v>1484</v>
      </c>
      <c r="O117" s="13">
        <f t="shared" si="43"/>
        <v>2951676</v>
      </c>
    </row>
    <row r="118" spans="1:15" x14ac:dyDescent="0.25">
      <c r="A118" t="s">
        <v>1</v>
      </c>
      <c r="F118" s="4"/>
      <c r="J118" t="str">
        <f>A121</f>
        <v>Ferrogel</v>
      </c>
      <c r="K118" s="3">
        <f>G121+G125</f>
        <v>96</v>
      </c>
      <c r="L118" s="3">
        <v>0</v>
      </c>
      <c r="M118" s="6">
        <f>((K118*'Ship Component Reqs'!$D$32)-L118)</f>
        <v>96</v>
      </c>
      <c r="N118">
        <f>D121</f>
        <v>23970</v>
      </c>
      <c r="O118" s="13">
        <f t="shared" si="43"/>
        <v>2301120</v>
      </c>
    </row>
    <row r="119" spans="1:15" x14ac:dyDescent="0.25">
      <c r="A119" t="str">
        <f>A115</f>
        <v>Tungsten Carbide</v>
      </c>
      <c r="B119">
        <v>12</v>
      </c>
      <c r="C119">
        <v>13</v>
      </c>
      <c r="D119" s="37">
        <f>D115</f>
        <v>145.9</v>
      </c>
      <c r="E119">
        <f>IF('Ship Component Reqs'!F34&lt;0,0,'Ship Component Reqs'!F34)</f>
        <v>59</v>
      </c>
      <c r="F119" s="12">
        <f t="shared" ref="F119:F120" si="44">MAX(E119,_xlfn.CEILING.MATH(ROUNDUP(E119*C119*((1-10%)*(1-2%)*(1-1%)),20)))*D119</f>
        <v>97753</v>
      </c>
      <c r="G119" s="15">
        <f t="shared" ref="G119:G121" si="45">MAX(E119,_xlfn.CEILING.MATH(ROUNDUP(E119*C119*((1-10%)*(1-2%)*(1-1%)),20)))</f>
        <v>670</v>
      </c>
      <c r="J119" t="str">
        <f>A126</f>
        <v>Sylramic Fibers</v>
      </c>
      <c r="K119" s="3">
        <f>G126+G147</f>
        <v>14276</v>
      </c>
      <c r="L119" s="3">
        <v>0</v>
      </c>
      <c r="M119" s="6">
        <f>((K119*'Ship Component Reqs'!$D$32)-L119)</f>
        <v>14276</v>
      </c>
      <c r="N119">
        <f>D126</f>
        <v>332.4</v>
      </c>
      <c r="O119" s="13">
        <f t="shared" si="43"/>
        <v>4745342.3999999994</v>
      </c>
    </row>
    <row r="120" spans="1:15" x14ac:dyDescent="0.25">
      <c r="A120" t="s">
        <v>10</v>
      </c>
      <c r="B120">
        <v>3</v>
      </c>
      <c r="C120">
        <v>3</v>
      </c>
      <c r="D120" s="22">
        <f>D8</f>
        <v>1484</v>
      </c>
      <c r="E120">
        <f>E119</f>
        <v>59</v>
      </c>
      <c r="F120" s="12">
        <f t="shared" si="44"/>
        <v>230020</v>
      </c>
      <c r="G120" s="15">
        <f t="shared" si="45"/>
        <v>155</v>
      </c>
      <c r="J120" t="str">
        <f>A131</f>
        <v>Terahertz Meta Materials</v>
      </c>
      <c r="K120" s="3">
        <f>G131+G142</f>
        <v>867</v>
      </c>
      <c r="L120" s="3">
        <v>0</v>
      </c>
      <c r="M120" s="6">
        <f>((K120*'Ship Component Reqs'!$D$32)-L120)</f>
        <v>867</v>
      </c>
      <c r="N120">
        <f>D131</f>
        <v>11940</v>
      </c>
      <c r="O120" s="13">
        <f t="shared" si="43"/>
        <v>10351980</v>
      </c>
    </row>
    <row r="121" spans="1:15" ht="17.25" x14ac:dyDescent="0.4">
      <c r="A121" t="s">
        <v>11</v>
      </c>
      <c r="B121">
        <v>1</v>
      </c>
      <c r="C121">
        <v>1</v>
      </c>
      <c r="D121" s="22">
        <f>D9</f>
        <v>23970</v>
      </c>
      <c r="E121">
        <f>E119</f>
        <v>59</v>
      </c>
      <c r="F121" s="38">
        <f>MAX(E121,_xlfn.CEILING.MATH(ROUNDUP(E121*C121*((1-10%)*(1-2%)*(1-1%)),20)))*D121</f>
        <v>1414230</v>
      </c>
      <c r="G121" s="15">
        <f t="shared" si="45"/>
        <v>59</v>
      </c>
      <c r="J121" t="str">
        <f>A132</f>
        <v>Nano Transistors</v>
      </c>
      <c r="K121" s="3">
        <f>G136+G141+G132</f>
        <v>831</v>
      </c>
      <c r="L121" s="3">
        <v>0</v>
      </c>
      <c r="M121" s="6">
        <f>((K121*'Ship Component Reqs'!$D$32)-L121)</f>
        <v>831</v>
      </c>
      <c r="N121">
        <f>D132</f>
        <v>3902</v>
      </c>
      <c r="O121" s="13">
        <f t="shared" si="43"/>
        <v>3242562</v>
      </c>
    </row>
    <row r="122" spans="1:15" x14ac:dyDescent="0.25">
      <c r="E122" s="1" t="str">
        <f>A118</f>
        <v>Fusion Thruster</v>
      </c>
      <c r="F122" s="4">
        <f>SUM(F119:F121)*1.03</f>
        <v>1794263.09</v>
      </c>
      <c r="J122" t="str">
        <f>A137</f>
        <v>Hypersynaptic Fibers</v>
      </c>
      <c r="K122" s="3">
        <f>G137</f>
        <v>128</v>
      </c>
      <c r="L122" s="3">
        <v>0</v>
      </c>
      <c r="M122" s="6">
        <f>((K122*'Ship Component Reqs'!$D$32)-L122)</f>
        <v>128</v>
      </c>
      <c r="N122">
        <f>D137</f>
        <v>6173</v>
      </c>
      <c r="O122" s="13">
        <f t="shared" si="43"/>
        <v>790144</v>
      </c>
    </row>
    <row r="123" spans="1:15" ht="17.25" x14ac:dyDescent="0.4">
      <c r="A123" t="s">
        <v>7</v>
      </c>
      <c r="F123" s="4"/>
      <c r="J123" t="str">
        <f>A143</f>
        <v>Fullerides</v>
      </c>
      <c r="K123" s="3">
        <f>G143</f>
        <v>1403</v>
      </c>
      <c r="L123" s="3">
        <v>0</v>
      </c>
      <c r="M123" s="6">
        <f>((K123*'Ship Component Reqs'!$D$32)-L123)</f>
        <v>1403</v>
      </c>
      <c r="N123">
        <f>D143</f>
        <v>579.4</v>
      </c>
      <c r="O123" s="11">
        <f>IF(M123&lt;0,0,M123*N123)</f>
        <v>812898.2</v>
      </c>
    </row>
    <row r="124" spans="1:15" x14ac:dyDescent="0.25">
      <c r="A124" t="str">
        <f>A119</f>
        <v>Tungsten Carbide</v>
      </c>
      <c r="B124">
        <v>20</v>
      </c>
      <c r="C124">
        <v>22</v>
      </c>
      <c r="D124" s="37">
        <f>D115</f>
        <v>145.9</v>
      </c>
      <c r="E124">
        <f>IF('Ship Component Reqs'!F35&lt;0,0,'Ship Component Reqs'!F35)</f>
        <v>37</v>
      </c>
      <c r="F124" s="12">
        <f t="shared" ref="F124:F125" si="46">MAX(E124,_xlfn.CEILING.MATH(ROUNDUP(E124*C124*((1-10%)*(1-2%)*(1-1%)),20)))*D124</f>
        <v>103734.90000000001</v>
      </c>
      <c r="G124" s="15">
        <f t="shared" ref="G124:G126" si="47">MAX(E124,_xlfn.CEILING.MATH(ROUNDUP(E124*C124*((1-10%)*(1-2%)*(1-1%)),20)))</f>
        <v>711</v>
      </c>
      <c r="K124" s="10"/>
      <c r="O124" s="4">
        <f>SUM(O115:O123)</f>
        <v>36389850.5</v>
      </c>
    </row>
    <row r="125" spans="1:15" x14ac:dyDescent="0.25">
      <c r="A125" t="str">
        <f>A121</f>
        <v>Ferrogel</v>
      </c>
      <c r="B125">
        <v>1</v>
      </c>
      <c r="C125">
        <v>1</v>
      </c>
      <c r="D125" s="37">
        <f>D121</f>
        <v>23970</v>
      </c>
      <c r="E125">
        <f>E124</f>
        <v>37</v>
      </c>
      <c r="F125" s="12">
        <f t="shared" si="46"/>
        <v>886890</v>
      </c>
      <c r="G125" s="15">
        <f t="shared" si="47"/>
        <v>37</v>
      </c>
    </row>
    <row r="126" spans="1:15" ht="17.25" x14ac:dyDescent="0.4">
      <c r="A126" t="s">
        <v>12</v>
      </c>
      <c r="B126">
        <v>9</v>
      </c>
      <c r="C126">
        <v>9</v>
      </c>
      <c r="D126" s="22">
        <f>D14</f>
        <v>332.4</v>
      </c>
      <c r="E126">
        <f>E124</f>
        <v>37</v>
      </c>
      <c r="F126" s="38">
        <f>MAX(E126,_xlfn.CEILING.MATH(ROUNDUP(E126*C126*((1-10%)*(1-2%)*(1-1%)),20)))*D126</f>
        <v>96728.4</v>
      </c>
      <c r="G126" s="15">
        <f t="shared" si="47"/>
        <v>291</v>
      </c>
    </row>
    <row r="127" spans="1:15" x14ac:dyDescent="0.25">
      <c r="E127" s="1" t="str">
        <f>A123</f>
        <v>Linear Shield Emitter</v>
      </c>
      <c r="F127" s="4">
        <f>SUM(F124:F126)*1.03</f>
        <v>1119973.899</v>
      </c>
    </row>
    <row r="128" spans="1:15" x14ac:dyDescent="0.25">
      <c r="A128" t="s">
        <v>4</v>
      </c>
      <c r="F128" s="4"/>
    </row>
    <row r="129" spans="1:7" x14ac:dyDescent="0.25">
      <c r="A129" t="str">
        <f>A124</f>
        <v>Tungsten Carbide</v>
      </c>
      <c r="B129">
        <v>16</v>
      </c>
      <c r="C129">
        <v>17</v>
      </c>
      <c r="D129" s="2">
        <f>D124</f>
        <v>145.9</v>
      </c>
      <c r="E129">
        <f>IF('Ship Component Reqs'!F36&lt;0,0,'Ship Component Reqs'!F36)</f>
        <v>350</v>
      </c>
      <c r="F129" s="12">
        <f t="shared" ref="F129:F131" si="48">MAX(E129,_xlfn.CEILING.MATH(ROUNDUP(E129*C129*((1-10%)*(1-2%)*(1-1%)),20)))*D129</f>
        <v>758096.4</v>
      </c>
      <c r="G129" s="15">
        <f t="shared" ref="G129:G132" si="49">MAX(E129,_xlfn.CEILING.MATH(ROUNDUP(E129*C129*((1-10%)*(1-2%)*(1-1%)),20)))</f>
        <v>5196</v>
      </c>
    </row>
    <row r="130" spans="1:7" x14ac:dyDescent="0.25">
      <c r="A130" t="str">
        <f>A120</f>
        <v>Phenolic Composites</v>
      </c>
      <c r="B130">
        <v>6</v>
      </c>
      <c r="C130">
        <v>6</v>
      </c>
      <c r="D130" s="2">
        <f>D120</f>
        <v>1484</v>
      </c>
      <c r="E130">
        <f>E129</f>
        <v>350</v>
      </c>
      <c r="F130" s="12">
        <f t="shared" si="48"/>
        <v>2721656</v>
      </c>
      <c r="G130" s="15">
        <f t="shared" si="49"/>
        <v>1834</v>
      </c>
    </row>
    <row r="131" spans="1:7" x14ac:dyDescent="0.25">
      <c r="A131" t="s">
        <v>13</v>
      </c>
      <c r="B131">
        <v>2</v>
      </c>
      <c r="C131">
        <v>2</v>
      </c>
      <c r="D131" s="22">
        <f>D19</f>
        <v>11940</v>
      </c>
      <c r="E131">
        <f>E129</f>
        <v>350</v>
      </c>
      <c r="F131" s="12">
        <f t="shared" si="48"/>
        <v>7307280</v>
      </c>
      <c r="G131" s="15">
        <f t="shared" si="49"/>
        <v>612</v>
      </c>
    </row>
    <row r="132" spans="1:7" ht="17.25" x14ac:dyDescent="0.4">
      <c r="A132" t="s">
        <v>14</v>
      </c>
      <c r="B132">
        <v>2</v>
      </c>
      <c r="C132">
        <v>2</v>
      </c>
      <c r="D132" s="22">
        <f>D20</f>
        <v>3902</v>
      </c>
      <c r="E132">
        <f>E129</f>
        <v>350</v>
      </c>
      <c r="F132" s="38">
        <f>MAX(E132,_xlfn.CEILING.MATH(ROUNDUP(E132*C132*((1-10%)*(1-2%)*(1-1%)),20)))*D132</f>
        <v>2388024</v>
      </c>
      <c r="G132" s="15">
        <f t="shared" si="49"/>
        <v>612</v>
      </c>
    </row>
    <row r="133" spans="1:7" x14ac:dyDescent="0.25">
      <c r="E133" s="1" t="str">
        <f>A128</f>
        <v>Nanoelectrical Microprocessor</v>
      </c>
      <c r="F133" s="4">
        <f>SUM(F129:F132)*1.03</f>
        <v>13570308.092</v>
      </c>
    </row>
    <row r="134" spans="1:7" x14ac:dyDescent="0.25">
      <c r="A134" t="s">
        <v>3</v>
      </c>
      <c r="F134" s="4"/>
    </row>
    <row r="135" spans="1:7" x14ac:dyDescent="0.25">
      <c r="A135" t="str">
        <f>A129</f>
        <v>Tungsten Carbide</v>
      </c>
      <c r="B135">
        <v>20</v>
      </c>
      <c r="C135">
        <v>22</v>
      </c>
      <c r="D135" s="2">
        <f>D129</f>
        <v>145.9</v>
      </c>
      <c r="E135">
        <f>IF('Ship Component Reqs'!F37&lt;0,0,'Ship Component Reqs'!F37)</f>
        <v>73</v>
      </c>
      <c r="F135" s="12">
        <f t="shared" ref="F135:F136" si="50">MAX(E135,_xlfn.CEILING.MATH(ROUNDUP(E135*C135*((1-10%)*(1-2%)*(1-1%)),20)))*D135</f>
        <v>204697.7</v>
      </c>
      <c r="G135" s="15">
        <f t="shared" ref="G135:G137" si="51">MAX(E135,_xlfn.CEILING.MATH(ROUNDUP(E135*C135*((1-10%)*(1-2%)*(1-1%)),20)))</f>
        <v>1403</v>
      </c>
    </row>
    <row r="136" spans="1:7" x14ac:dyDescent="0.25">
      <c r="A136" t="s">
        <v>14</v>
      </c>
      <c r="B136">
        <v>1</v>
      </c>
      <c r="C136">
        <v>1</v>
      </c>
      <c r="D136" s="2">
        <f>D132</f>
        <v>3902</v>
      </c>
      <c r="E136">
        <f>E135</f>
        <v>73</v>
      </c>
      <c r="F136" s="12">
        <f t="shared" si="50"/>
        <v>284846</v>
      </c>
      <c r="G136" s="15">
        <f t="shared" si="51"/>
        <v>73</v>
      </c>
    </row>
    <row r="137" spans="1:7" ht="17.25" x14ac:dyDescent="0.4">
      <c r="A137" t="s">
        <v>15</v>
      </c>
      <c r="B137">
        <v>2</v>
      </c>
      <c r="C137">
        <v>2</v>
      </c>
      <c r="D137" s="22">
        <f>D25</f>
        <v>6173</v>
      </c>
      <c r="E137">
        <f>E135</f>
        <v>73</v>
      </c>
      <c r="F137" s="38">
        <f>MAX(E137,_xlfn.CEILING.MATH(ROUNDUP(E137*C137*((1-10%)*(1-2%)*(1-1%)),20)))*D137</f>
        <v>790144</v>
      </c>
      <c r="G137" s="15">
        <f t="shared" si="51"/>
        <v>128</v>
      </c>
    </row>
    <row r="138" spans="1:7" x14ac:dyDescent="0.25">
      <c r="E138" s="1" t="str">
        <f>A134</f>
        <v>Radar Sensor Cluster</v>
      </c>
      <c r="F138" s="4">
        <f>SUM(F135:F137)*1.03</f>
        <v>1318078.331</v>
      </c>
    </row>
    <row r="139" spans="1:7" x14ac:dyDescent="0.25">
      <c r="A139" t="s">
        <v>2</v>
      </c>
      <c r="F139" s="4"/>
    </row>
    <row r="140" spans="1:7" x14ac:dyDescent="0.25">
      <c r="A140" t="str">
        <f>A135</f>
        <v>Tungsten Carbide</v>
      </c>
      <c r="B140">
        <v>25</v>
      </c>
      <c r="C140">
        <v>27</v>
      </c>
      <c r="D140" s="2">
        <f>D135</f>
        <v>145.9</v>
      </c>
      <c r="E140">
        <f>IF('Ship Component Reqs'!F38&lt;0,0,'Ship Component Reqs'!F38)</f>
        <v>146</v>
      </c>
      <c r="F140" s="12">
        <f t="shared" ref="F140:F142" si="52">MAX(E140,_xlfn.CEILING.MATH(ROUNDUP(E140*C140*((1-10%)*(1-2%)*(1-1%)),20)))*D140</f>
        <v>502333.7</v>
      </c>
      <c r="G140" s="15">
        <f t="shared" ref="G140:G143" si="53">MAX(E140,_xlfn.CEILING.MATH(ROUNDUP(E140*C140*((1-10%)*(1-2%)*(1-1%)),20)))</f>
        <v>3443</v>
      </c>
    </row>
    <row r="141" spans="1:7" x14ac:dyDescent="0.25">
      <c r="A141" t="str">
        <f>A136</f>
        <v>Nano Transistors</v>
      </c>
      <c r="B141">
        <v>1</v>
      </c>
      <c r="C141">
        <v>1</v>
      </c>
      <c r="D141" s="2">
        <f>D136</f>
        <v>3902</v>
      </c>
      <c r="E141">
        <f>E140</f>
        <v>146</v>
      </c>
      <c r="F141" s="12">
        <f t="shared" si="52"/>
        <v>569692</v>
      </c>
      <c r="G141" s="15">
        <f t="shared" si="53"/>
        <v>146</v>
      </c>
    </row>
    <row r="142" spans="1:7" x14ac:dyDescent="0.25">
      <c r="A142" t="str">
        <f>A131</f>
        <v>Terahertz Meta Materials</v>
      </c>
      <c r="B142">
        <v>2</v>
      </c>
      <c r="C142">
        <v>2</v>
      </c>
      <c r="D142" s="2">
        <f>D131</f>
        <v>11940</v>
      </c>
      <c r="E142">
        <f>E140</f>
        <v>146</v>
      </c>
      <c r="F142" s="12">
        <f t="shared" si="52"/>
        <v>3044700</v>
      </c>
      <c r="G142" s="15">
        <f t="shared" si="53"/>
        <v>255</v>
      </c>
    </row>
    <row r="143" spans="1:7" ht="17.25" x14ac:dyDescent="0.4">
      <c r="A143" t="s">
        <v>16</v>
      </c>
      <c r="B143">
        <v>10</v>
      </c>
      <c r="C143">
        <v>11</v>
      </c>
      <c r="D143" s="22">
        <f>D31</f>
        <v>579.4</v>
      </c>
      <c r="E143">
        <f>E140</f>
        <v>146</v>
      </c>
      <c r="F143" s="38">
        <f>MAX(E143,_xlfn.CEILING.MATH(ROUNDUP(E143*C143*((1-10%)*(1-2%)*(1-1%)),20)))*D143</f>
        <v>812898.2</v>
      </c>
      <c r="G143" s="15">
        <f t="shared" si="53"/>
        <v>1403</v>
      </c>
    </row>
    <row r="144" spans="1:7" x14ac:dyDescent="0.25">
      <c r="E144" s="1" t="str">
        <f>A139</f>
        <v>Tesseract Capacitor Unit</v>
      </c>
      <c r="F144" s="4">
        <f>SUM(F140:F143)*1.03</f>
        <v>5077512.6170000006</v>
      </c>
    </row>
    <row r="145" spans="1:15" x14ac:dyDescent="0.25">
      <c r="A145" t="s">
        <v>5</v>
      </c>
      <c r="F145" s="4"/>
    </row>
    <row r="146" spans="1:15" x14ac:dyDescent="0.25">
      <c r="A146" t="str">
        <f>A140</f>
        <v>Tungsten Carbide</v>
      </c>
      <c r="B146">
        <v>40</v>
      </c>
      <c r="C146">
        <v>44</v>
      </c>
      <c r="D146" s="2">
        <f>D140</f>
        <v>145.9</v>
      </c>
      <c r="E146">
        <f>IF('Ship Component Reqs'!F39&lt;0,0,'Ship Component Reqs'!F39)</f>
        <v>1456</v>
      </c>
      <c r="F146" s="12">
        <f>MAX(E146,_xlfn.CEILING.MATH(ROUNDUP(E146*C146*((1-10%)*(1-2%)*(1-1%)),20)))*D146</f>
        <v>8161646</v>
      </c>
      <c r="G146" s="15">
        <f>MAX(E146,_xlfn.CEILING.MATH(ROUNDUP(E146*C146*((1-10%)*(1-2%)*(1-1%)),20)))</f>
        <v>55940</v>
      </c>
    </row>
    <row r="147" spans="1:15" ht="17.25" x14ac:dyDescent="0.4">
      <c r="A147" t="str">
        <f>A126</f>
        <v>Sylramic Fibers</v>
      </c>
      <c r="B147">
        <v>10</v>
      </c>
      <c r="C147">
        <v>11</v>
      </c>
      <c r="D147" s="2">
        <f>D126</f>
        <v>332.4</v>
      </c>
      <c r="E147">
        <f>E146</f>
        <v>1456</v>
      </c>
      <c r="F147" s="38">
        <f>MAX(E147,_xlfn.CEILING.MATH(ROUNDUP(E147*C147*((1-10%)*(1-2%)*(1-1%)),20)))*D147</f>
        <v>4648614</v>
      </c>
      <c r="G147" s="15">
        <f t="shared" ref="G147" si="54">MAX(E147,_xlfn.CEILING.MATH(ROUNDUP(E147*C147*((1-10%)*(1-2%)*(1-1%)),20)))</f>
        <v>13985</v>
      </c>
    </row>
    <row r="148" spans="1:15" x14ac:dyDescent="0.25">
      <c r="E148" s="1" t="str">
        <f>A145</f>
        <v>Tungsten Carbide Armor Plate</v>
      </c>
      <c r="F148" s="4">
        <f>SUM(F146:F147)*1.03</f>
        <v>13194567.800000001</v>
      </c>
      <c r="G148" s="4"/>
    </row>
    <row r="149" spans="1:15" s="17" customFormat="1" x14ac:dyDescent="0.25">
      <c r="D149" s="30"/>
      <c r="K149" s="18"/>
      <c r="L149" s="18"/>
      <c r="M149" s="18"/>
    </row>
    <row r="150" spans="1:15" x14ac:dyDescent="0.25">
      <c r="A150" t="s">
        <v>334</v>
      </c>
      <c r="E150" s="1"/>
      <c r="F150" s="4"/>
    </row>
    <row r="151" spans="1:15" x14ac:dyDescent="0.25">
      <c r="A151" t="s">
        <v>6</v>
      </c>
      <c r="D151" s="2" t="s">
        <v>21</v>
      </c>
      <c r="E151" t="s">
        <v>19</v>
      </c>
      <c r="G151" t="s">
        <v>24</v>
      </c>
      <c r="J151" t="s">
        <v>25</v>
      </c>
      <c r="K151" s="3" t="s">
        <v>30</v>
      </c>
      <c r="L151" s="3" t="s">
        <v>27</v>
      </c>
      <c r="M151" s="3" t="s">
        <v>35</v>
      </c>
      <c r="N151" t="s">
        <v>26</v>
      </c>
      <c r="O151" s="3" t="s">
        <v>34</v>
      </c>
    </row>
    <row r="152" spans="1:15" x14ac:dyDescent="0.25">
      <c r="A152" t="s">
        <v>8</v>
      </c>
      <c r="B152">
        <v>9</v>
      </c>
      <c r="C152">
        <v>9</v>
      </c>
      <c r="D152" s="22">
        <f>D115</f>
        <v>145.9</v>
      </c>
      <c r="E152">
        <f>'Ship Component Reqs'!F47</f>
        <v>31</v>
      </c>
      <c r="F152" s="12">
        <f>MAX(E152,_xlfn.CEILING.MATH(ROUNDUP(E152*C152*((1-10%)*(1-2%)*(1-1%)),20)))*D152</f>
        <v>35599.599999999999</v>
      </c>
      <c r="G152" s="15">
        <f>MAX(E152,_xlfn.CEILING.MATH(ROUNDUP(E152*C152*((1-10%)*(1-2%)*(1-1%)),20)))</f>
        <v>244</v>
      </c>
      <c r="H152" s="4"/>
      <c r="I152" s="4"/>
      <c r="J152" t="str">
        <f>A152</f>
        <v>Tungsten Carbide</v>
      </c>
      <c r="K152" s="3">
        <f>G152+G156+G161+G166+G172+G177+G183</f>
        <v>154433</v>
      </c>
      <c r="L152" s="20"/>
      <c r="M152" s="6">
        <f t="shared" ref="M152:M160" si="55">((K152)-L152)</f>
        <v>154433</v>
      </c>
      <c r="N152">
        <f>D152</f>
        <v>145.9</v>
      </c>
      <c r="O152" s="13">
        <f>IF(M152&lt;0,0,M152*N152)</f>
        <v>22531774.699999999</v>
      </c>
    </row>
    <row r="153" spans="1:15" ht="17.25" x14ac:dyDescent="0.4">
      <c r="A153" t="s">
        <v>9</v>
      </c>
      <c r="B153">
        <v>2</v>
      </c>
      <c r="C153">
        <v>2</v>
      </c>
      <c r="D153" s="22">
        <f>D116</f>
        <v>49950</v>
      </c>
      <c r="E153">
        <f>E152</f>
        <v>31</v>
      </c>
      <c r="F153" s="38">
        <f>MAX(E153,_xlfn.CEILING.MATH(ROUNDUP(E153*C153*((1-10%)*(1-2%)*(1-1%)),20)))*D153</f>
        <v>2747250</v>
      </c>
      <c r="G153" s="15">
        <f t="shared" ref="G153" si="56">MAX(E153,_xlfn.CEILING.MATH(ROUNDUP(E153*C153*((1-10%)*(1-2%)*(1-1%)),20)))</f>
        <v>55</v>
      </c>
      <c r="H153" s="4"/>
      <c r="J153" t="str">
        <f>A153</f>
        <v>Fermionic Condensates</v>
      </c>
      <c r="K153" s="3">
        <f>G153</f>
        <v>55</v>
      </c>
      <c r="L153" s="20"/>
      <c r="M153" s="6">
        <f t="shared" si="55"/>
        <v>55</v>
      </c>
      <c r="N153">
        <f>D153</f>
        <v>49950</v>
      </c>
      <c r="O153" s="13">
        <f t="shared" ref="O153:O154" si="57">IF(M153&lt;0,0,M153*N153)</f>
        <v>2747250</v>
      </c>
    </row>
    <row r="154" spans="1:15" x14ac:dyDescent="0.25">
      <c r="E154" s="1" t="str">
        <f>A151</f>
        <v>Antimatter Reactor Unit</v>
      </c>
      <c r="F154" s="4">
        <f>SUM(F152:F153)</f>
        <v>2782849.6</v>
      </c>
      <c r="J154" t="str">
        <f>A157</f>
        <v>Phenolic Composites</v>
      </c>
      <c r="K154" s="3">
        <f>G157+G167</f>
        <v>2954</v>
      </c>
      <c r="L154" s="20"/>
      <c r="M154" s="6">
        <f t="shared" si="55"/>
        <v>2954</v>
      </c>
      <c r="N154">
        <f>D157</f>
        <v>1484</v>
      </c>
      <c r="O154" s="13">
        <f t="shared" si="57"/>
        <v>4383736</v>
      </c>
    </row>
    <row r="155" spans="1:15" x14ac:dyDescent="0.25">
      <c r="A155" t="s">
        <v>1</v>
      </c>
      <c r="F155" s="4"/>
      <c r="J155" t="str">
        <f>A158</f>
        <v>Ferrogel</v>
      </c>
      <c r="K155" s="3">
        <f>G158+G162</f>
        <v>205</v>
      </c>
      <c r="L155" s="20"/>
      <c r="M155" s="6">
        <f t="shared" si="55"/>
        <v>205</v>
      </c>
      <c r="N155">
        <f>D158</f>
        <v>23970</v>
      </c>
      <c r="O155" s="13">
        <f>IF(M155&lt;0,0,M155*N155)</f>
        <v>4913850</v>
      </c>
    </row>
    <row r="156" spans="1:15" x14ac:dyDescent="0.25">
      <c r="A156" t="str">
        <f>A152</f>
        <v>Tungsten Carbide</v>
      </c>
      <c r="B156">
        <v>12</v>
      </c>
      <c r="C156">
        <v>13</v>
      </c>
      <c r="D156" s="37">
        <f>D152</f>
        <v>145.9</v>
      </c>
      <c r="E156">
        <f>'Ship Component Reqs'!F48</f>
        <v>89</v>
      </c>
      <c r="F156" s="12">
        <f t="shared" ref="F156:F157" si="58">MAX(E156,_xlfn.CEILING.MATH(ROUNDUP(E156*C156*((1-10%)*(1-2%)*(1-1%)),20)))*D156</f>
        <v>147504.9</v>
      </c>
      <c r="G156" s="15">
        <f t="shared" ref="G156:G158" si="59">MAX(E156,_xlfn.CEILING.MATH(ROUNDUP(E156*C156*((1-10%)*(1-2%)*(1-1%)),20)))</f>
        <v>1011</v>
      </c>
      <c r="J156" t="str">
        <f>A163</f>
        <v>Sylramic Fibers</v>
      </c>
      <c r="K156" s="3">
        <f>G163+G184</f>
        <v>34127</v>
      </c>
      <c r="L156" s="20"/>
      <c r="M156" s="6">
        <f t="shared" si="55"/>
        <v>34127</v>
      </c>
      <c r="N156">
        <f>D163</f>
        <v>332.4</v>
      </c>
      <c r="O156" s="13">
        <f t="shared" ref="O156:O159" si="60">IF(M156&lt;0,0,M156*N156)</f>
        <v>11343814.799999999</v>
      </c>
    </row>
    <row r="157" spans="1:15" x14ac:dyDescent="0.25">
      <c r="A157" t="s">
        <v>10</v>
      </c>
      <c r="B157">
        <v>3</v>
      </c>
      <c r="C157">
        <v>3</v>
      </c>
      <c r="D157" s="22">
        <f>D120</f>
        <v>1484</v>
      </c>
      <c r="E157">
        <f>E156</f>
        <v>89</v>
      </c>
      <c r="F157" s="12">
        <f t="shared" si="58"/>
        <v>347256</v>
      </c>
      <c r="G157" s="15">
        <f t="shared" si="59"/>
        <v>234</v>
      </c>
      <c r="J157" t="str">
        <f>A168</f>
        <v>Terahertz Meta Materials</v>
      </c>
      <c r="K157" s="3">
        <f>G168+G179</f>
        <v>1512</v>
      </c>
      <c r="L157" s="20"/>
      <c r="M157" s="6">
        <f t="shared" si="55"/>
        <v>1512</v>
      </c>
      <c r="N157">
        <f>D168</f>
        <v>11940</v>
      </c>
      <c r="O157" s="13">
        <f t="shared" si="60"/>
        <v>18053280</v>
      </c>
    </row>
    <row r="158" spans="1:15" ht="17.25" x14ac:dyDescent="0.4">
      <c r="A158" t="s">
        <v>11</v>
      </c>
      <c r="B158">
        <v>1</v>
      </c>
      <c r="C158">
        <v>1</v>
      </c>
      <c r="D158" s="22">
        <f>D121</f>
        <v>23970</v>
      </c>
      <c r="E158">
        <f>E156</f>
        <v>89</v>
      </c>
      <c r="F158" s="38">
        <f>MAX(E158,_xlfn.CEILING.MATH(ROUNDUP(E158*C158*((1-10%)*(1-2%)*(1-1%)),20)))*D158</f>
        <v>2133330</v>
      </c>
      <c r="G158" s="15">
        <f t="shared" si="59"/>
        <v>89</v>
      </c>
      <c r="J158" t="str">
        <f>A169</f>
        <v>Nano Transistors</v>
      </c>
      <c r="K158" s="3">
        <f>G173+G178+G169</f>
        <v>1369</v>
      </c>
      <c r="L158" s="20"/>
      <c r="M158" s="6">
        <f t="shared" si="55"/>
        <v>1369</v>
      </c>
      <c r="N158">
        <f>D169</f>
        <v>3902</v>
      </c>
      <c r="O158" s="13">
        <f t="shared" si="60"/>
        <v>5341838</v>
      </c>
    </row>
    <row r="159" spans="1:15" x14ac:dyDescent="0.25">
      <c r="E159" s="1" t="str">
        <f>A155</f>
        <v>Fusion Thruster</v>
      </c>
      <c r="F159" s="4">
        <f>SUM(F156:F158)*1.03</f>
        <v>2706933.6269999999</v>
      </c>
      <c r="J159" t="str">
        <f>A174</f>
        <v>Hypersynaptic Fibers</v>
      </c>
      <c r="K159" s="3">
        <f>G174</f>
        <v>203</v>
      </c>
      <c r="L159" s="20"/>
      <c r="M159" s="6">
        <f t="shared" si="55"/>
        <v>203</v>
      </c>
      <c r="N159">
        <f>D174</f>
        <v>6173</v>
      </c>
      <c r="O159" s="13">
        <f t="shared" si="60"/>
        <v>1253119</v>
      </c>
    </row>
    <row r="160" spans="1:15" ht="17.25" x14ac:dyDescent="0.4">
      <c r="A160" t="s">
        <v>7</v>
      </c>
      <c r="F160" s="4"/>
      <c r="J160" t="str">
        <f>A180</f>
        <v>Fullerides</v>
      </c>
      <c r="K160" s="3">
        <f>G180</f>
        <v>3324</v>
      </c>
      <c r="L160" s="20"/>
      <c r="M160" s="6">
        <f t="shared" si="55"/>
        <v>3324</v>
      </c>
      <c r="N160">
        <f>D180</f>
        <v>579.4</v>
      </c>
      <c r="O160" s="11">
        <f>IF(M160&lt;0,0,M160*N160)</f>
        <v>1925925.5999999999</v>
      </c>
    </row>
    <row r="161" spans="1:15" x14ac:dyDescent="0.25">
      <c r="A161" t="str">
        <f>A156</f>
        <v>Tungsten Carbide</v>
      </c>
      <c r="B161">
        <v>20</v>
      </c>
      <c r="C161">
        <v>22</v>
      </c>
      <c r="D161" s="37">
        <f>D152</f>
        <v>145.9</v>
      </c>
      <c r="E161">
        <f>'Ship Component Reqs'!F49</f>
        <v>116</v>
      </c>
      <c r="F161" s="12">
        <f t="shared" ref="F161:F162" si="61">MAX(E161,_xlfn.CEILING.MATH(ROUNDUP(E161*C161*((1-10%)*(1-2%)*(1-1%)),20)))*D161</f>
        <v>325211.10000000003</v>
      </c>
      <c r="G161" s="15">
        <f t="shared" ref="G161:G163" si="62">MAX(E161,_xlfn.CEILING.MATH(ROUNDUP(E161*C161*((1-10%)*(1-2%)*(1-1%)),20)))</f>
        <v>2229</v>
      </c>
      <c r="H161" s="4"/>
      <c r="K161" s="10"/>
      <c r="O161" s="4">
        <f>SUM(O152:O160)</f>
        <v>72494588.099999994</v>
      </c>
    </row>
    <row r="162" spans="1:15" x14ac:dyDescent="0.25">
      <c r="A162" t="str">
        <f>A158</f>
        <v>Ferrogel</v>
      </c>
      <c r="B162">
        <v>1</v>
      </c>
      <c r="C162">
        <v>1</v>
      </c>
      <c r="D162" s="37">
        <f>D158</f>
        <v>23970</v>
      </c>
      <c r="E162">
        <f>E161</f>
        <v>116</v>
      </c>
      <c r="F162" s="12">
        <f t="shared" si="61"/>
        <v>2780520</v>
      </c>
      <c r="G162" s="15">
        <f t="shared" si="62"/>
        <v>116</v>
      </c>
      <c r="J162" s="4"/>
      <c r="K162" t="s">
        <v>46</v>
      </c>
    </row>
    <row r="163" spans="1:15" ht="17.25" x14ac:dyDescent="0.4">
      <c r="A163" t="s">
        <v>12</v>
      </c>
      <c r="B163">
        <v>9</v>
      </c>
      <c r="C163">
        <v>9</v>
      </c>
      <c r="D163" s="22">
        <f>D147</f>
        <v>332.4</v>
      </c>
      <c r="E163">
        <f>E161</f>
        <v>116</v>
      </c>
      <c r="F163" s="38">
        <f>MAX(E163,_xlfn.CEILING.MATH(ROUNDUP(E163*C163*((1-10%)*(1-2%)*(1-1%)),20)))*D163</f>
        <v>303148.79999999999</v>
      </c>
      <c r="G163" s="15">
        <f t="shared" si="62"/>
        <v>912</v>
      </c>
    </row>
    <row r="164" spans="1:15" x14ac:dyDescent="0.25">
      <c r="E164" s="1" t="str">
        <f>A160</f>
        <v>Linear Shield Emitter</v>
      </c>
      <c r="F164" s="4">
        <f>SUM(F161:F163)*1.03</f>
        <v>3511146.2969999998</v>
      </c>
      <c r="J164" s="4"/>
    </row>
    <row r="165" spans="1:15" x14ac:dyDescent="0.25">
      <c r="A165" t="s">
        <v>4</v>
      </c>
      <c r="F165" s="4"/>
    </row>
    <row r="166" spans="1:15" x14ac:dyDescent="0.25">
      <c r="A166" t="str">
        <f>A161</f>
        <v>Tungsten Carbide</v>
      </c>
      <c r="B166">
        <v>16</v>
      </c>
      <c r="C166">
        <v>17</v>
      </c>
      <c r="D166" s="2">
        <f>D161</f>
        <v>145.9</v>
      </c>
      <c r="E166">
        <f>'Ship Component Reqs'!F50</f>
        <v>519</v>
      </c>
      <c r="F166" s="12">
        <f t="shared" ref="F166:F168" si="63">MAX(E166,_xlfn.CEILING.MATH(ROUNDUP(E166*C166*((1-10%)*(1-2%)*(1-1%)),20)))*D166</f>
        <v>1124159.5</v>
      </c>
      <c r="G166" s="15">
        <f t="shared" ref="G166:G169" si="64">MAX(E166,_xlfn.CEILING.MATH(ROUNDUP(E166*C166*((1-10%)*(1-2%)*(1-1%)),20)))</f>
        <v>7705</v>
      </c>
      <c r="H166" s="4"/>
      <c r="N166" s="12"/>
      <c r="O166" s="15"/>
    </row>
    <row r="167" spans="1:15" x14ac:dyDescent="0.25">
      <c r="A167" t="str">
        <f>A157</f>
        <v>Phenolic Composites</v>
      </c>
      <c r="B167">
        <v>6</v>
      </c>
      <c r="C167">
        <v>6</v>
      </c>
      <c r="D167" s="2">
        <f>D157</f>
        <v>1484</v>
      </c>
      <c r="E167">
        <f>E166</f>
        <v>519</v>
      </c>
      <c r="F167" s="12">
        <f t="shared" si="63"/>
        <v>4036480</v>
      </c>
      <c r="G167" s="15">
        <f t="shared" si="64"/>
        <v>2720</v>
      </c>
      <c r="N167" s="12"/>
      <c r="O167" s="15"/>
    </row>
    <row r="168" spans="1:15" x14ac:dyDescent="0.25">
      <c r="A168" t="s">
        <v>13</v>
      </c>
      <c r="B168">
        <v>2</v>
      </c>
      <c r="C168">
        <v>2</v>
      </c>
      <c r="D168" s="22">
        <f>D131</f>
        <v>11940</v>
      </c>
      <c r="E168">
        <f>E166</f>
        <v>519</v>
      </c>
      <c r="F168" s="12">
        <f t="shared" si="63"/>
        <v>10829580</v>
      </c>
      <c r="G168" s="15">
        <f t="shared" si="64"/>
        <v>907</v>
      </c>
      <c r="N168" s="12"/>
      <c r="O168" s="15"/>
    </row>
    <row r="169" spans="1:15" ht="17.25" x14ac:dyDescent="0.4">
      <c r="A169" t="s">
        <v>14</v>
      </c>
      <c r="B169">
        <v>2</v>
      </c>
      <c r="C169">
        <v>2</v>
      </c>
      <c r="D169" s="22">
        <f>D132</f>
        <v>3902</v>
      </c>
      <c r="E169">
        <f>E167</f>
        <v>519</v>
      </c>
      <c r="F169" s="38">
        <f>MAX(E169,_xlfn.CEILING.MATH(ROUNDUP(E169*C169*((1-10%)*(1-2%)*(1-1%)),20)))*D169</f>
        <v>3539114</v>
      </c>
      <c r="G169" s="15">
        <f t="shared" si="64"/>
        <v>907</v>
      </c>
      <c r="N169" s="12"/>
    </row>
    <row r="170" spans="1:15" x14ac:dyDescent="0.25">
      <c r="E170" s="1" t="str">
        <f>A165</f>
        <v>Nanoelectrical Microprocessor</v>
      </c>
      <c r="F170" s="4">
        <f>SUM(F166:F169)*1.03</f>
        <v>20115213.504999999</v>
      </c>
    </row>
    <row r="171" spans="1:15" x14ac:dyDescent="0.25">
      <c r="A171" t="s">
        <v>3</v>
      </c>
      <c r="F171" s="4"/>
    </row>
    <row r="172" spans="1:15" x14ac:dyDescent="0.25">
      <c r="A172" t="str">
        <f>A166</f>
        <v>Tungsten Carbide</v>
      </c>
      <c r="B172">
        <v>20</v>
      </c>
      <c r="C172">
        <v>22</v>
      </c>
      <c r="D172" s="2">
        <f>D166</f>
        <v>145.9</v>
      </c>
      <c r="E172">
        <f>'Ship Component Reqs'!F51</f>
        <v>116</v>
      </c>
      <c r="F172" s="12">
        <f t="shared" ref="F172:F173" si="65">MAX(E172,_xlfn.CEILING.MATH(ROUNDUP(E172*C172*((1-10%)*(1-2%)*(1-1%)),20)))*D172</f>
        <v>325211.10000000003</v>
      </c>
      <c r="G172" s="15">
        <f t="shared" ref="G172:G174" si="66">MAX(E172,_xlfn.CEILING.MATH(ROUNDUP(E172*C172*((1-10%)*(1-2%)*(1-1%)),20)))</f>
        <v>2229</v>
      </c>
      <c r="H172" s="4"/>
      <c r="K172" s="14"/>
    </row>
    <row r="173" spans="1:15" x14ac:dyDescent="0.25">
      <c r="A173" t="s">
        <v>14</v>
      </c>
      <c r="B173">
        <v>1</v>
      </c>
      <c r="C173">
        <v>1</v>
      </c>
      <c r="D173" s="2">
        <f>D169</f>
        <v>3902</v>
      </c>
      <c r="E173">
        <f>E172</f>
        <v>116</v>
      </c>
      <c r="F173" s="12">
        <f t="shared" si="65"/>
        <v>452632</v>
      </c>
      <c r="G173" s="15">
        <f t="shared" si="66"/>
        <v>116</v>
      </c>
    </row>
    <row r="174" spans="1:15" ht="17.25" x14ac:dyDescent="0.4">
      <c r="A174" t="s">
        <v>15</v>
      </c>
      <c r="B174">
        <v>2</v>
      </c>
      <c r="C174">
        <v>2</v>
      </c>
      <c r="D174" s="22">
        <f>D137</f>
        <v>6173</v>
      </c>
      <c r="E174">
        <f>E173</f>
        <v>116</v>
      </c>
      <c r="F174" s="38">
        <f>MAX(E174,_xlfn.CEILING.MATH(ROUNDUP(E174*C174*((1-10%)*(1-2%)*(1-1%)),20)))*D174</f>
        <v>1253119</v>
      </c>
      <c r="G174" s="15">
        <f t="shared" si="66"/>
        <v>203</v>
      </c>
    </row>
    <row r="175" spans="1:15" x14ac:dyDescent="0.25">
      <c r="E175" s="1" t="str">
        <f>A171</f>
        <v>Radar Sensor Cluster</v>
      </c>
      <c r="F175" s="4">
        <f>SUM(F172:F174)*1.03</f>
        <v>2091890.9630000002</v>
      </c>
    </row>
    <row r="176" spans="1:15" x14ac:dyDescent="0.25">
      <c r="A176" t="s">
        <v>2</v>
      </c>
      <c r="F176" s="4"/>
    </row>
    <row r="177" spans="1:16" x14ac:dyDescent="0.25">
      <c r="A177" t="str">
        <f>A172</f>
        <v>Tungsten Carbide</v>
      </c>
      <c r="B177">
        <v>25</v>
      </c>
      <c r="C177">
        <v>27</v>
      </c>
      <c r="D177" s="2">
        <f>D172</f>
        <v>145.9</v>
      </c>
      <c r="E177">
        <f>'Ship Component Reqs'!F52</f>
        <v>346</v>
      </c>
      <c r="F177" s="12">
        <f t="shared" ref="F177:F179" si="67">MAX(E177,_xlfn.CEILING.MATH(ROUNDUP(E177*C177*((1-10%)*(1-2%)*(1-1%)),20)))*D177</f>
        <v>1190252.2</v>
      </c>
      <c r="G177" s="15">
        <f t="shared" ref="G177:G180" si="68">MAX(E177,_xlfn.CEILING.MATH(ROUNDUP(E177*C177*((1-10%)*(1-2%)*(1-1%)),20)))</f>
        <v>8158</v>
      </c>
      <c r="H177" s="4"/>
    </row>
    <row r="178" spans="1:16" x14ac:dyDescent="0.25">
      <c r="A178" t="str">
        <f>A173</f>
        <v>Nano Transistors</v>
      </c>
      <c r="B178">
        <v>1</v>
      </c>
      <c r="C178">
        <v>1</v>
      </c>
      <c r="D178" s="2">
        <f>D173</f>
        <v>3902</v>
      </c>
      <c r="E178">
        <f>E177</f>
        <v>346</v>
      </c>
      <c r="F178" s="12">
        <f t="shared" si="67"/>
        <v>1350092</v>
      </c>
      <c r="G178" s="15">
        <f t="shared" si="68"/>
        <v>346</v>
      </c>
    </row>
    <row r="179" spans="1:16" x14ac:dyDescent="0.25">
      <c r="A179" t="str">
        <f>A168</f>
        <v>Terahertz Meta Materials</v>
      </c>
      <c r="B179">
        <v>2</v>
      </c>
      <c r="C179">
        <v>2</v>
      </c>
      <c r="D179" s="2">
        <f>D168</f>
        <v>11940</v>
      </c>
      <c r="E179">
        <f>E177</f>
        <v>346</v>
      </c>
      <c r="F179" s="12">
        <f t="shared" si="67"/>
        <v>7223700</v>
      </c>
      <c r="G179" s="15">
        <f t="shared" si="68"/>
        <v>605</v>
      </c>
      <c r="I179" s="10"/>
    </row>
    <row r="180" spans="1:16" ht="17.25" x14ac:dyDescent="0.4">
      <c r="A180" t="s">
        <v>16</v>
      </c>
      <c r="B180">
        <v>10</v>
      </c>
      <c r="C180">
        <v>11</v>
      </c>
      <c r="D180" s="22">
        <f>D143</f>
        <v>579.4</v>
      </c>
      <c r="E180">
        <f>E178</f>
        <v>346</v>
      </c>
      <c r="F180" s="38">
        <f>MAX(E180,_xlfn.CEILING.MATH(ROUNDUP(E180*C180*((1-10%)*(1-2%)*(1-1%)),20)))*D180</f>
        <v>1925925.5999999999</v>
      </c>
      <c r="G180" s="15">
        <f t="shared" si="68"/>
        <v>3324</v>
      </c>
    </row>
    <row r="181" spans="1:16" x14ac:dyDescent="0.25">
      <c r="E181" s="1" t="str">
        <f>A176</f>
        <v>Tesseract Capacitor Unit</v>
      </c>
      <c r="F181" s="4">
        <f>SUM(F177:F180)*1.03</f>
        <v>12040668.893999999</v>
      </c>
    </row>
    <row r="182" spans="1:16" x14ac:dyDescent="0.25">
      <c r="A182" t="s">
        <v>5</v>
      </c>
      <c r="F182" s="4"/>
    </row>
    <row r="183" spans="1:16" x14ac:dyDescent="0.25">
      <c r="A183" t="str">
        <f>A177</f>
        <v>Tungsten Carbide</v>
      </c>
      <c r="B183">
        <v>40</v>
      </c>
      <c r="C183">
        <v>44</v>
      </c>
      <c r="D183" s="2">
        <f>D177</f>
        <v>145.9</v>
      </c>
      <c r="E183">
        <f>'Ship Component Reqs'!F53</f>
        <v>3458</v>
      </c>
      <c r="F183" s="12">
        <f>MAX(E183,_xlfn.CEILING.MATH(ROUNDUP(E183*C183*((1-10%)*(1-2%)*(1-1%)),20)))*D183</f>
        <v>19383836.300000001</v>
      </c>
      <c r="G183" s="15">
        <f>MAX(E183,_xlfn.CEILING.MATH(ROUNDUP(E183*C183*((1-10%)*(1-2%)*(1-1%)),20)))</f>
        <v>132857</v>
      </c>
      <c r="H183" s="4"/>
    </row>
    <row r="184" spans="1:16" ht="17.25" x14ac:dyDescent="0.4">
      <c r="A184" t="str">
        <f>A163</f>
        <v>Sylramic Fibers</v>
      </c>
      <c r="B184">
        <v>10</v>
      </c>
      <c r="C184">
        <v>11</v>
      </c>
      <c r="D184" s="2">
        <f>D163</f>
        <v>332.4</v>
      </c>
      <c r="E184">
        <f>E183</f>
        <v>3458</v>
      </c>
      <c r="F184" s="38">
        <f>MAX(E184,_xlfn.CEILING.MATH(ROUNDUP(E184*C184*((1-10%)*(1-2%)*(1-1%)),20)))*D184</f>
        <v>11040666</v>
      </c>
      <c r="G184" s="15">
        <f t="shared" ref="G184" si="69">MAX(E184,_xlfn.CEILING.MATH(ROUNDUP(E184*C184*((1-10%)*(1-2%)*(1-1%)),20)))</f>
        <v>33215</v>
      </c>
    </row>
    <row r="185" spans="1:16" x14ac:dyDescent="0.25">
      <c r="E185" s="1" t="str">
        <f>A182</f>
        <v>Tungsten Carbide Armor Plate</v>
      </c>
      <c r="F185" s="4">
        <f>SUM(F183:F184)*1.03</f>
        <v>31337237.369000003</v>
      </c>
      <c r="G185" s="4"/>
      <c r="H185" s="4"/>
    </row>
    <row r="186" spans="1:16" x14ac:dyDescent="0.25">
      <c r="E186" s="1"/>
      <c r="F186" s="4"/>
    </row>
    <row r="187" spans="1:16" s="17" customFormat="1" x14ac:dyDescent="0.25">
      <c r="D187" s="30"/>
      <c r="K187" s="18"/>
      <c r="L187" s="18"/>
      <c r="M187" s="18"/>
    </row>
    <row r="188" spans="1:16" x14ac:dyDescent="0.25">
      <c r="A188" t="s">
        <v>161</v>
      </c>
    </row>
    <row r="189" spans="1:16" x14ac:dyDescent="0.25">
      <c r="A189" t="s">
        <v>153</v>
      </c>
      <c r="D189" s="2" t="s">
        <v>21</v>
      </c>
      <c r="E189" t="s">
        <v>19</v>
      </c>
      <c r="J189" t="s">
        <v>25</v>
      </c>
      <c r="K189" s="3" t="s">
        <v>30</v>
      </c>
      <c r="L189" s="3" t="s">
        <v>27</v>
      </c>
      <c r="M189" s="3" t="s">
        <v>35</v>
      </c>
      <c r="N189" t="s">
        <v>26</v>
      </c>
      <c r="O189" s="3" t="s">
        <v>34</v>
      </c>
    </row>
    <row r="190" spans="1:16" x14ac:dyDescent="0.25">
      <c r="A190" t="s">
        <v>163</v>
      </c>
      <c r="C190">
        <v>9</v>
      </c>
      <c r="D190" s="22">
        <f>Pricing!F9</f>
        <v>167.9</v>
      </c>
      <c r="E190">
        <f>IF('Ship Component Reqs'!F62&lt;0,0,'Ship Component Reqs'!F62)</f>
        <v>52</v>
      </c>
      <c r="F190" s="12">
        <f>MAX(E190,_xlfn.CEILING.MATH(ROUNDUP(E190*C190*((1-10%)*(1-2%)*(1-1%)),20)))*D190</f>
        <v>68671.100000000006</v>
      </c>
      <c r="G190" s="15">
        <f>MAX(E190,_xlfn.CEILING.MATH(ROUNDUP(E190*C190*((1-10%)*(1-2%)*(1-1%)),20)))</f>
        <v>409</v>
      </c>
      <c r="J190" t="str">
        <f>A190</f>
        <v>Titanium Carbide</v>
      </c>
      <c r="K190" s="3">
        <f>G190+G194+G199+G204+G209+G215+G221</f>
        <v>215320</v>
      </c>
      <c r="L190" s="3">
        <v>5400</v>
      </c>
      <c r="M190" s="6">
        <f>((K190*'Ship Component Reqs'!$D$32)-L190)</f>
        <v>209920</v>
      </c>
      <c r="N190">
        <f>D190</f>
        <v>167.9</v>
      </c>
      <c r="O190" s="13">
        <f>IF(M190&lt;0,0,M190*N190)</f>
        <v>35245568</v>
      </c>
      <c r="P190" t="s">
        <v>167</v>
      </c>
    </row>
    <row r="191" spans="1:16" ht="17.25" x14ac:dyDescent="0.4">
      <c r="A191" t="s">
        <v>162</v>
      </c>
      <c r="C191">
        <v>2</v>
      </c>
      <c r="D191" s="22">
        <f>D4</f>
        <v>49950</v>
      </c>
      <c r="E191">
        <f>E190</f>
        <v>52</v>
      </c>
      <c r="F191" s="38">
        <f>MAX(E191,_xlfn.CEILING.MATH(ROUNDUP(E191*C191*((1-10%)*(1-2%)*(1-1%)),20)))*D191</f>
        <v>4545450</v>
      </c>
      <c r="G191" s="15">
        <f t="shared" ref="G191" si="70">MAX(E191,_xlfn.CEILING.MATH(ROUNDUP(E191*C191*((1-10%)*(1-2%)*(1-1%)),20)))</f>
        <v>91</v>
      </c>
      <c r="J191" t="str">
        <f>A191</f>
        <v>Fermonic Condensates</v>
      </c>
      <c r="K191" s="3">
        <f>+G191</f>
        <v>91</v>
      </c>
      <c r="L191" s="3">
        <v>39</v>
      </c>
      <c r="M191" s="6">
        <f>((K191*'Ship Component Reqs'!$D$32)-L191)</f>
        <v>52</v>
      </c>
      <c r="N191">
        <f>D191</f>
        <v>49950</v>
      </c>
      <c r="O191" s="13">
        <f t="shared" ref="O191:O197" si="71">IF(M191&lt;0,0,M191*N191)</f>
        <v>2597400</v>
      </c>
      <c r="P191" t="s">
        <v>167</v>
      </c>
    </row>
    <row r="192" spans="1:16" x14ac:dyDescent="0.25">
      <c r="E192" s="1" t="str">
        <f>A189</f>
        <v>Graviton Reactor Unit</v>
      </c>
      <c r="F192" s="4">
        <f>SUM(F190:F191)*1.03</f>
        <v>4752544.733</v>
      </c>
      <c r="J192" t="str">
        <f>A195</f>
        <v>Sylramic Fibers</v>
      </c>
      <c r="K192" s="3">
        <f>+G195+G222</f>
        <v>45970</v>
      </c>
      <c r="L192" s="3">
        <v>1353</v>
      </c>
      <c r="M192" s="6">
        <f>((K192*'Ship Component Reqs'!$D$32)-L192)</f>
        <v>44617</v>
      </c>
      <c r="N192" s="4">
        <f>D195</f>
        <v>332.4</v>
      </c>
      <c r="O192" s="13">
        <f t="shared" si="71"/>
        <v>14830690.799999999</v>
      </c>
      <c r="P192" t="s">
        <v>167</v>
      </c>
    </row>
    <row r="193" spans="1:16" x14ac:dyDescent="0.25">
      <c r="A193" t="s">
        <v>154</v>
      </c>
      <c r="J193" t="str">
        <f>A196</f>
        <v>Ferrogel</v>
      </c>
      <c r="K193" s="3">
        <f>G196+G201</f>
        <v>283</v>
      </c>
      <c r="L193" s="3">
        <v>0</v>
      </c>
      <c r="M193" s="6">
        <f>((K193*'Ship Component Reqs'!$D$32)-L193)</f>
        <v>283</v>
      </c>
      <c r="N193" s="4">
        <f>D196</f>
        <v>23970</v>
      </c>
      <c r="O193" s="13">
        <f t="shared" si="71"/>
        <v>6783510</v>
      </c>
      <c r="P193" t="s">
        <v>167</v>
      </c>
    </row>
    <row r="194" spans="1:16" x14ac:dyDescent="0.25">
      <c r="A194" t="s">
        <v>163</v>
      </c>
      <c r="C194">
        <v>22</v>
      </c>
      <c r="D194" s="37">
        <f>D190</f>
        <v>167.9</v>
      </c>
      <c r="E194">
        <f>IF('Ship Component Reqs'!F63&lt;0,0,'Ship Component Reqs'!F63)</f>
        <v>110</v>
      </c>
      <c r="F194" s="12">
        <f t="shared" ref="F194:F195" si="72">MAX(E194,_xlfn.CEILING.MATH(ROUNDUP(E194*C194*((1-10%)*(1-2%)*(1-1%)),20)))*D194</f>
        <v>354940.60000000003</v>
      </c>
      <c r="G194" s="15">
        <f t="shared" ref="G194:G196" si="73">MAX(E194,_xlfn.CEILING.MATH(ROUNDUP(E194*C194*((1-10%)*(1-2%)*(1-1%)),20)))</f>
        <v>2114</v>
      </c>
      <c r="J194" t="str">
        <f>A200</f>
        <v>Phenolic Composites</v>
      </c>
      <c r="K194" s="3">
        <f>+G200+G218</f>
        <v>6039</v>
      </c>
      <c r="L194" s="3">
        <v>0</v>
      </c>
      <c r="M194" s="6">
        <f>((K194*'Ship Component Reqs'!$D$32)-L194)</f>
        <v>6039</v>
      </c>
      <c r="N194">
        <f>D200</f>
        <v>1484</v>
      </c>
      <c r="O194" s="13">
        <f t="shared" si="71"/>
        <v>8961876</v>
      </c>
      <c r="P194" t="s">
        <v>167</v>
      </c>
    </row>
    <row r="195" spans="1:16" x14ac:dyDescent="0.25">
      <c r="A195" t="s">
        <v>12</v>
      </c>
      <c r="C195">
        <v>9</v>
      </c>
      <c r="D195" s="37">
        <f>Pricing!F29</f>
        <v>332.4</v>
      </c>
      <c r="E195">
        <f>E194</f>
        <v>110</v>
      </c>
      <c r="F195" s="12">
        <f t="shared" si="72"/>
        <v>287526</v>
      </c>
      <c r="G195" s="15">
        <f t="shared" si="73"/>
        <v>865</v>
      </c>
      <c r="J195" t="str">
        <f>A205</f>
        <v>Nano Transistors</v>
      </c>
      <c r="K195" s="3">
        <f>G205+G211+G217</f>
        <v>2523</v>
      </c>
      <c r="L195" s="3">
        <v>0</v>
      </c>
      <c r="M195" s="6">
        <f>((K195*'Ship Component Reqs'!$D$32)-L195)</f>
        <v>2523</v>
      </c>
      <c r="N195" s="4">
        <f>D205</f>
        <v>3902</v>
      </c>
      <c r="O195" s="13">
        <f t="shared" si="71"/>
        <v>9844746</v>
      </c>
      <c r="P195" t="s">
        <v>167</v>
      </c>
    </row>
    <row r="196" spans="1:16" ht="17.25" x14ac:dyDescent="0.4">
      <c r="A196" t="s">
        <v>11</v>
      </c>
      <c r="C196">
        <v>1</v>
      </c>
      <c r="D196" s="22">
        <f>Pricing!F28</f>
        <v>23970</v>
      </c>
      <c r="E196">
        <f>E194</f>
        <v>110</v>
      </c>
      <c r="F196" s="38">
        <f>MAX(E196,_xlfn.CEILING.MATH(ROUNDUP(E196*C196*((1-10%)*(1-2%)*(1-1%)),20)))*D196</f>
        <v>2636700</v>
      </c>
      <c r="G196" s="15">
        <f t="shared" si="73"/>
        <v>110</v>
      </c>
      <c r="J196" t="str">
        <f>A206</f>
        <v>Hypersynaptic Fibers</v>
      </c>
      <c r="K196" s="3">
        <f>G206</f>
        <v>399</v>
      </c>
      <c r="L196" s="3">
        <v>0</v>
      </c>
      <c r="M196" s="6">
        <f>((K196*'Ship Component Reqs'!$D$32)-L196)</f>
        <v>399</v>
      </c>
      <c r="N196" s="4">
        <f>D206</f>
        <v>6173</v>
      </c>
      <c r="O196" s="13">
        <f t="shared" si="71"/>
        <v>2463027</v>
      </c>
      <c r="P196" t="s">
        <v>167</v>
      </c>
    </row>
    <row r="197" spans="1:16" x14ac:dyDescent="0.25">
      <c r="E197" s="1" t="str">
        <f>A193</f>
        <v>Sustained Shield Emitter</v>
      </c>
      <c r="F197" s="4">
        <f>SUM(F194:F196)*1.03</f>
        <v>3377541.5980000002</v>
      </c>
      <c r="J197" t="str">
        <f>A210</f>
        <v>Fullerides</v>
      </c>
      <c r="K197" s="3">
        <f>G210</f>
        <v>4159</v>
      </c>
      <c r="L197" s="3">
        <v>30</v>
      </c>
      <c r="M197" s="6">
        <f>((K197*'Ship Component Reqs'!$D$32)-L197)</f>
        <v>4129</v>
      </c>
      <c r="N197">
        <f>D210</f>
        <v>579.4</v>
      </c>
      <c r="O197" s="13">
        <f t="shared" si="71"/>
        <v>2392342.6</v>
      </c>
      <c r="P197" t="s">
        <v>167</v>
      </c>
    </row>
    <row r="198" spans="1:16" ht="17.25" x14ac:dyDescent="0.4">
      <c r="A198" t="s">
        <v>155</v>
      </c>
      <c r="J198" t="str">
        <f>A212</f>
        <v>Nonlinear MetaMaterials</v>
      </c>
      <c r="K198" s="3">
        <f>G212+G216</f>
        <v>2619</v>
      </c>
      <c r="L198" s="3">
        <v>0</v>
      </c>
      <c r="M198" s="6">
        <f>((K198*'Ship Component Reqs'!$D$32)-L198)</f>
        <v>2619</v>
      </c>
      <c r="N198">
        <f>D212</f>
        <v>11570</v>
      </c>
      <c r="O198" s="11">
        <f>IF(M198&lt;0,0,M198*N198)</f>
        <v>30301830</v>
      </c>
    </row>
    <row r="199" spans="1:16" x14ac:dyDescent="0.25">
      <c r="A199" t="s">
        <v>163</v>
      </c>
      <c r="C199">
        <v>13</v>
      </c>
      <c r="D199" s="37">
        <f>D190</f>
        <v>167.9</v>
      </c>
      <c r="E199">
        <f>IF('Ship Component Reqs'!F64&lt;0,0,'Ship Component Reqs'!F64)</f>
        <v>173</v>
      </c>
      <c r="F199" s="12">
        <f t="shared" ref="F199:F200" si="74">MAX(E199,_xlfn.CEILING.MATH(ROUNDUP(E199*C199*((1-10%)*(1-2%)*(1-1%)),20)))*D199</f>
        <v>329755.60000000003</v>
      </c>
      <c r="G199" s="15">
        <f t="shared" ref="G199:G201" si="75">MAX(E199,_xlfn.CEILING.MATH(ROUNDUP(E199*C199*((1-10%)*(1-2%)*(1-1%)),20)))</f>
        <v>1964</v>
      </c>
      <c r="K199" s="10"/>
      <c r="O199" s="4">
        <f>SUM(O190:O198)</f>
        <v>113420990.39999999</v>
      </c>
    </row>
    <row r="200" spans="1:16" x14ac:dyDescent="0.25">
      <c r="A200" t="s">
        <v>10</v>
      </c>
      <c r="C200">
        <v>3</v>
      </c>
      <c r="D200" s="22">
        <f>D8</f>
        <v>1484</v>
      </c>
      <c r="E200">
        <f>E199</f>
        <v>173</v>
      </c>
      <c r="F200" s="12">
        <f t="shared" si="74"/>
        <v>673736</v>
      </c>
      <c r="G200" s="15">
        <f t="shared" si="75"/>
        <v>454</v>
      </c>
    </row>
    <row r="201" spans="1:16" ht="17.25" x14ac:dyDescent="0.4">
      <c r="A201" t="s">
        <v>11</v>
      </c>
      <c r="C201">
        <v>1</v>
      </c>
      <c r="D201" s="22">
        <f>D196</f>
        <v>23970</v>
      </c>
      <c r="E201">
        <f>E199</f>
        <v>173</v>
      </c>
      <c r="F201" s="38">
        <f>MAX(E201,_xlfn.CEILING.MATH(ROUNDUP(E201*C201*((1-10%)*(1-2%)*(1-1%)),20)))*D201</f>
        <v>4146810</v>
      </c>
      <c r="G201" s="15">
        <f t="shared" si="75"/>
        <v>173</v>
      </c>
    </row>
    <row r="202" spans="1:16" x14ac:dyDescent="0.25">
      <c r="E202" s="1" t="str">
        <f>A198</f>
        <v>Magpulse Thruster</v>
      </c>
      <c r="F202" s="4">
        <f>SUM(F199:F201)</f>
        <v>5150301.5999999996</v>
      </c>
    </row>
    <row r="203" spans="1:16" x14ac:dyDescent="0.25">
      <c r="A203" t="s">
        <v>156</v>
      </c>
    </row>
    <row r="204" spans="1:16" x14ac:dyDescent="0.25">
      <c r="A204" t="s">
        <v>163</v>
      </c>
      <c r="C204">
        <v>22</v>
      </c>
      <c r="D204" s="2">
        <f>D199</f>
        <v>167.9</v>
      </c>
      <c r="E204">
        <f>IF('Ship Component Reqs'!F65&lt;0,0,'Ship Component Reqs'!F65)</f>
        <v>228</v>
      </c>
      <c r="F204" s="12">
        <f t="shared" ref="F204:F205" si="76">MAX(E204,_xlfn.CEILING.MATH(ROUNDUP(E204*C204*((1-10%)*(1-2%)*(1-1%)),20)))*D204</f>
        <v>735402</v>
      </c>
      <c r="G204" s="15">
        <f t="shared" ref="G204:G206" si="77">MAX(E204,_xlfn.CEILING.MATH(ROUNDUP(E204*C204*((1-10%)*(1-2%)*(1-1%)),20)))</f>
        <v>4380</v>
      </c>
    </row>
    <row r="205" spans="1:16" x14ac:dyDescent="0.25">
      <c r="A205" t="s">
        <v>14</v>
      </c>
      <c r="C205">
        <v>1</v>
      </c>
      <c r="D205" s="2">
        <f>Pricing!F30</f>
        <v>3902</v>
      </c>
      <c r="E205">
        <f>E204</f>
        <v>228</v>
      </c>
      <c r="F205" s="12">
        <f t="shared" si="76"/>
        <v>889656</v>
      </c>
      <c r="G205" s="15">
        <f t="shared" si="77"/>
        <v>228</v>
      </c>
    </row>
    <row r="206" spans="1:16" ht="17.25" x14ac:dyDescent="0.4">
      <c r="A206" t="s">
        <v>15</v>
      </c>
      <c r="C206">
        <v>2</v>
      </c>
      <c r="D206" s="22">
        <f>Pricing!F31</f>
        <v>6173</v>
      </c>
      <c r="E206">
        <f>E204</f>
        <v>228</v>
      </c>
      <c r="F206" s="38">
        <f>MAX(E206,_xlfn.CEILING.MATH(ROUNDUP(E206*C206*((1-10%)*(1-2%)*(1-1%)),20)))*D206</f>
        <v>2463027</v>
      </c>
      <c r="G206" s="15">
        <f t="shared" si="77"/>
        <v>399</v>
      </c>
    </row>
    <row r="207" spans="1:16" x14ac:dyDescent="0.25">
      <c r="E207" s="1" t="str">
        <f>A203</f>
        <v>Gravimetric Sensor Cluster</v>
      </c>
      <c r="F207" s="4">
        <f>SUM(F204:F206)*1.03</f>
        <v>4210727.55</v>
      </c>
      <c r="G207" s="15"/>
    </row>
    <row r="208" spans="1:16" x14ac:dyDescent="0.25">
      <c r="A208" t="s">
        <v>157</v>
      </c>
    </row>
    <row r="209" spans="1:13" x14ac:dyDescent="0.25">
      <c r="A209" t="s">
        <v>163</v>
      </c>
      <c r="C209">
        <v>27</v>
      </c>
      <c r="D209" s="2">
        <f>D204</f>
        <v>167.9</v>
      </c>
      <c r="E209">
        <f>IF('Ship Component Reqs'!F66&lt;0,0,'Ship Component Reqs'!F66)</f>
        <v>433</v>
      </c>
      <c r="F209" s="12">
        <f t="shared" ref="F209:F211" si="78">MAX(E209,_xlfn.CEILING.MATH(ROUNDUP(E209*C209*((1-10%)*(1-2%)*(1-1%)),20)))*D209</f>
        <v>1714091.1</v>
      </c>
      <c r="G209" s="15">
        <f t="shared" ref="G209:G212" si="79">MAX(E209,_xlfn.CEILING.MATH(ROUNDUP(E209*C209*((1-10%)*(1-2%)*(1-1%)),20)))</f>
        <v>10209</v>
      </c>
    </row>
    <row r="210" spans="1:13" x14ac:dyDescent="0.25">
      <c r="A210" t="s">
        <v>16</v>
      </c>
      <c r="C210">
        <v>11</v>
      </c>
      <c r="D210" s="2">
        <f>Pricing!F32</f>
        <v>579.4</v>
      </c>
      <c r="E210">
        <f>E209</f>
        <v>433</v>
      </c>
      <c r="F210" s="12">
        <f t="shared" si="78"/>
        <v>2409724.6</v>
      </c>
      <c r="G210" s="15">
        <f t="shared" si="79"/>
        <v>4159</v>
      </c>
    </row>
    <row r="211" spans="1:13" x14ac:dyDescent="0.25">
      <c r="A211" t="s">
        <v>164</v>
      </c>
      <c r="C211">
        <v>1</v>
      </c>
      <c r="D211" s="2">
        <f>D205</f>
        <v>3902</v>
      </c>
      <c r="E211">
        <f>E209</f>
        <v>433</v>
      </c>
      <c r="F211" s="12">
        <f t="shared" si="78"/>
        <v>1689566</v>
      </c>
      <c r="G211" s="15">
        <f t="shared" si="79"/>
        <v>433</v>
      </c>
    </row>
    <row r="212" spans="1:13" ht="17.25" x14ac:dyDescent="0.4">
      <c r="A212" t="s">
        <v>165</v>
      </c>
      <c r="C212">
        <v>2</v>
      </c>
      <c r="D212" s="22">
        <f>Pricing!F11</f>
        <v>11570</v>
      </c>
      <c r="E212">
        <f>E209</f>
        <v>433</v>
      </c>
      <c r="F212" s="38">
        <f>MAX(E212,_xlfn.CEILING.MATH(ROUNDUP(E212*C212*((1-10%)*(1-2%)*(1-1%)),20)))*D212</f>
        <v>8758490</v>
      </c>
      <c r="G212" s="15">
        <f t="shared" si="79"/>
        <v>757</v>
      </c>
    </row>
    <row r="213" spans="1:13" x14ac:dyDescent="0.25">
      <c r="E213" s="1" t="str">
        <f>A208</f>
        <v>Scalar Capacitor Unit</v>
      </c>
      <c r="F213" s="4">
        <f>SUM(F209:F212)*1.03</f>
        <v>15009027.851</v>
      </c>
    </row>
    <row r="214" spans="1:13" x14ac:dyDescent="0.25">
      <c r="A214" t="s">
        <v>158</v>
      </c>
    </row>
    <row r="215" spans="1:13" x14ac:dyDescent="0.25">
      <c r="A215" t="s">
        <v>163</v>
      </c>
      <c r="C215">
        <v>17</v>
      </c>
      <c r="D215" s="2">
        <f>D209</f>
        <v>167.9</v>
      </c>
      <c r="E215">
        <f>IF('Ship Component Reqs'!F67&lt;0,0,'Ship Component Reqs'!F67)</f>
        <v>1066</v>
      </c>
      <c r="F215" s="12">
        <f t="shared" ref="F215:F217" si="80">MAX(E215,_xlfn.CEILING.MATH(ROUNDUP(E215*C215*((1-10%)*(1-2%)*(1-1%)),20)))*D215</f>
        <v>2656849.6</v>
      </c>
      <c r="G215" s="15">
        <f t="shared" ref="G215:G218" si="81">MAX(E215,_xlfn.CEILING.MATH(ROUNDUP(E215*C215*((1-10%)*(1-2%)*(1-1%)),20)))</f>
        <v>15824</v>
      </c>
    </row>
    <row r="216" spans="1:13" x14ac:dyDescent="0.25">
      <c r="A216" t="s">
        <v>165</v>
      </c>
      <c r="C216">
        <v>2</v>
      </c>
      <c r="D216" s="2">
        <f>D212</f>
        <v>11570</v>
      </c>
      <c r="E216">
        <f>E215</f>
        <v>1066</v>
      </c>
      <c r="F216" s="12">
        <f t="shared" si="80"/>
        <v>21543340</v>
      </c>
      <c r="G216" s="15">
        <f t="shared" si="81"/>
        <v>1862</v>
      </c>
    </row>
    <row r="217" spans="1:13" x14ac:dyDescent="0.25">
      <c r="A217" t="s">
        <v>164</v>
      </c>
      <c r="C217">
        <v>2</v>
      </c>
      <c r="D217" s="22">
        <f>D211</f>
        <v>3902</v>
      </c>
      <c r="E217">
        <f>E215</f>
        <v>1066</v>
      </c>
      <c r="F217" s="12">
        <f t="shared" si="80"/>
        <v>7265524</v>
      </c>
      <c r="G217" s="15">
        <f t="shared" si="81"/>
        <v>1862</v>
      </c>
    </row>
    <row r="218" spans="1:13" ht="17.25" x14ac:dyDescent="0.4">
      <c r="A218" t="s">
        <v>10</v>
      </c>
      <c r="C218">
        <v>6</v>
      </c>
      <c r="D218" s="22">
        <f>D200</f>
        <v>1484</v>
      </c>
      <c r="E218">
        <f>E215</f>
        <v>1066</v>
      </c>
      <c r="F218" s="38">
        <f>MAX(E218,_xlfn.CEILING.MATH(ROUNDUP(E218*C218*((1-10%)*(1-2%)*(1-1%)),20)))*D218</f>
        <v>8288140</v>
      </c>
      <c r="G218" s="15">
        <f t="shared" si="81"/>
        <v>5585</v>
      </c>
    </row>
    <row r="219" spans="1:13" x14ac:dyDescent="0.25">
      <c r="E219" s="1" t="str">
        <f>A214</f>
        <v>Quantum Microprocessor</v>
      </c>
      <c r="F219" s="4">
        <f>SUM(F215:F218)*1.03</f>
        <v>40946469.208000004</v>
      </c>
    </row>
    <row r="220" spans="1:13" x14ac:dyDescent="0.25">
      <c r="A220" t="s">
        <v>159</v>
      </c>
    </row>
    <row r="221" spans="1:13" x14ac:dyDescent="0.25">
      <c r="A221" t="s">
        <v>163</v>
      </c>
      <c r="C221">
        <v>44</v>
      </c>
      <c r="D221" s="2">
        <f>D215</f>
        <v>167.9</v>
      </c>
      <c r="E221">
        <f>IF('Ship Component Reqs'!F68&lt;0,0,'Ship Component Reqs'!F68)</f>
        <v>4696</v>
      </c>
      <c r="F221" s="12">
        <f>MAX(E221,_xlfn.CEILING.MATH(ROUNDUP(E221*C221*((1-10%)*(1-2%)*(1-1%)),20)))*D221</f>
        <v>30292518</v>
      </c>
      <c r="G221" s="15">
        <f>MAX(E221,_xlfn.CEILING.MATH(ROUNDUP(E221*C221*((1-10%)*(1-2%)*(1-1%)),20)))</f>
        <v>180420</v>
      </c>
    </row>
    <row r="222" spans="1:13" ht="17.25" x14ac:dyDescent="0.4">
      <c r="A222" t="s">
        <v>12</v>
      </c>
      <c r="C222">
        <v>11</v>
      </c>
      <c r="D222" s="2">
        <f>D195</f>
        <v>332.4</v>
      </c>
      <c r="E222">
        <f>E221</f>
        <v>4696</v>
      </c>
      <c r="F222" s="38">
        <f>MAX(E222,_xlfn.CEILING.MATH(ROUNDUP(E222*C222*((1-10%)*(1-2%)*(1-1%)),20)))*D222</f>
        <v>14992901.999999998</v>
      </c>
      <c r="G222" s="15">
        <f t="shared" ref="G222" si="82">MAX(E222,_xlfn.CEILING.MATH(ROUNDUP(E222*C222*((1-10%)*(1-2%)*(1-1%)),20)))</f>
        <v>45105</v>
      </c>
    </row>
    <row r="223" spans="1:13" x14ac:dyDescent="0.25">
      <c r="E223" s="1" t="str">
        <f>A220</f>
        <v>Titanium Diborite Armor Plate</v>
      </c>
      <c r="F223" s="4">
        <f>SUM(F221:F222)*1.03</f>
        <v>46643982.600000001</v>
      </c>
      <c r="G223" s="4"/>
    </row>
    <row r="224" spans="1:13" s="17" customFormat="1" x14ac:dyDescent="0.25">
      <c r="D224" s="30"/>
      <c r="K224" s="18"/>
      <c r="L224" s="18"/>
      <c r="M224" s="18"/>
    </row>
    <row r="225" spans="1:15" x14ac:dyDescent="0.25">
      <c r="A225" t="s">
        <v>170</v>
      </c>
    </row>
    <row r="226" spans="1:15" x14ac:dyDescent="0.25">
      <c r="A226" t="s">
        <v>153</v>
      </c>
      <c r="D226" s="2" t="s">
        <v>21</v>
      </c>
      <c r="E226" t="s">
        <v>19</v>
      </c>
      <c r="J226" t="s">
        <v>25</v>
      </c>
      <c r="K226" s="3" t="s">
        <v>30</v>
      </c>
      <c r="L226" s="3" t="s">
        <v>27</v>
      </c>
      <c r="M226" s="3" t="s">
        <v>35</v>
      </c>
      <c r="N226" t="s">
        <v>26</v>
      </c>
      <c r="O226" s="3" t="s">
        <v>34</v>
      </c>
    </row>
    <row r="227" spans="1:15" x14ac:dyDescent="0.25">
      <c r="A227" t="s">
        <v>163</v>
      </c>
      <c r="C227">
        <v>9</v>
      </c>
      <c r="D227" s="22">
        <f>D190</f>
        <v>167.9</v>
      </c>
      <c r="E227">
        <f>'Ship Component Reqs'!F77</f>
        <v>96</v>
      </c>
      <c r="F227" s="12">
        <f>MAX(E227,_xlfn.CEILING.MATH(ROUNDUP(E227*C227*((1-10%)*(1-2%)*(1-1%)),20)))*D227</f>
        <v>126764.5</v>
      </c>
      <c r="G227" s="15">
        <f>MAX(E227,_xlfn.CEILING.MATH(ROUNDUP(E227*C227*((1-10%)*(1-2%)*(1-1%)),20)))</f>
        <v>755</v>
      </c>
      <c r="J227" t="str">
        <f>A227</f>
        <v>Titanium Carbide</v>
      </c>
      <c r="K227" s="3">
        <f>G227+G231+G236+G241+G246+G252+G258</f>
        <v>268298</v>
      </c>
      <c r="L227" s="3">
        <v>0</v>
      </c>
      <c r="M227" s="6">
        <f>((K227*'Ship Component Reqs'!$D$32)-L227)</f>
        <v>268298</v>
      </c>
      <c r="N227">
        <f>D227</f>
        <v>167.9</v>
      </c>
      <c r="O227" s="13">
        <f>IF(M227&lt;0,0,M227*N227)</f>
        <v>45047234.200000003</v>
      </c>
    </row>
    <row r="228" spans="1:15" ht="17.25" x14ac:dyDescent="0.4">
      <c r="A228" t="s">
        <v>162</v>
      </c>
      <c r="C228">
        <v>2</v>
      </c>
      <c r="D228" s="22">
        <f>D191</f>
        <v>49950</v>
      </c>
      <c r="E228">
        <f>E227</f>
        <v>96</v>
      </c>
      <c r="F228" s="38">
        <f>MAX(E228,_xlfn.CEILING.MATH(ROUNDUP(E228*C228*((1-10%)*(1-2%)*(1-1%)),20)))*D228</f>
        <v>8391600</v>
      </c>
      <c r="G228" s="15">
        <f t="shared" ref="G228" si="83">MAX(E228,_xlfn.CEILING.MATH(ROUNDUP(E228*C228*((1-10%)*(1-2%)*(1-1%)),20)))</f>
        <v>168</v>
      </c>
      <c r="J228" t="str">
        <f>A228</f>
        <v>Fermonic Condensates</v>
      </c>
      <c r="K228" s="3">
        <f>+G228</f>
        <v>168</v>
      </c>
      <c r="L228" s="3">
        <v>0</v>
      </c>
      <c r="M228" s="6">
        <f>((K228*'Ship Component Reqs'!$D$32)-L228)</f>
        <v>168</v>
      </c>
      <c r="N228">
        <f>D228</f>
        <v>49950</v>
      </c>
      <c r="O228" s="13">
        <f t="shared" ref="O228:O234" si="84">IF(M228&lt;0,0,M228*N228)</f>
        <v>8391600</v>
      </c>
    </row>
    <row r="229" spans="1:15" x14ac:dyDescent="0.25">
      <c r="E229" s="1" t="str">
        <f>A226</f>
        <v>Graviton Reactor Unit</v>
      </c>
      <c r="F229" s="4">
        <f>SUM(F227:F228)*1.03</f>
        <v>8773915.4350000005</v>
      </c>
      <c r="J229" t="str">
        <f>A232</f>
        <v>Sylramic Fibers</v>
      </c>
      <c r="K229" s="3">
        <f>+G232+G259</f>
        <v>46123</v>
      </c>
      <c r="L229" s="3">
        <v>0</v>
      </c>
      <c r="M229" s="6">
        <f>((K229*'Ship Component Reqs'!$D$32)-L229)</f>
        <v>46123</v>
      </c>
      <c r="N229" s="4">
        <f>D232</f>
        <v>332.4</v>
      </c>
      <c r="O229" s="13">
        <f t="shared" si="84"/>
        <v>15331285.199999999</v>
      </c>
    </row>
    <row r="230" spans="1:15" x14ac:dyDescent="0.25">
      <c r="A230" t="s">
        <v>154</v>
      </c>
      <c r="J230" t="str">
        <f>A233</f>
        <v>Ferrogel</v>
      </c>
      <c r="K230" s="3">
        <f>G233+G238</f>
        <v>696</v>
      </c>
      <c r="L230" s="3">
        <v>0</v>
      </c>
      <c r="M230" s="6">
        <f>((K230*'Ship Component Reqs'!$D$32)-L230)</f>
        <v>696</v>
      </c>
      <c r="N230" s="4">
        <f>D233</f>
        <v>23970</v>
      </c>
      <c r="O230" s="13">
        <f t="shared" si="84"/>
        <v>16683120</v>
      </c>
    </row>
    <row r="231" spans="1:15" x14ac:dyDescent="0.25">
      <c r="A231" t="s">
        <v>163</v>
      </c>
      <c r="C231">
        <v>22</v>
      </c>
      <c r="D231" s="37">
        <f>D227</f>
        <v>167.9</v>
      </c>
      <c r="E231">
        <f>'Ship Component Reqs'!F78</f>
        <v>232</v>
      </c>
      <c r="F231" s="12">
        <f t="shared" ref="F231:F232" si="85">MAX(E231,_xlfn.CEILING.MATH(ROUNDUP(E231*C231*((1-10%)*(1-2%)*(1-1%)),20)))*D231</f>
        <v>748330.3</v>
      </c>
      <c r="G231" s="15">
        <f t="shared" ref="G231:G233" si="86">MAX(E231,_xlfn.CEILING.MATH(ROUNDUP(E231*C231*((1-10%)*(1-2%)*(1-1%)),20)))</f>
        <v>4457</v>
      </c>
      <c r="J231" t="str">
        <f>A237</f>
        <v>Phenolic Composites</v>
      </c>
      <c r="K231" s="3">
        <f>+G237+G255</f>
        <v>15718</v>
      </c>
      <c r="L231" s="3">
        <v>0</v>
      </c>
      <c r="M231" s="6">
        <f>((K231*'Ship Component Reqs'!$D$32)-L231)</f>
        <v>15718</v>
      </c>
      <c r="N231">
        <f>D237</f>
        <v>1484</v>
      </c>
      <c r="O231" s="13">
        <f t="shared" si="84"/>
        <v>23325512</v>
      </c>
    </row>
    <row r="232" spans="1:15" x14ac:dyDescent="0.25">
      <c r="A232" t="s">
        <v>12</v>
      </c>
      <c r="C232">
        <v>9</v>
      </c>
      <c r="D232" s="37">
        <f>D195</f>
        <v>332.4</v>
      </c>
      <c r="E232">
        <f>E231</f>
        <v>232</v>
      </c>
      <c r="F232" s="12">
        <f t="shared" si="85"/>
        <v>606297.59999999998</v>
      </c>
      <c r="G232" s="15">
        <f t="shared" si="86"/>
        <v>1824</v>
      </c>
      <c r="J232" t="str">
        <f>A242</f>
        <v>Nano Transistors</v>
      </c>
      <c r="K232" s="3">
        <f>G242+G248+G254</f>
        <v>6682</v>
      </c>
      <c r="L232" s="3">
        <v>0</v>
      </c>
      <c r="M232" s="6">
        <f>((K232*'Ship Component Reqs'!$D$32)-L232)</f>
        <v>6682</v>
      </c>
      <c r="N232" s="4">
        <f>D242</f>
        <v>3902</v>
      </c>
      <c r="O232" s="13">
        <f t="shared" si="84"/>
        <v>26073164</v>
      </c>
    </row>
    <row r="233" spans="1:15" ht="17.25" x14ac:dyDescent="0.4">
      <c r="A233" t="s">
        <v>11</v>
      </c>
      <c r="C233">
        <v>1</v>
      </c>
      <c r="D233" s="22">
        <f>D196</f>
        <v>23970</v>
      </c>
      <c r="E233">
        <f>E231</f>
        <v>232</v>
      </c>
      <c r="F233" s="38">
        <f>MAX(E233,_xlfn.CEILING.MATH(ROUNDUP(E233*C233*((1-10%)*(1-2%)*(1-1%)),20)))*D233</f>
        <v>5561040</v>
      </c>
      <c r="G233" s="15">
        <f t="shared" si="86"/>
        <v>232</v>
      </c>
      <c r="J233" t="str">
        <f>A243</f>
        <v>Hypersynaptic Fibers</v>
      </c>
      <c r="K233" s="3">
        <f>G243</f>
        <v>1614</v>
      </c>
      <c r="L233" s="3">
        <v>0</v>
      </c>
      <c r="M233" s="6">
        <f>((K233*'Ship Component Reqs'!$D$32)-L233)</f>
        <v>1614</v>
      </c>
      <c r="N233" s="4">
        <f>D243</f>
        <v>6173</v>
      </c>
      <c r="O233" s="13">
        <f t="shared" si="84"/>
        <v>9963222</v>
      </c>
    </row>
    <row r="234" spans="1:15" x14ac:dyDescent="0.25">
      <c r="E234" s="1" t="str">
        <f>A230</f>
        <v>Sustained Shield Emitter</v>
      </c>
      <c r="F234" s="4">
        <f>SUM(F231:F233)*1.03</f>
        <v>7123137.9370000008</v>
      </c>
      <c r="J234" t="str">
        <f>A247</f>
        <v>Fullerides</v>
      </c>
      <c r="K234" s="3">
        <f>G247</f>
        <v>8876</v>
      </c>
      <c r="L234" s="3">
        <v>0</v>
      </c>
      <c r="M234" s="6">
        <f>((K234*'Ship Component Reqs'!$D$32)-L234)</f>
        <v>8876</v>
      </c>
      <c r="N234">
        <f>D247</f>
        <v>579.4</v>
      </c>
      <c r="O234" s="13">
        <f t="shared" si="84"/>
        <v>5142754.3999999994</v>
      </c>
    </row>
    <row r="235" spans="1:15" ht="17.25" x14ac:dyDescent="0.4">
      <c r="A235" t="s">
        <v>155</v>
      </c>
      <c r="J235" t="str">
        <f>A249</f>
        <v>Nonlinear MetaMaterials</v>
      </c>
      <c r="K235" s="3">
        <f>G249+G253</f>
        <v>6448</v>
      </c>
      <c r="L235" s="3">
        <v>0</v>
      </c>
      <c r="M235" s="6">
        <f>((K235*'Ship Component Reqs'!$D$32)-L235)</f>
        <v>6448</v>
      </c>
      <c r="N235">
        <f>D249</f>
        <v>11570</v>
      </c>
      <c r="O235" s="11">
        <f>IF(M235&lt;0,0,M235*N235)</f>
        <v>74603360</v>
      </c>
    </row>
    <row r="236" spans="1:15" x14ac:dyDescent="0.25">
      <c r="A236" t="s">
        <v>163</v>
      </c>
      <c r="C236">
        <v>13</v>
      </c>
      <c r="D236" s="37">
        <f>D227</f>
        <v>167.9</v>
      </c>
      <c r="E236">
        <f>'Ship Component Reqs'!F79</f>
        <v>464</v>
      </c>
      <c r="F236" s="12">
        <f t="shared" ref="F236:F237" si="87">MAX(E236,_xlfn.CEILING.MATH(ROUNDUP(E236*C236*((1-10%)*(1-2%)*(1-1%)),20)))*D236</f>
        <v>884497.20000000007</v>
      </c>
      <c r="G236" s="15">
        <f t="shared" ref="G236:G238" si="88">MAX(E236,_xlfn.CEILING.MATH(ROUNDUP(E236*C236*((1-10%)*(1-2%)*(1-1%)),20)))</f>
        <v>5268</v>
      </c>
      <c r="K236" s="10"/>
      <c r="O236" s="4">
        <f>SUM(O227:O235)</f>
        <v>224561251.80000001</v>
      </c>
    </row>
    <row r="237" spans="1:15" x14ac:dyDescent="0.25">
      <c r="A237" t="s">
        <v>10</v>
      </c>
      <c r="C237">
        <v>3</v>
      </c>
      <c r="D237" s="22">
        <f>D200</f>
        <v>1484</v>
      </c>
      <c r="E237">
        <f>E236</f>
        <v>464</v>
      </c>
      <c r="F237" s="12">
        <f t="shared" si="87"/>
        <v>1804544</v>
      </c>
      <c r="G237" s="15">
        <f t="shared" si="88"/>
        <v>1216</v>
      </c>
    </row>
    <row r="238" spans="1:15" ht="17.25" x14ac:dyDescent="0.4">
      <c r="A238" t="s">
        <v>11</v>
      </c>
      <c r="C238">
        <v>1</v>
      </c>
      <c r="D238" s="22">
        <f>D201</f>
        <v>23970</v>
      </c>
      <c r="E238">
        <f>E236</f>
        <v>464</v>
      </c>
      <c r="F238" s="38">
        <f>MAX(E238,_xlfn.CEILING.MATH(ROUNDUP(E238*C238*((1-10%)*(1-2%)*(1-1%)),20)))*D238</f>
        <v>11122080</v>
      </c>
      <c r="G238" s="15">
        <f t="shared" si="88"/>
        <v>464</v>
      </c>
    </row>
    <row r="239" spans="1:15" x14ac:dyDescent="0.25">
      <c r="E239" s="1" t="str">
        <f>A235</f>
        <v>Magpulse Thruster</v>
      </c>
      <c r="F239" s="4">
        <f>SUM(F236:F238)</f>
        <v>13811121.199999999</v>
      </c>
    </row>
    <row r="240" spans="1:15" x14ac:dyDescent="0.25">
      <c r="A240" t="s">
        <v>156</v>
      </c>
    </row>
    <row r="241" spans="1:7" x14ac:dyDescent="0.25">
      <c r="A241" t="s">
        <v>163</v>
      </c>
      <c r="C241">
        <v>22</v>
      </c>
      <c r="D241" s="2">
        <f>D236</f>
        <v>167.9</v>
      </c>
      <c r="E241">
        <f>'Ship Component Reqs'!F80</f>
        <v>924</v>
      </c>
      <c r="F241" s="12">
        <f t="shared" ref="F241:F242" si="89">MAX(E241,_xlfn.CEILING.MATH(ROUNDUP(E241*C241*((1-10%)*(1-2%)*(1-1%)),20)))*D241</f>
        <v>2980392.9</v>
      </c>
      <c r="G241" s="15">
        <f t="shared" ref="G241:G243" si="90">MAX(E241,_xlfn.CEILING.MATH(ROUNDUP(E241*C241*((1-10%)*(1-2%)*(1-1%)),20)))</f>
        <v>17751</v>
      </c>
    </row>
    <row r="242" spans="1:7" x14ac:dyDescent="0.25">
      <c r="A242" t="s">
        <v>14</v>
      </c>
      <c r="C242">
        <v>1</v>
      </c>
      <c r="D242" s="2">
        <f>D217</f>
        <v>3902</v>
      </c>
      <c r="E242">
        <f>E241</f>
        <v>924</v>
      </c>
      <c r="F242" s="12">
        <f t="shared" si="89"/>
        <v>3605448</v>
      </c>
      <c r="G242" s="15">
        <f t="shared" si="90"/>
        <v>924</v>
      </c>
    </row>
    <row r="243" spans="1:7" ht="17.25" x14ac:dyDescent="0.4">
      <c r="A243" t="s">
        <v>15</v>
      </c>
      <c r="C243">
        <v>2</v>
      </c>
      <c r="D243" s="22">
        <f>D206</f>
        <v>6173</v>
      </c>
      <c r="E243">
        <f>E241</f>
        <v>924</v>
      </c>
      <c r="F243" s="38">
        <f>MAX(E243,_xlfn.CEILING.MATH(ROUNDUP(E243*C243*((1-10%)*(1-2%)*(1-1%)),20)))*D243</f>
        <v>9963222</v>
      </c>
      <c r="G243" s="15">
        <f t="shared" si="90"/>
        <v>1614</v>
      </c>
    </row>
    <row r="244" spans="1:7" x14ac:dyDescent="0.25">
      <c r="E244" s="1" t="str">
        <f>A240</f>
        <v>Gravimetric Sensor Cluster</v>
      </c>
      <c r="F244" s="4">
        <f>SUM(F241:F243)*1.03</f>
        <v>17045534.787</v>
      </c>
      <c r="G244" s="15"/>
    </row>
    <row r="245" spans="1:7" x14ac:dyDescent="0.25">
      <c r="A245" t="s">
        <v>157</v>
      </c>
    </row>
    <row r="246" spans="1:7" x14ac:dyDescent="0.25">
      <c r="A246" t="s">
        <v>163</v>
      </c>
      <c r="C246">
        <v>27</v>
      </c>
      <c r="D246" s="2">
        <f>D241</f>
        <v>167.9</v>
      </c>
      <c r="E246">
        <f>'Ship Component Reqs'!F81</f>
        <v>924</v>
      </c>
      <c r="F246" s="12">
        <f t="shared" ref="F246:F248" si="91">MAX(E246,_xlfn.CEILING.MATH(ROUNDUP(E246*C246*((1-10%)*(1-2%)*(1-1%)),20)))*D246</f>
        <v>3657701.5</v>
      </c>
      <c r="G246" s="15">
        <f t="shared" ref="G246:G249" si="92">MAX(E246,_xlfn.CEILING.MATH(ROUNDUP(E246*C246*((1-10%)*(1-2%)*(1-1%)),20)))</f>
        <v>21785</v>
      </c>
    </row>
    <row r="247" spans="1:7" x14ac:dyDescent="0.25">
      <c r="A247" t="s">
        <v>16</v>
      </c>
      <c r="C247">
        <v>11</v>
      </c>
      <c r="D247" s="2">
        <f>D210</f>
        <v>579.4</v>
      </c>
      <c r="E247">
        <f>E246</f>
        <v>924</v>
      </c>
      <c r="F247" s="12">
        <f t="shared" si="91"/>
        <v>5142754.3999999994</v>
      </c>
      <c r="G247" s="15">
        <f t="shared" si="92"/>
        <v>8876</v>
      </c>
    </row>
    <row r="248" spans="1:7" x14ac:dyDescent="0.25">
      <c r="A248" t="s">
        <v>164</v>
      </c>
      <c r="C248">
        <v>1</v>
      </c>
      <c r="D248" s="2">
        <f>D242</f>
        <v>3902</v>
      </c>
      <c r="E248">
        <f>E246</f>
        <v>924</v>
      </c>
      <c r="F248" s="12">
        <f t="shared" si="91"/>
        <v>3605448</v>
      </c>
      <c r="G248" s="15">
        <f t="shared" si="92"/>
        <v>924</v>
      </c>
    </row>
    <row r="249" spans="1:7" ht="17.25" x14ac:dyDescent="0.4">
      <c r="A249" t="s">
        <v>165</v>
      </c>
      <c r="C249">
        <v>2</v>
      </c>
      <c r="D249" s="22">
        <f>D212</f>
        <v>11570</v>
      </c>
      <c r="E249">
        <f>E246</f>
        <v>924</v>
      </c>
      <c r="F249" s="38">
        <f>MAX(E249,_xlfn.CEILING.MATH(ROUNDUP(E249*C249*((1-10%)*(1-2%)*(1-1%)),20)))*D249</f>
        <v>18673980</v>
      </c>
      <c r="G249" s="15">
        <f t="shared" si="92"/>
        <v>1614</v>
      </c>
    </row>
    <row r="250" spans="1:7" x14ac:dyDescent="0.25">
      <c r="E250" s="1" t="str">
        <f>A245</f>
        <v>Scalar Capacitor Unit</v>
      </c>
      <c r="F250" s="4">
        <f>SUM(F246:F249)*1.03</f>
        <v>32012280.416999999</v>
      </c>
    </row>
    <row r="251" spans="1:7" x14ac:dyDescent="0.25">
      <c r="A251" t="s">
        <v>158</v>
      </c>
    </row>
    <row r="252" spans="1:7" x14ac:dyDescent="0.25">
      <c r="A252" t="s">
        <v>163</v>
      </c>
      <c r="C252">
        <v>17</v>
      </c>
      <c r="D252" s="2">
        <f>D246</f>
        <v>167.9</v>
      </c>
      <c r="E252">
        <f>'Ship Component Reqs'!F82</f>
        <v>2768</v>
      </c>
      <c r="F252" s="12">
        <f t="shared" ref="F252:F254" si="93">MAX(E252,_xlfn.CEILING.MATH(ROUNDUP(E252*C252*((1-10%)*(1-2%)*(1-1%)),20)))*D252</f>
        <v>6898843.1000000006</v>
      </c>
      <c r="G252" s="15">
        <f t="shared" ref="G252:G255" si="94">MAX(E252,_xlfn.CEILING.MATH(ROUNDUP(E252*C252*((1-10%)*(1-2%)*(1-1%)),20)))</f>
        <v>41089</v>
      </c>
    </row>
    <row r="253" spans="1:7" x14ac:dyDescent="0.25">
      <c r="A253" t="s">
        <v>165</v>
      </c>
      <c r="C253">
        <v>2</v>
      </c>
      <c r="D253" s="2">
        <f>D249</f>
        <v>11570</v>
      </c>
      <c r="E253">
        <f>E252</f>
        <v>2768</v>
      </c>
      <c r="F253" s="12">
        <f t="shared" si="93"/>
        <v>55929380</v>
      </c>
      <c r="G253" s="15">
        <f t="shared" si="94"/>
        <v>4834</v>
      </c>
    </row>
    <row r="254" spans="1:7" x14ac:dyDescent="0.25">
      <c r="A254" t="s">
        <v>164</v>
      </c>
      <c r="C254">
        <v>2</v>
      </c>
      <c r="D254" s="22">
        <f>D248</f>
        <v>3902</v>
      </c>
      <c r="E254">
        <f>E252</f>
        <v>2768</v>
      </c>
      <c r="F254" s="12">
        <f t="shared" si="93"/>
        <v>18862268</v>
      </c>
      <c r="G254" s="15">
        <f t="shared" si="94"/>
        <v>4834</v>
      </c>
    </row>
    <row r="255" spans="1:7" ht="17.25" x14ac:dyDescent="0.4">
      <c r="A255" t="s">
        <v>10</v>
      </c>
      <c r="C255">
        <v>6</v>
      </c>
      <c r="D255" s="22">
        <f>D237</f>
        <v>1484</v>
      </c>
      <c r="E255">
        <f>E252</f>
        <v>2768</v>
      </c>
      <c r="F255" s="38">
        <f>MAX(E255,_xlfn.CEILING.MATH(ROUNDUP(E255*C255*((1-10%)*(1-2%)*(1-1%)),20)))*D255</f>
        <v>21520968</v>
      </c>
      <c r="G255" s="15">
        <f t="shared" si="94"/>
        <v>14502</v>
      </c>
    </row>
    <row r="256" spans="1:7" x14ac:dyDescent="0.25">
      <c r="E256" s="1" t="str">
        <f>A251</f>
        <v>Quantum Microprocessor</v>
      </c>
      <c r="F256" s="4">
        <f>SUM(F252:F255)*1.03</f>
        <v>106307802.873</v>
      </c>
    </row>
    <row r="257" spans="1:18" x14ac:dyDescent="0.25">
      <c r="A257" t="s">
        <v>159</v>
      </c>
    </row>
    <row r="258" spans="1:18" x14ac:dyDescent="0.25">
      <c r="A258" t="s">
        <v>163</v>
      </c>
      <c r="C258">
        <v>44</v>
      </c>
      <c r="D258" s="2">
        <f>D252</f>
        <v>167.9</v>
      </c>
      <c r="E258">
        <f>'Ship Component Reqs'!F83</f>
        <v>4612</v>
      </c>
      <c r="F258" s="12">
        <f>MAX(E258,_xlfn.CEILING.MATH(ROUNDUP(E258*C258*((1-10%)*(1-2%)*(1-1%)),20)))*D258</f>
        <v>29750704.699999999</v>
      </c>
      <c r="G258" s="15">
        <f>MAX(E258,_xlfn.CEILING.MATH(ROUNDUP(E258*C258*((1-10%)*(1-2%)*(1-1%)),20)))</f>
        <v>177193</v>
      </c>
    </row>
    <row r="259" spans="1:18" ht="17.25" x14ac:dyDescent="0.4">
      <c r="A259" t="s">
        <v>12</v>
      </c>
      <c r="C259">
        <v>11</v>
      </c>
      <c r="D259" s="2">
        <f>D232</f>
        <v>332.4</v>
      </c>
      <c r="E259">
        <f>E258</f>
        <v>4612</v>
      </c>
      <c r="F259" s="38">
        <f>MAX(E259,_xlfn.CEILING.MATH(ROUNDUP(E259*C259*((1-10%)*(1-2%)*(1-1%)),20)))*D259</f>
        <v>14724987.6</v>
      </c>
      <c r="G259" s="15">
        <f t="shared" ref="G259" si="95">MAX(E259,_xlfn.CEILING.MATH(ROUNDUP(E259*C259*((1-10%)*(1-2%)*(1-1%)),20)))</f>
        <v>44299</v>
      </c>
    </row>
    <row r="260" spans="1:18" x14ac:dyDescent="0.25">
      <c r="E260" s="1" t="str">
        <f>A257</f>
        <v>Titanium Diborite Armor Plate</v>
      </c>
      <c r="F260" s="4">
        <f>SUM(F258:F259)*1.03</f>
        <v>45809963.068999998</v>
      </c>
      <c r="G260" s="4"/>
    </row>
    <row r="261" spans="1:18" s="17" customFormat="1" x14ac:dyDescent="0.25">
      <c r="D261" s="30"/>
      <c r="K261" s="18"/>
      <c r="L261" s="18"/>
      <c r="M261" s="18"/>
    </row>
    <row r="262" spans="1:18" x14ac:dyDescent="0.25">
      <c r="A262" t="s">
        <v>412</v>
      </c>
    </row>
    <row r="263" spans="1:18" x14ac:dyDescent="0.25">
      <c r="A263" t="s">
        <v>153</v>
      </c>
      <c r="D263" s="2" t="s">
        <v>21</v>
      </c>
      <c r="E263" t="s">
        <v>19</v>
      </c>
      <c r="J263" t="s">
        <v>25</v>
      </c>
      <c r="K263" s="3" t="s">
        <v>30</v>
      </c>
      <c r="L263" s="3" t="s">
        <v>27</v>
      </c>
      <c r="M263" s="3" t="s">
        <v>35</v>
      </c>
      <c r="N263" t="s">
        <v>26</v>
      </c>
      <c r="O263" s="3" t="s">
        <v>34</v>
      </c>
    </row>
    <row r="264" spans="1:18" x14ac:dyDescent="0.25">
      <c r="A264" t="s">
        <v>163</v>
      </c>
      <c r="C264">
        <v>9</v>
      </c>
      <c r="D264" s="22">
        <f>D227</f>
        <v>167.9</v>
      </c>
      <c r="E264">
        <f>'Ship Component Reqs'!F92</f>
        <v>279</v>
      </c>
      <c r="F264" s="12">
        <f>MAX(E264,_xlfn.CEILING.MATH(ROUNDUP(E264*C264*((1-10%)*(1-2%)*(1-1%)),20)))*D264</f>
        <v>368204.7</v>
      </c>
      <c r="G264" s="15">
        <f>MAX(E264,_xlfn.CEILING.MATH(ROUNDUP(E264*C264*((1-10%)*(1-2%)*(1-1%)),20)))</f>
        <v>2193</v>
      </c>
      <c r="I264" t="s">
        <v>414</v>
      </c>
      <c r="J264" t="str">
        <f>A264</f>
        <v>Titanium Carbide</v>
      </c>
      <c r="K264" s="3">
        <f>G264+G268+G273+G278+G283+G289+G295</f>
        <v>1389856</v>
      </c>
      <c r="L264" s="3">
        <v>1249</v>
      </c>
      <c r="M264" s="6">
        <f>((K264*'Ship Component Reqs'!$D$32)-L264)</f>
        <v>1388607</v>
      </c>
      <c r="N264">
        <f>D264</f>
        <v>167.9</v>
      </c>
      <c r="O264" s="13">
        <f>IF(M264&lt;0,0,M264*N264)</f>
        <v>233147115.30000001</v>
      </c>
      <c r="P264" t="s">
        <v>167</v>
      </c>
      <c r="Q264">
        <v>0.01</v>
      </c>
      <c r="R264" s="4">
        <f>K264*Q264</f>
        <v>13898.56</v>
      </c>
    </row>
    <row r="265" spans="1:18" ht="17.25" x14ac:dyDescent="0.4">
      <c r="A265" t="s">
        <v>162</v>
      </c>
      <c r="C265">
        <v>2</v>
      </c>
      <c r="D265" s="22">
        <f>D228</f>
        <v>49950</v>
      </c>
      <c r="E265">
        <f>E264</f>
        <v>279</v>
      </c>
      <c r="F265" s="38">
        <f>MAX(E265,_xlfn.CEILING.MATH(ROUNDUP(E265*C265*((1-10%)*(1-2%)*(1-1%)),20)))*D265</f>
        <v>24375600</v>
      </c>
      <c r="G265" s="15">
        <f t="shared" ref="G265" si="96">MAX(E265,_xlfn.CEILING.MATH(ROUNDUP(E265*C265*((1-10%)*(1-2%)*(1-1%)),20)))</f>
        <v>488</v>
      </c>
      <c r="J265" t="str">
        <f>A265</f>
        <v>Fermonic Condensates</v>
      </c>
      <c r="K265" s="3">
        <f>+G265</f>
        <v>488</v>
      </c>
      <c r="L265" s="3">
        <v>0</v>
      </c>
      <c r="M265" s="6">
        <f>((K265*'Ship Component Reqs'!$D$32)-L265)</f>
        <v>488</v>
      </c>
      <c r="N265">
        <f>D265</f>
        <v>49950</v>
      </c>
      <c r="O265" s="13">
        <f t="shared" ref="O265:O271" si="97">IF(M265&lt;0,0,M265*N265)</f>
        <v>24375600</v>
      </c>
      <c r="P265" t="s">
        <v>167</v>
      </c>
      <c r="Q265">
        <v>1.3</v>
      </c>
      <c r="R265" s="4">
        <f t="shared" ref="R265:R272" si="98">K265*Q265</f>
        <v>634.4</v>
      </c>
    </row>
    <row r="266" spans="1:18" x14ac:dyDescent="0.25">
      <c r="E266" s="1" t="str">
        <f>A263</f>
        <v>Graviton Reactor Unit</v>
      </c>
      <c r="F266" s="4">
        <f>SUM(F264:F265)*1.03</f>
        <v>25486118.840999998</v>
      </c>
      <c r="J266" t="str">
        <f>A269</f>
        <v>Sylramic Fibers</v>
      </c>
      <c r="K266" s="3">
        <f>+G269+G296</f>
        <v>307132</v>
      </c>
      <c r="L266" s="3">
        <v>0</v>
      </c>
      <c r="M266" s="6">
        <f>((K266*'Ship Component Reqs'!$D$32)-L266)</f>
        <v>307132</v>
      </c>
      <c r="N266" s="4">
        <f>D269</f>
        <v>332.4</v>
      </c>
      <c r="O266" s="13">
        <f t="shared" si="97"/>
        <v>102090676.8</v>
      </c>
      <c r="P266" t="s">
        <v>167</v>
      </c>
      <c r="Q266">
        <v>0.05</v>
      </c>
      <c r="R266" s="4">
        <f t="shared" si="98"/>
        <v>15356.6</v>
      </c>
    </row>
    <row r="267" spans="1:18" x14ac:dyDescent="0.25">
      <c r="A267" t="s">
        <v>154</v>
      </c>
      <c r="I267" t="s">
        <v>414</v>
      </c>
      <c r="J267" t="str">
        <f>A270</f>
        <v>Ferrogel</v>
      </c>
      <c r="K267" s="3">
        <f>G270+G275</f>
        <v>1845</v>
      </c>
      <c r="L267" s="3">
        <v>0</v>
      </c>
      <c r="M267" s="6">
        <f>((K267*'Ship Component Reqs'!$D$32)-L267)</f>
        <v>1845</v>
      </c>
      <c r="N267" s="4">
        <f>D270</f>
        <v>23970</v>
      </c>
      <c r="O267" s="13">
        <f t="shared" si="97"/>
        <v>44224650</v>
      </c>
      <c r="P267" t="s">
        <v>167</v>
      </c>
      <c r="Q267">
        <v>1</v>
      </c>
      <c r="R267" s="4">
        <f t="shared" si="98"/>
        <v>1845</v>
      </c>
    </row>
    <row r="268" spans="1:18" x14ac:dyDescent="0.25">
      <c r="A268" t="s">
        <v>163</v>
      </c>
      <c r="C268">
        <v>22</v>
      </c>
      <c r="D268" s="37">
        <f>D264</f>
        <v>167.9</v>
      </c>
      <c r="E268">
        <f>'Ship Component Reqs'!F93</f>
        <v>1044</v>
      </c>
      <c r="F268" s="12">
        <f>MAX(E268,_xlfn.CEILING.MATH(ROUNDUP(E268*C268*((1-10%)*(1-2%)*(1-1%)),20)))*D268</f>
        <v>3367402.4</v>
      </c>
      <c r="G268" s="15">
        <f t="shared" ref="G268:G270" si="99">MAX(E268,_xlfn.CEILING.MATH(ROUNDUP(E268*C268*((1-10%)*(1-2%)*(1-1%)),20)))</f>
        <v>20056</v>
      </c>
      <c r="J268" t="str">
        <f>A274</f>
        <v>Phenolic Composites</v>
      </c>
      <c r="K268" s="3">
        <f>+G274+G292</f>
        <v>26571</v>
      </c>
      <c r="L268" s="3">
        <v>0</v>
      </c>
      <c r="M268" s="6">
        <f>((K268*'Ship Component Reqs'!$D$32)-L268)</f>
        <v>26571</v>
      </c>
      <c r="N268">
        <f>D274</f>
        <v>1484</v>
      </c>
      <c r="O268" s="13">
        <f t="shared" si="97"/>
        <v>39431364</v>
      </c>
      <c r="P268" t="s">
        <v>167</v>
      </c>
      <c r="Q268">
        <v>0.2</v>
      </c>
      <c r="R268" s="4">
        <f t="shared" si="98"/>
        <v>5314.2000000000007</v>
      </c>
    </row>
    <row r="269" spans="1:18" x14ac:dyDescent="0.25">
      <c r="A269" t="s">
        <v>12</v>
      </c>
      <c r="C269">
        <v>9</v>
      </c>
      <c r="D269" s="37">
        <f>D232</f>
        <v>332.4</v>
      </c>
      <c r="E269">
        <f>E268</f>
        <v>1044</v>
      </c>
      <c r="F269" s="12">
        <f t="shared" ref="F269" si="100">MAX(E269,_xlfn.CEILING.MATH(ROUNDUP(E269*C269*((1-10%)*(1-2%)*(1-1%)),20)))*D269</f>
        <v>2727342</v>
      </c>
      <c r="G269" s="15">
        <f t="shared" si="99"/>
        <v>8205</v>
      </c>
      <c r="J269" t="str">
        <f>A279</f>
        <v>Nano Transistors</v>
      </c>
      <c r="K269" s="3">
        <f>G279+G285+G291</f>
        <v>12316</v>
      </c>
      <c r="L269" s="3">
        <v>0</v>
      </c>
      <c r="M269" s="6">
        <f>((K269*'Ship Component Reqs'!$D$32)-L269)</f>
        <v>12316</v>
      </c>
      <c r="N269" s="4">
        <f>D279</f>
        <v>3902</v>
      </c>
      <c r="O269" s="13">
        <f t="shared" si="97"/>
        <v>48057032</v>
      </c>
      <c r="P269" t="s">
        <v>167</v>
      </c>
      <c r="Q269">
        <v>0.25</v>
      </c>
      <c r="R269" s="4">
        <f t="shared" si="98"/>
        <v>3079</v>
      </c>
    </row>
    <row r="270" spans="1:18" ht="17.25" x14ac:dyDescent="0.4">
      <c r="A270" t="s">
        <v>11</v>
      </c>
      <c r="C270">
        <v>1</v>
      </c>
      <c r="D270" s="22">
        <f>D233</f>
        <v>23970</v>
      </c>
      <c r="E270">
        <f>E268</f>
        <v>1044</v>
      </c>
      <c r="F270" s="38">
        <f>MAX(E270,_xlfn.CEILING.MATH(ROUNDUP(E270*C270*((1-10%)*(1-2%)*(1-1%)),20)))*D270</f>
        <v>25024680</v>
      </c>
      <c r="G270" s="15">
        <f t="shared" si="99"/>
        <v>1044</v>
      </c>
      <c r="J270" t="str">
        <f>A280</f>
        <v>Hypersynaptic Fibers</v>
      </c>
      <c r="K270" s="3">
        <f>G280</f>
        <v>1824</v>
      </c>
      <c r="L270" s="3">
        <v>0</v>
      </c>
      <c r="M270" s="6">
        <f>((K270*'Ship Component Reqs'!$D$32)-L270)</f>
        <v>1824</v>
      </c>
      <c r="N270" s="4">
        <f>D280</f>
        <v>6173</v>
      </c>
      <c r="O270" s="13">
        <f t="shared" si="97"/>
        <v>11259552</v>
      </c>
      <c r="P270" t="s">
        <v>167</v>
      </c>
      <c r="Q270">
        <v>0.6</v>
      </c>
      <c r="R270" s="4">
        <f t="shared" si="98"/>
        <v>1094.3999999999999</v>
      </c>
    </row>
    <row r="271" spans="1:18" x14ac:dyDescent="0.25">
      <c r="E271" s="1" t="str">
        <f>A267</f>
        <v>Sustained Shield Emitter</v>
      </c>
      <c r="F271" s="4">
        <f>SUM(F268:F270)*1.03</f>
        <v>32053007.131999999</v>
      </c>
      <c r="J271" t="str">
        <f>A284</f>
        <v>Fullerides</v>
      </c>
      <c r="K271" s="3">
        <f>G284</f>
        <v>29910</v>
      </c>
      <c r="L271" s="3">
        <v>0</v>
      </c>
      <c r="M271" s="6">
        <f>((K271*'Ship Component Reqs'!$D$32)-L271)</f>
        <v>29910</v>
      </c>
      <c r="N271">
        <f>D284</f>
        <v>579.4</v>
      </c>
      <c r="O271" s="13">
        <f t="shared" si="97"/>
        <v>17329854</v>
      </c>
      <c r="P271" t="s">
        <v>167</v>
      </c>
      <c r="Q271">
        <v>0.15</v>
      </c>
      <c r="R271" s="4">
        <f t="shared" si="98"/>
        <v>4486.5</v>
      </c>
    </row>
    <row r="272" spans="1:18" ht="17.25" x14ac:dyDescent="0.4">
      <c r="A272" t="s">
        <v>155</v>
      </c>
      <c r="J272" t="str">
        <f>A286</f>
        <v>Nonlinear MetaMaterials</v>
      </c>
      <c r="K272" s="3">
        <f>G286+G290</f>
        <v>13597</v>
      </c>
      <c r="L272" s="3">
        <v>0</v>
      </c>
      <c r="M272" s="6">
        <f>((K272*'Ship Component Reqs'!$D$32)-L272)</f>
        <v>13597</v>
      </c>
      <c r="N272">
        <f>D286</f>
        <v>11570</v>
      </c>
      <c r="O272" s="11">
        <f>IF(M272&lt;0,0,M272*N272)</f>
        <v>157317290</v>
      </c>
      <c r="Q272">
        <v>1</v>
      </c>
      <c r="R272" s="4">
        <f t="shared" si="98"/>
        <v>13597</v>
      </c>
    </row>
    <row r="273" spans="1:18" x14ac:dyDescent="0.25">
      <c r="A273" t="s">
        <v>163</v>
      </c>
      <c r="C273">
        <v>13</v>
      </c>
      <c r="D273" s="37">
        <f>D264</f>
        <v>167.9</v>
      </c>
      <c r="E273">
        <f>'Ship Component Reqs'!F94</f>
        <v>801</v>
      </c>
      <c r="F273" s="12">
        <f t="shared" ref="F273:F274" si="101">MAX(E273,_xlfn.CEILING.MATH(ROUNDUP(E273*C273*((1-10%)*(1-2%)*(1-1%)),20)))*D273</f>
        <v>1526714.7</v>
      </c>
      <c r="G273" s="15">
        <f t="shared" ref="G273:G275" si="102">MAX(E273,_xlfn.CEILING.MATH(ROUNDUP(E273*C273*((1-10%)*(1-2%)*(1-1%)),20)))</f>
        <v>9093</v>
      </c>
      <c r="K273" s="10"/>
      <c r="O273" s="4">
        <f>SUM(O264:O272)</f>
        <v>677233134.10000002</v>
      </c>
      <c r="R273" s="4">
        <f>SUM(R264:R272)</f>
        <v>59305.659999999996</v>
      </c>
    </row>
    <row r="274" spans="1:18" x14ac:dyDescent="0.25">
      <c r="A274" t="s">
        <v>10</v>
      </c>
      <c r="C274">
        <v>3</v>
      </c>
      <c r="D274" s="22">
        <f>D237</f>
        <v>1484</v>
      </c>
      <c r="E274">
        <f>E273</f>
        <v>801</v>
      </c>
      <c r="F274" s="12">
        <f t="shared" si="101"/>
        <v>3114916</v>
      </c>
      <c r="G274" s="15">
        <f t="shared" si="102"/>
        <v>2099</v>
      </c>
    </row>
    <row r="275" spans="1:18" ht="17.25" x14ac:dyDescent="0.4">
      <c r="A275" t="s">
        <v>11</v>
      </c>
      <c r="C275">
        <v>1</v>
      </c>
      <c r="D275" s="22">
        <f>D238</f>
        <v>23970</v>
      </c>
      <c r="E275">
        <f>E273</f>
        <v>801</v>
      </c>
      <c r="F275" s="38">
        <f>MAX(E275,_xlfn.CEILING.MATH(ROUNDUP(E275*C275*((1-10%)*(1-2%)*(1-1%)),20)))*D275</f>
        <v>19199970</v>
      </c>
      <c r="G275" s="15">
        <f t="shared" si="102"/>
        <v>801</v>
      </c>
    </row>
    <row r="276" spans="1:18" x14ac:dyDescent="0.25">
      <c r="E276" s="1" t="str">
        <f>A272</f>
        <v>Magpulse Thruster</v>
      </c>
      <c r="F276" s="4">
        <f>SUM(F273:F275)</f>
        <v>23841600.699999999</v>
      </c>
    </row>
    <row r="277" spans="1:18" x14ac:dyDescent="0.25">
      <c r="A277" t="s">
        <v>156</v>
      </c>
    </row>
    <row r="278" spans="1:18" x14ac:dyDescent="0.25">
      <c r="A278" t="s">
        <v>163</v>
      </c>
      <c r="C278">
        <v>22</v>
      </c>
      <c r="D278" s="2">
        <f>D273</f>
        <v>167.9</v>
      </c>
      <c r="E278">
        <f>'Ship Component Reqs'!F95</f>
        <v>1044</v>
      </c>
      <c r="F278" s="12">
        <f>MAX(E278,_xlfn.CEILING.MATH(ROUNDUP(E278*C278*((1-10%)*(1-2%)*(1-1%)),20)))*D278</f>
        <v>3367402.4</v>
      </c>
      <c r="G278" s="15">
        <f t="shared" ref="G278:G280" si="103">MAX(E278,_xlfn.CEILING.MATH(ROUNDUP(E278*C278*((1-10%)*(1-2%)*(1-1%)),20)))</f>
        <v>20056</v>
      </c>
    </row>
    <row r="279" spans="1:18" x14ac:dyDescent="0.25">
      <c r="A279" t="s">
        <v>14</v>
      </c>
      <c r="C279">
        <v>1</v>
      </c>
      <c r="D279" s="2">
        <f>D254</f>
        <v>3902</v>
      </c>
      <c r="E279">
        <f>E278</f>
        <v>1044</v>
      </c>
      <c r="F279" s="12">
        <f t="shared" ref="F279" si="104">MAX(E279,_xlfn.CEILING.MATH(ROUNDUP(E279*C279*((1-10%)*(1-2%)*(1-1%)),20)))*D279</f>
        <v>4073688</v>
      </c>
      <c r="G279" s="15">
        <f t="shared" si="103"/>
        <v>1044</v>
      </c>
    </row>
    <row r="280" spans="1:18" ht="17.25" x14ac:dyDescent="0.4">
      <c r="A280" t="s">
        <v>15</v>
      </c>
      <c r="C280">
        <v>2</v>
      </c>
      <c r="D280" s="22">
        <f>D243</f>
        <v>6173</v>
      </c>
      <c r="E280">
        <f>E278</f>
        <v>1044</v>
      </c>
      <c r="F280" s="38">
        <f>MAX(E280,_xlfn.CEILING.MATH(ROUNDUP(E280*C280*((1-10%)*(1-2%)*(1-1%)),20)))*D280</f>
        <v>11259552</v>
      </c>
      <c r="G280" s="15">
        <f t="shared" si="103"/>
        <v>1824</v>
      </c>
    </row>
    <row r="281" spans="1:18" x14ac:dyDescent="0.25">
      <c r="E281" s="1" t="str">
        <f>A277</f>
        <v>Gravimetric Sensor Cluster</v>
      </c>
      <c r="F281" s="4">
        <f>SUM(F278:F280)*1.03</f>
        <v>19261661.671999998</v>
      </c>
      <c r="G281" s="15"/>
    </row>
    <row r="282" spans="1:18" x14ac:dyDescent="0.25">
      <c r="A282" t="s">
        <v>157</v>
      </c>
    </row>
    <row r="283" spans="1:18" x14ac:dyDescent="0.25">
      <c r="A283" t="s">
        <v>163</v>
      </c>
      <c r="C283">
        <v>27</v>
      </c>
      <c r="D283" s="2">
        <f>D278</f>
        <v>167.9</v>
      </c>
      <c r="E283">
        <f>'Ship Component Reqs'!F96</f>
        <v>3114</v>
      </c>
      <c r="F283" s="12">
        <f t="shared" ref="F283:F285" si="105">MAX(E283,_xlfn.CEILING.MATH(ROUNDUP(E283*C283*((1-10%)*(1-2%)*(1-1%)),20)))*D283</f>
        <v>12326546.4</v>
      </c>
      <c r="G283" s="15">
        <f t="shared" ref="G283:G286" si="106">MAX(E283,_xlfn.CEILING.MATH(ROUNDUP(E283*C283*((1-10%)*(1-2%)*(1-1%)),20)))</f>
        <v>73416</v>
      </c>
    </row>
    <row r="284" spans="1:18" x14ac:dyDescent="0.25">
      <c r="A284" t="s">
        <v>16</v>
      </c>
      <c r="C284">
        <v>11</v>
      </c>
      <c r="D284" s="2">
        <f>D247</f>
        <v>579.4</v>
      </c>
      <c r="E284">
        <f>E283</f>
        <v>3114</v>
      </c>
      <c r="F284" s="12">
        <f t="shared" si="105"/>
        <v>17329854</v>
      </c>
      <c r="G284" s="15">
        <f t="shared" si="106"/>
        <v>29910</v>
      </c>
    </row>
    <row r="285" spans="1:18" x14ac:dyDescent="0.25">
      <c r="A285" t="s">
        <v>164</v>
      </c>
      <c r="C285">
        <v>1</v>
      </c>
      <c r="D285" s="2">
        <f>D279</f>
        <v>3902</v>
      </c>
      <c r="E285">
        <f>E283</f>
        <v>3114</v>
      </c>
      <c r="F285" s="12">
        <f t="shared" si="105"/>
        <v>12150828</v>
      </c>
      <c r="G285" s="15">
        <f t="shared" si="106"/>
        <v>3114</v>
      </c>
    </row>
    <row r="286" spans="1:18" ht="17.25" x14ac:dyDescent="0.4">
      <c r="A286" t="s">
        <v>165</v>
      </c>
      <c r="C286">
        <v>2</v>
      </c>
      <c r="D286" s="22">
        <f>D249</f>
        <v>11570</v>
      </c>
      <c r="E286">
        <f>E283</f>
        <v>3114</v>
      </c>
      <c r="F286" s="38">
        <f>MAX(E286,_xlfn.CEILING.MATH(ROUNDUP(E286*C286*((1-10%)*(1-2%)*(1-1%)),20)))*D286</f>
        <v>62929230</v>
      </c>
      <c r="G286" s="15">
        <f t="shared" si="106"/>
        <v>5439</v>
      </c>
    </row>
    <row r="287" spans="1:18" x14ac:dyDescent="0.25">
      <c r="E287" s="1" t="str">
        <f>A282</f>
        <v>Scalar Capacitor Unit</v>
      </c>
      <c r="F287" s="4">
        <f>SUM(F283:F286)*1.03</f>
        <v>107878552.15200001</v>
      </c>
    </row>
    <row r="288" spans="1:18" x14ac:dyDescent="0.25">
      <c r="A288" t="s">
        <v>158</v>
      </c>
    </row>
    <row r="289" spans="1:16" x14ac:dyDescent="0.25">
      <c r="A289" t="s">
        <v>163</v>
      </c>
      <c r="C289">
        <v>17</v>
      </c>
      <c r="D289" s="2">
        <f>D283</f>
        <v>167.9</v>
      </c>
      <c r="E289">
        <f>'Ship Component Reqs'!F97</f>
        <v>4671</v>
      </c>
      <c r="F289" s="12">
        <f t="shared" ref="F289:F291" si="107">MAX(E289,_xlfn.CEILING.MATH(ROUNDUP(E289*C289*((1-10%)*(1-2%)*(1-1%)),20)))*D289</f>
        <v>11641682.300000001</v>
      </c>
      <c r="G289" s="15">
        <f t="shared" ref="G289:G292" si="108">MAX(E289,_xlfn.CEILING.MATH(ROUNDUP(E289*C289*((1-10%)*(1-2%)*(1-1%)),20)))</f>
        <v>69337</v>
      </c>
    </row>
    <row r="290" spans="1:16" x14ac:dyDescent="0.25">
      <c r="A290" t="s">
        <v>165</v>
      </c>
      <c r="C290">
        <v>2</v>
      </c>
      <c r="D290" s="2">
        <f>D286</f>
        <v>11570</v>
      </c>
      <c r="E290">
        <f>E289</f>
        <v>4671</v>
      </c>
      <c r="F290" s="12">
        <f t="shared" si="107"/>
        <v>94388060</v>
      </c>
      <c r="G290" s="15">
        <f t="shared" si="108"/>
        <v>8158</v>
      </c>
    </row>
    <row r="291" spans="1:16" x14ac:dyDescent="0.25">
      <c r="A291" t="s">
        <v>164</v>
      </c>
      <c r="C291">
        <v>2</v>
      </c>
      <c r="D291" s="22">
        <f>D254</f>
        <v>3902</v>
      </c>
      <c r="E291">
        <f>E289</f>
        <v>4671</v>
      </c>
      <c r="F291" s="12">
        <f t="shared" si="107"/>
        <v>31832516</v>
      </c>
      <c r="G291" s="15">
        <f t="shared" si="108"/>
        <v>8158</v>
      </c>
    </row>
    <row r="292" spans="1:16" ht="17.25" x14ac:dyDescent="0.4">
      <c r="A292" t="s">
        <v>10</v>
      </c>
      <c r="C292">
        <v>6</v>
      </c>
      <c r="D292" s="22">
        <f>D255</f>
        <v>1484</v>
      </c>
      <c r="E292">
        <f>E289</f>
        <v>4671</v>
      </c>
      <c r="F292" s="38">
        <f>MAX(E292,_xlfn.CEILING.MATH(ROUNDUP(E292*C292*((1-10%)*(1-2%)*(1-1%)),20)))*D292</f>
        <v>36316448</v>
      </c>
      <c r="G292" s="15">
        <f t="shared" si="108"/>
        <v>24472</v>
      </c>
    </row>
    <row r="293" spans="1:16" x14ac:dyDescent="0.25">
      <c r="E293" s="1" t="str">
        <f>A288</f>
        <v>Quantum Microprocessor</v>
      </c>
      <c r="F293" s="4">
        <f>SUM(F289:F292)*1.03</f>
        <v>179404067.48900002</v>
      </c>
    </row>
    <row r="294" spans="1:16" x14ac:dyDescent="0.25">
      <c r="A294" t="s">
        <v>159</v>
      </c>
    </row>
    <row r="295" spans="1:16" x14ac:dyDescent="0.25">
      <c r="A295" t="s">
        <v>163</v>
      </c>
      <c r="C295">
        <v>44</v>
      </c>
      <c r="D295" s="2">
        <f>D289</f>
        <v>167.9</v>
      </c>
      <c r="E295">
        <f>'Ship Component Reqs'!F98</f>
        <v>31122</v>
      </c>
      <c r="F295" s="12">
        <f>MAX(E295,_xlfn.CEILING.MATH(ROUNDUP(E295*C295*((1-10%)*(1-2%)*(1-1%)),20)))*D295</f>
        <v>200758869.5</v>
      </c>
      <c r="G295" s="15">
        <f>MAX(E295,_xlfn.CEILING.MATH(ROUNDUP(E295*C295*((1-10%)*(1-2%)*(1-1%)),20)))</f>
        <v>1195705</v>
      </c>
    </row>
    <row r="296" spans="1:16" ht="17.25" x14ac:dyDescent="0.4">
      <c r="A296" t="s">
        <v>12</v>
      </c>
      <c r="C296">
        <v>11</v>
      </c>
      <c r="D296" s="2">
        <f>D269</f>
        <v>332.4</v>
      </c>
      <c r="E296">
        <f>E295</f>
        <v>31122</v>
      </c>
      <c r="F296" s="38">
        <f>MAX(E296,_xlfn.CEILING.MATH(ROUNDUP(E296*C296*((1-10%)*(1-2%)*(1-1%)),20)))*D296</f>
        <v>99363334.799999997</v>
      </c>
      <c r="G296" s="15">
        <f t="shared" ref="G296" si="109">MAX(E296,_xlfn.CEILING.MATH(ROUNDUP(E296*C296*((1-10%)*(1-2%)*(1-1%)),20)))</f>
        <v>298927</v>
      </c>
    </row>
    <row r="297" spans="1:16" x14ac:dyDescent="0.25">
      <c r="E297" s="1" t="str">
        <f>A294</f>
        <v>Titanium Diborite Armor Plate</v>
      </c>
      <c r="F297" s="4">
        <f>SUM(F295:F296)*1.03</f>
        <v>309125870.42900002</v>
      </c>
      <c r="G297" s="4"/>
    </row>
    <row r="298" spans="1:16" x14ac:dyDescent="0.25">
      <c r="E298" s="1"/>
      <c r="F298" s="4"/>
    </row>
    <row r="299" spans="1:16" s="17" customFormat="1" x14ac:dyDescent="0.25">
      <c r="D299" s="30"/>
      <c r="E299" s="55"/>
      <c r="F299" s="54"/>
      <c r="K299" s="18"/>
      <c r="L299" s="18"/>
      <c r="M299" s="18"/>
    </row>
    <row r="300" spans="1:16" x14ac:dyDescent="0.25">
      <c r="A300" t="s">
        <v>280</v>
      </c>
    </row>
    <row r="301" spans="1:16" x14ac:dyDescent="0.25">
      <c r="A301" t="s">
        <v>153</v>
      </c>
      <c r="D301" s="2" t="s">
        <v>21</v>
      </c>
      <c r="E301" t="s">
        <v>19</v>
      </c>
      <c r="J301" t="s">
        <v>25</v>
      </c>
      <c r="K301" s="3" t="s">
        <v>30</v>
      </c>
      <c r="L301" s="3" t="s">
        <v>27</v>
      </c>
      <c r="M301" s="3" t="s">
        <v>35</v>
      </c>
      <c r="N301" t="s">
        <v>26</v>
      </c>
      <c r="O301" s="3" t="s">
        <v>34</v>
      </c>
    </row>
    <row r="302" spans="1:16" x14ac:dyDescent="0.25">
      <c r="A302" t="s">
        <v>163</v>
      </c>
      <c r="C302">
        <v>9</v>
      </c>
      <c r="D302" s="22">
        <f>D227</f>
        <v>167.9</v>
      </c>
      <c r="E302">
        <f>IF('Ship Component Reqs'!F107&lt;0,0,'Ship Component Reqs'!F107)</f>
        <v>44</v>
      </c>
      <c r="F302" s="12">
        <f>MAX(E302,_xlfn.CEILING.MATH(ROUNDUP(E302*C302*((1-10%)*(1-2%)*(1-1%)),20)))*D302</f>
        <v>58093.4</v>
      </c>
      <c r="G302" s="15">
        <f>MAX(E302,_xlfn.CEILING.MATH(ROUNDUP(E302*C302*((1-10%)*(1-2%)*(1-1%)),20)))</f>
        <v>346</v>
      </c>
      <c r="J302" t="str">
        <f>A302</f>
        <v>Titanium Carbide</v>
      </c>
      <c r="K302" s="3">
        <f>G302+G306+G311+G316+G321+G327+G333</f>
        <v>200262</v>
      </c>
      <c r="M302" s="6">
        <f>((K302*'Ship Component Reqs'!$D$32)-L302)</f>
        <v>200262</v>
      </c>
      <c r="N302">
        <f>D302</f>
        <v>167.9</v>
      </c>
      <c r="O302" s="13">
        <f>IF(M302&lt;0,0,M302*N302)</f>
        <v>33623989.800000004</v>
      </c>
      <c r="P302" t="s">
        <v>167</v>
      </c>
    </row>
    <row r="303" spans="1:16" ht="17.25" x14ac:dyDescent="0.4">
      <c r="A303" t="s">
        <v>162</v>
      </c>
      <c r="C303">
        <v>2</v>
      </c>
      <c r="D303" s="22">
        <f>D228</f>
        <v>49950</v>
      </c>
      <c r="E303">
        <f>E302</f>
        <v>44</v>
      </c>
      <c r="F303" s="38">
        <f>MAX(E303,_xlfn.CEILING.MATH(ROUNDUP(E303*C303*((1-10%)*(1-2%)*(1-1%)),20)))*D303</f>
        <v>3846150</v>
      </c>
      <c r="G303" s="15">
        <f t="shared" ref="G303" si="110">MAX(E303,_xlfn.CEILING.MATH(ROUNDUP(E303*C303*((1-10%)*(1-2%)*(1-1%)),20)))</f>
        <v>77</v>
      </c>
      <c r="J303" t="str">
        <f>A303</f>
        <v>Fermonic Condensates</v>
      </c>
      <c r="K303" s="3">
        <f>+G303</f>
        <v>77</v>
      </c>
      <c r="L303" s="3">
        <v>0</v>
      </c>
      <c r="M303" s="6">
        <f>((K303*'Ship Component Reqs'!$D$32)-L303)</f>
        <v>77</v>
      </c>
      <c r="N303">
        <f>D303</f>
        <v>49950</v>
      </c>
      <c r="O303" s="13">
        <f t="shared" ref="O303:O309" si="111">IF(M303&lt;0,0,M303*N303)</f>
        <v>3846150</v>
      </c>
      <c r="P303" t="s">
        <v>167</v>
      </c>
    </row>
    <row r="304" spans="1:16" x14ac:dyDescent="0.25">
      <c r="E304" s="1" t="str">
        <f>A301</f>
        <v>Graviton Reactor Unit</v>
      </c>
      <c r="F304" s="4">
        <f>SUM(F302:F303)*1.03</f>
        <v>4021370.702</v>
      </c>
      <c r="J304" t="str">
        <f>A307</f>
        <v>Sylramic Fibers</v>
      </c>
      <c r="K304" s="3">
        <f>+G307+G334</f>
        <v>42378</v>
      </c>
      <c r="L304" s="3">
        <v>0</v>
      </c>
      <c r="M304" s="6">
        <f>((K304*'Ship Component Reqs'!$D$32)-L304)</f>
        <v>42378</v>
      </c>
      <c r="N304" s="4">
        <f>D307</f>
        <v>332.4</v>
      </c>
      <c r="O304" s="13">
        <f t="shared" si="111"/>
        <v>14086447.199999999</v>
      </c>
      <c r="P304" t="s">
        <v>167</v>
      </c>
    </row>
    <row r="305" spans="1:16" x14ac:dyDescent="0.25">
      <c r="A305" t="s">
        <v>154</v>
      </c>
      <c r="J305" t="str">
        <f>A308</f>
        <v>Ferrogel</v>
      </c>
      <c r="K305" s="3">
        <f>G308+G313</f>
        <v>283</v>
      </c>
      <c r="L305" s="3">
        <v>0</v>
      </c>
      <c r="M305" s="6">
        <f>((K305*'Ship Component Reqs'!$D$32)-L305)</f>
        <v>283</v>
      </c>
      <c r="N305" s="4">
        <f>D308</f>
        <v>23970</v>
      </c>
      <c r="O305" s="13">
        <f t="shared" si="111"/>
        <v>6783510</v>
      </c>
      <c r="P305" t="s">
        <v>167</v>
      </c>
    </row>
    <row r="306" spans="1:16" x14ac:dyDescent="0.25">
      <c r="A306" t="s">
        <v>163</v>
      </c>
      <c r="C306">
        <v>22</v>
      </c>
      <c r="D306" s="37">
        <f>D302</f>
        <v>167.9</v>
      </c>
      <c r="E306">
        <f>IF('Ship Component Reqs'!F108&lt;0,0,'Ship Component Reqs'!F108)</f>
        <v>110</v>
      </c>
      <c r="F306" s="12">
        <f t="shared" ref="F306:F307" si="112">MAX(E306,_xlfn.CEILING.MATH(ROUNDUP(E306*C306*((1-10%)*(1-2%)*(1-1%)),20)))*D306</f>
        <v>354940.60000000003</v>
      </c>
      <c r="G306" s="15">
        <f t="shared" ref="G306:G308" si="113">MAX(E306,_xlfn.CEILING.MATH(ROUNDUP(E306*C306*((1-10%)*(1-2%)*(1-1%)),20)))</f>
        <v>2114</v>
      </c>
      <c r="J306" t="str">
        <f>A312</f>
        <v>Phenolic Composites</v>
      </c>
      <c r="K306" s="3">
        <f>+G312+G330</f>
        <v>5893</v>
      </c>
      <c r="L306" s="3">
        <v>0</v>
      </c>
      <c r="M306" s="6">
        <f>((K306*'Ship Component Reqs'!$D$32)-L306)</f>
        <v>5893</v>
      </c>
      <c r="N306">
        <f>D312</f>
        <v>1484</v>
      </c>
      <c r="O306" s="13">
        <f t="shared" si="111"/>
        <v>8745212</v>
      </c>
      <c r="P306" t="s">
        <v>167</v>
      </c>
    </row>
    <row r="307" spans="1:16" x14ac:dyDescent="0.25">
      <c r="A307" t="s">
        <v>12</v>
      </c>
      <c r="C307">
        <v>9</v>
      </c>
      <c r="D307" s="37">
        <f>D232</f>
        <v>332.4</v>
      </c>
      <c r="E307">
        <f>E306</f>
        <v>110</v>
      </c>
      <c r="F307" s="12">
        <f t="shared" si="112"/>
        <v>287526</v>
      </c>
      <c r="G307" s="15">
        <f t="shared" si="113"/>
        <v>865</v>
      </c>
      <c r="J307" t="str">
        <f>A317</f>
        <v>Nano Transistors</v>
      </c>
      <c r="K307" s="3">
        <f>G317+G323+G329</f>
        <v>2463</v>
      </c>
      <c r="L307" s="3">
        <v>0</v>
      </c>
      <c r="M307" s="6">
        <f>((K307*'Ship Component Reqs'!$D$32)-L307)</f>
        <v>2463</v>
      </c>
      <c r="N307" s="4">
        <f>D317</f>
        <v>3902</v>
      </c>
      <c r="O307" s="13">
        <f t="shared" si="111"/>
        <v>9610626</v>
      </c>
      <c r="P307" t="s">
        <v>167</v>
      </c>
    </row>
    <row r="308" spans="1:16" ht="17.25" x14ac:dyDescent="0.4">
      <c r="A308" t="s">
        <v>11</v>
      </c>
      <c r="C308">
        <v>1</v>
      </c>
      <c r="D308" s="22">
        <f>D233</f>
        <v>23970</v>
      </c>
      <c r="E308">
        <f>E306</f>
        <v>110</v>
      </c>
      <c r="F308" s="38">
        <f>MAX(E308,_xlfn.CEILING.MATH(ROUNDUP(E308*C308*((1-10%)*(1-2%)*(1-1%)),20)))*D308</f>
        <v>2636700</v>
      </c>
      <c r="G308" s="15">
        <f t="shared" si="113"/>
        <v>110</v>
      </c>
      <c r="J308" t="str">
        <f>A318</f>
        <v>Hypersynaptic Fibers</v>
      </c>
      <c r="K308" s="3">
        <f>G318</f>
        <v>379</v>
      </c>
      <c r="L308" s="3">
        <v>0</v>
      </c>
      <c r="M308" s="6">
        <f>((K308*'Ship Component Reqs'!$D$32)-L308)</f>
        <v>379</v>
      </c>
      <c r="N308" s="4">
        <f>D318</f>
        <v>6173</v>
      </c>
      <c r="O308" s="13">
        <f t="shared" si="111"/>
        <v>2339567</v>
      </c>
      <c r="P308" t="s">
        <v>167</v>
      </c>
    </row>
    <row r="309" spans="1:16" x14ac:dyDescent="0.25">
      <c r="E309" s="1" t="str">
        <f>A305</f>
        <v>Sustained Shield Emitter</v>
      </c>
      <c r="F309" s="4">
        <f>SUM(F306:F308)*1.03</f>
        <v>3377541.5980000002</v>
      </c>
      <c r="J309" t="str">
        <f>A322</f>
        <v>Fullerides</v>
      </c>
      <c r="K309" s="3">
        <f>G322</f>
        <v>4159</v>
      </c>
      <c r="L309" s="3">
        <v>0</v>
      </c>
      <c r="M309" s="6">
        <f>((K309*'Ship Component Reqs'!$D$32)-L309)</f>
        <v>4159</v>
      </c>
      <c r="N309">
        <f>D322</f>
        <v>579.4</v>
      </c>
      <c r="O309" s="13">
        <f t="shared" si="111"/>
        <v>2409724.6</v>
      </c>
      <c r="P309" t="s">
        <v>167</v>
      </c>
    </row>
    <row r="310" spans="1:16" ht="17.25" x14ac:dyDescent="0.4">
      <c r="A310" t="s">
        <v>155</v>
      </c>
      <c r="J310" t="str">
        <f>A324</f>
        <v>Nonlinear MetaMaterials</v>
      </c>
      <c r="K310" s="3">
        <f>G324+G328</f>
        <v>2570</v>
      </c>
      <c r="L310" s="3">
        <v>0</v>
      </c>
      <c r="M310" s="6">
        <f>((K310*'Ship Component Reqs'!$D$32)-L310)</f>
        <v>2570</v>
      </c>
      <c r="N310">
        <f>D324</f>
        <v>11570</v>
      </c>
      <c r="O310" s="11">
        <f>IF(M310&lt;0,0,M310*N310)</f>
        <v>29734900</v>
      </c>
    </row>
    <row r="311" spans="1:16" x14ac:dyDescent="0.25">
      <c r="A311" t="s">
        <v>163</v>
      </c>
      <c r="C311">
        <v>13</v>
      </c>
      <c r="D311" s="37">
        <f>D302</f>
        <v>167.9</v>
      </c>
      <c r="E311">
        <f>IF('Ship Component Reqs'!F109&lt;0,0,'Ship Component Reqs'!F109)</f>
        <v>173</v>
      </c>
      <c r="F311" s="12">
        <f t="shared" ref="F311:F312" si="114">MAX(E311,_xlfn.CEILING.MATH(ROUNDUP(E311*C311*((1-10%)*(1-2%)*(1-1%)),20)))*D311</f>
        <v>329755.60000000003</v>
      </c>
      <c r="G311" s="15">
        <f t="shared" ref="G311:G313" si="115">MAX(E311,_xlfn.CEILING.MATH(ROUNDUP(E311*C311*((1-10%)*(1-2%)*(1-1%)),20)))</f>
        <v>1964</v>
      </c>
      <c r="K311" s="10"/>
      <c r="O311" s="4">
        <f>SUM(O302:O310)</f>
        <v>111180126.59999999</v>
      </c>
    </row>
    <row r="312" spans="1:16" x14ac:dyDescent="0.25">
      <c r="A312" t="s">
        <v>10</v>
      </c>
      <c r="C312">
        <v>3</v>
      </c>
      <c r="D312" s="22">
        <f>D237</f>
        <v>1484</v>
      </c>
      <c r="E312">
        <f>E311</f>
        <v>173</v>
      </c>
      <c r="F312" s="12">
        <f t="shared" si="114"/>
        <v>673736</v>
      </c>
      <c r="G312" s="15">
        <f t="shared" si="115"/>
        <v>454</v>
      </c>
    </row>
    <row r="313" spans="1:16" ht="17.25" x14ac:dyDescent="0.4">
      <c r="A313" t="s">
        <v>11</v>
      </c>
      <c r="C313">
        <v>1</v>
      </c>
      <c r="D313" s="22">
        <f>D238</f>
        <v>23970</v>
      </c>
      <c r="E313">
        <f>E311</f>
        <v>173</v>
      </c>
      <c r="F313" s="38">
        <f>MAX(E313,_xlfn.CEILING.MATH(ROUNDUP(E313*C313*((1-10%)*(1-2%)*(1-1%)),20)))*D313</f>
        <v>4146810</v>
      </c>
      <c r="G313" s="15">
        <f t="shared" si="115"/>
        <v>173</v>
      </c>
    </row>
    <row r="314" spans="1:16" x14ac:dyDescent="0.25">
      <c r="E314" s="1" t="str">
        <f>A310</f>
        <v>Magpulse Thruster</v>
      </c>
      <c r="F314" s="4">
        <f>SUM(F311:F313)</f>
        <v>5150301.5999999996</v>
      </c>
    </row>
    <row r="315" spans="1:16" x14ac:dyDescent="0.25">
      <c r="A315" t="s">
        <v>156</v>
      </c>
    </row>
    <row r="316" spans="1:16" x14ac:dyDescent="0.25">
      <c r="A316" t="s">
        <v>163</v>
      </c>
      <c r="C316">
        <v>22</v>
      </c>
      <c r="D316" s="2">
        <f>D311</f>
        <v>167.9</v>
      </c>
      <c r="E316">
        <f>IF('Ship Component Reqs'!F110&lt;0,0,'Ship Component Reqs'!F110)</f>
        <v>217</v>
      </c>
      <c r="F316" s="12">
        <f t="shared" ref="F316:F317" si="116">MAX(E316,_xlfn.CEILING.MATH(ROUNDUP(E316*C316*((1-10%)*(1-2%)*(1-1%)),20)))*D316</f>
        <v>699975.1</v>
      </c>
      <c r="G316" s="15">
        <f t="shared" ref="G316:G318" si="117">MAX(E316,_xlfn.CEILING.MATH(ROUNDUP(E316*C316*((1-10%)*(1-2%)*(1-1%)),20)))</f>
        <v>4169</v>
      </c>
    </row>
    <row r="317" spans="1:16" x14ac:dyDescent="0.25">
      <c r="A317" t="s">
        <v>14</v>
      </c>
      <c r="C317">
        <v>1</v>
      </c>
      <c r="D317" s="2">
        <f>D254</f>
        <v>3902</v>
      </c>
      <c r="E317">
        <f>E316</f>
        <v>217</v>
      </c>
      <c r="F317" s="12">
        <f t="shared" si="116"/>
        <v>846734</v>
      </c>
      <c r="G317" s="15">
        <f t="shared" si="117"/>
        <v>217</v>
      </c>
    </row>
    <row r="318" spans="1:16" ht="17.25" x14ac:dyDescent="0.4">
      <c r="A318" t="s">
        <v>15</v>
      </c>
      <c r="C318">
        <v>2</v>
      </c>
      <c r="D318" s="22">
        <f>D243</f>
        <v>6173</v>
      </c>
      <c r="E318">
        <f>E316</f>
        <v>217</v>
      </c>
      <c r="F318" s="38">
        <f>MAX(E318,_xlfn.CEILING.MATH(ROUNDUP(E318*C318*((1-10%)*(1-2%)*(1-1%)),20)))*D318</f>
        <v>2339567</v>
      </c>
      <c r="G318" s="15">
        <f t="shared" si="117"/>
        <v>379</v>
      </c>
    </row>
    <row r="319" spans="1:16" x14ac:dyDescent="0.25">
      <c r="E319" s="1" t="str">
        <f>A315</f>
        <v>Gravimetric Sensor Cluster</v>
      </c>
      <c r="F319" s="4">
        <f>SUM(F316:F318)*1.03</f>
        <v>4002864.3830000004</v>
      </c>
      <c r="G319" s="15"/>
    </row>
    <row r="320" spans="1:16" x14ac:dyDescent="0.25">
      <c r="A320" t="s">
        <v>157</v>
      </c>
    </row>
    <row r="321" spans="1:13" x14ac:dyDescent="0.25">
      <c r="A321" t="s">
        <v>163</v>
      </c>
      <c r="C321">
        <v>27</v>
      </c>
      <c r="D321" s="2">
        <f>D316</f>
        <v>167.9</v>
      </c>
      <c r="E321">
        <f>IF('Ship Component Reqs'!F111&lt;0,0,'Ship Component Reqs'!F111)</f>
        <v>433</v>
      </c>
      <c r="F321" s="12">
        <f t="shared" ref="F321:F323" si="118">MAX(E321,_xlfn.CEILING.MATH(ROUNDUP(E321*C321*((1-10%)*(1-2%)*(1-1%)),20)))*D321</f>
        <v>1714091.1</v>
      </c>
      <c r="G321" s="15">
        <f t="shared" ref="G321:G324" si="119">MAX(E321,_xlfn.CEILING.MATH(ROUNDUP(E321*C321*((1-10%)*(1-2%)*(1-1%)),20)))</f>
        <v>10209</v>
      </c>
    </row>
    <row r="322" spans="1:13" x14ac:dyDescent="0.25">
      <c r="A322" t="s">
        <v>16</v>
      </c>
      <c r="C322">
        <v>11</v>
      </c>
      <c r="D322" s="2">
        <f>D247</f>
        <v>579.4</v>
      </c>
      <c r="E322">
        <f>E321</f>
        <v>433</v>
      </c>
      <c r="F322" s="12">
        <f t="shared" si="118"/>
        <v>2409724.6</v>
      </c>
      <c r="G322" s="15">
        <f t="shared" si="119"/>
        <v>4159</v>
      </c>
    </row>
    <row r="323" spans="1:13" x14ac:dyDescent="0.25">
      <c r="A323" t="s">
        <v>164</v>
      </c>
      <c r="C323">
        <v>1</v>
      </c>
      <c r="D323" s="2">
        <f>D317</f>
        <v>3902</v>
      </c>
      <c r="E323">
        <f>E321</f>
        <v>433</v>
      </c>
      <c r="F323" s="12">
        <f t="shared" si="118"/>
        <v>1689566</v>
      </c>
      <c r="G323" s="15">
        <f t="shared" si="119"/>
        <v>433</v>
      </c>
    </row>
    <row r="324" spans="1:13" ht="17.25" x14ac:dyDescent="0.4">
      <c r="A324" t="s">
        <v>165</v>
      </c>
      <c r="C324">
        <v>2</v>
      </c>
      <c r="D324" s="22">
        <f>D249</f>
        <v>11570</v>
      </c>
      <c r="E324">
        <f>E321</f>
        <v>433</v>
      </c>
      <c r="F324" s="38">
        <f>MAX(E324,_xlfn.CEILING.MATH(ROUNDUP(E324*C324*((1-10%)*(1-2%)*(1-1%)),20)))*D324</f>
        <v>8758490</v>
      </c>
      <c r="G324" s="15">
        <f t="shared" si="119"/>
        <v>757</v>
      </c>
    </row>
    <row r="325" spans="1:13" x14ac:dyDescent="0.25">
      <c r="E325" s="1" t="str">
        <f>A320</f>
        <v>Scalar Capacitor Unit</v>
      </c>
      <c r="F325" s="4">
        <f>SUM(F321:F324)*1.03</f>
        <v>15009027.851</v>
      </c>
    </row>
    <row r="326" spans="1:13" x14ac:dyDescent="0.25">
      <c r="A326" t="s">
        <v>158</v>
      </c>
    </row>
    <row r="327" spans="1:13" x14ac:dyDescent="0.25">
      <c r="A327" t="s">
        <v>163</v>
      </c>
      <c r="C327">
        <v>17</v>
      </c>
      <c r="D327" s="2">
        <f>D321</f>
        <v>167.9</v>
      </c>
      <c r="E327">
        <f>IF('Ship Component Reqs'!F112&lt;0,0,'Ship Component Reqs'!F112)</f>
        <v>1038</v>
      </c>
      <c r="F327" s="12">
        <f t="shared" ref="F327:F329" si="120">MAX(E327,_xlfn.CEILING.MATH(ROUNDUP(E327*C327*((1-10%)*(1-2%)*(1-1%)),20)))*D327</f>
        <v>2587171.1</v>
      </c>
      <c r="G327" s="15">
        <f t="shared" ref="G327:G330" si="121">MAX(E327,_xlfn.CEILING.MATH(ROUNDUP(E327*C327*((1-10%)*(1-2%)*(1-1%)),20)))</f>
        <v>15409</v>
      </c>
    </row>
    <row r="328" spans="1:13" x14ac:dyDescent="0.25">
      <c r="A328" t="s">
        <v>165</v>
      </c>
      <c r="C328">
        <v>2</v>
      </c>
      <c r="D328" s="2">
        <f>D324</f>
        <v>11570</v>
      </c>
      <c r="E328">
        <f>E327</f>
        <v>1038</v>
      </c>
      <c r="F328" s="12">
        <f t="shared" si="120"/>
        <v>20976410</v>
      </c>
      <c r="G328" s="15">
        <f t="shared" si="121"/>
        <v>1813</v>
      </c>
    </row>
    <row r="329" spans="1:13" x14ac:dyDescent="0.25">
      <c r="A329" t="s">
        <v>164</v>
      </c>
      <c r="C329">
        <v>2</v>
      </c>
      <c r="D329" s="22">
        <f>D323</f>
        <v>3902</v>
      </c>
      <c r="E329">
        <f>E327</f>
        <v>1038</v>
      </c>
      <c r="F329" s="12">
        <f t="shared" si="120"/>
        <v>7074326</v>
      </c>
      <c r="G329" s="15">
        <f t="shared" si="121"/>
        <v>1813</v>
      </c>
    </row>
    <row r="330" spans="1:13" ht="17.25" x14ac:dyDescent="0.4">
      <c r="A330" t="s">
        <v>10</v>
      </c>
      <c r="C330">
        <v>6</v>
      </c>
      <c r="D330" s="22">
        <f>D312</f>
        <v>1484</v>
      </c>
      <c r="E330">
        <f>E327</f>
        <v>1038</v>
      </c>
      <c r="F330" s="38">
        <f>MAX(E330,_xlfn.CEILING.MATH(ROUNDUP(E330*C330*((1-10%)*(1-2%)*(1-1%)),20)))*D330</f>
        <v>8071476</v>
      </c>
      <c r="G330" s="15">
        <f t="shared" si="121"/>
        <v>5439</v>
      </c>
    </row>
    <row r="331" spans="1:13" x14ac:dyDescent="0.25">
      <c r="E331" s="1" t="str">
        <f>A326</f>
        <v>Quantum Microprocessor</v>
      </c>
      <c r="F331" s="4">
        <f>SUM(F327:F330)*1.03</f>
        <v>39870664.593000002</v>
      </c>
    </row>
    <row r="332" spans="1:13" x14ac:dyDescent="0.25">
      <c r="A332" t="s">
        <v>159</v>
      </c>
    </row>
    <row r="333" spans="1:13" x14ac:dyDescent="0.25">
      <c r="A333" t="s">
        <v>163</v>
      </c>
      <c r="C333">
        <v>44</v>
      </c>
      <c r="D333" s="2">
        <f>D327</f>
        <v>167.9</v>
      </c>
      <c r="E333">
        <f>IF('Ship Component Reqs'!F113&lt;0,0,'Ship Component Reqs'!F113)</f>
        <v>4322</v>
      </c>
      <c r="F333" s="12">
        <f>MAX(E333,_xlfn.CEILING.MATH(ROUNDUP(E333*C333*((1-10%)*(1-2%)*(1-1%)),20)))*D333</f>
        <v>27879962.900000002</v>
      </c>
      <c r="G333" s="15">
        <f>MAX(E333,_xlfn.CEILING.MATH(ROUNDUP(E333*C333*((1-10%)*(1-2%)*(1-1%)),20)))</f>
        <v>166051</v>
      </c>
    </row>
    <row r="334" spans="1:13" ht="17.25" x14ac:dyDescent="0.4">
      <c r="A334" t="s">
        <v>12</v>
      </c>
      <c r="C334">
        <v>11</v>
      </c>
      <c r="D334" s="2">
        <f>D307</f>
        <v>332.4</v>
      </c>
      <c r="E334">
        <f>E333</f>
        <v>4322</v>
      </c>
      <c r="F334" s="38">
        <f>MAX(E334,_xlfn.CEILING.MATH(ROUNDUP(E334*C334*((1-10%)*(1-2%)*(1-1%)),20)))*D334</f>
        <v>13798921.199999999</v>
      </c>
      <c r="G334" s="15">
        <f t="shared" ref="G334" si="122">MAX(E334,_xlfn.CEILING.MATH(ROUNDUP(E334*C334*((1-10%)*(1-2%)*(1-1%)),20)))</f>
        <v>41513</v>
      </c>
    </row>
    <row r="335" spans="1:13" x14ac:dyDescent="0.25">
      <c r="E335" s="1" t="str">
        <f>A332</f>
        <v>Titanium Diborite Armor Plate</v>
      </c>
      <c r="F335" s="4">
        <f>SUM(F333:F334)*1.03</f>
        <v>42929250.623000003</v>
      </c>
      <c r="G335" s="4"/>
    </row>
    <row r="336" spans="1:13" s="17" customFormat="1" x14ac:dyDescent="0.25">
      <c r="D336" s="30"/>
      <c r="E336" s="55"/>
      <c r="F336" s="54"/>
      <c r="K336" s="18"/>
      <c r="L336" s="18"/>
      <c r="M336" s="18"/>
    </row>
    <row r="337" spans="1:16" x14ac:dyDescent="0.25">
      <c r="A337" t="s">
        <v>291</v>
      </c>
    </row>
    <row r="338" spans="1:16" x14ac:dyDescent="0.25">
      <c r="A338" t="s">
        <v>153</v>
      </c>
      <c r="D338" s="2" t="s">
        <v>21</v>
      </c>
      <c r="E338" t="s">
        <v>19</v>
      </c>
      <c r="J338" t="s">
        <v>25</v>
      </c>
      <c r="K338" s="3" t="s">
        <v>30</v>
      </c>
      <c r="L338" s="3" t="s">
        <v>27</v>
      </c>
      <c r="M338" s="3" t="s">
        <v>35</v>
      </c>
      <c r="N338" t="s">
        <v>26</v>
      </c>
      <c r="O338" s="3" t="s">
        <v>34</v>
      </c>
    </row>
    <row r="339" spans="1:16" x14ac:dyDescent="0.25">
      <c r="A339" t="s">
        <v>163</v>
      </c>
      <c r="C339">
        <v>9</v>
      </c>
      <c r="D339" s="22">
        <f>D302</f>
        <v>167.9</v>
      </c>
      <c r="E339">
        <f>'Ship Component Reqs'!F122</f>
        <v>5</v>
      </c>
      <c r="F339" s="12">
        <f>MAX(E339,_xlfn.CEILING.MATH(ROUNDUP(E339*C339*((1-10%)*(1-2%)*(1-1%)),20)))*D339</f>
        <v>6716</v>
      </c>
      <c r="G339" s="15">
        <f>MAX(E339,_xlfn.CEILING.MATH(ROUNDUP(E339*C339*((1-10%)*(1-2%)*(1-1%)),20)))</f>
        <v>40</v>
      </c>
      <c r="J339" t="str">
        <f>A339</f>
        <v>Titanium Carbide</v>
      </c>
      <c r="K339" s="3">
        <f>G339+G343+G348+G353+G358+G364+G370</f>
        <v>22410</v>
      </c>
      <c r="L339" s="3">
        <v>0</v>
      </c>
      <c r="M339" s="6">
        <f>((K339*'Ship Component Reqs'!$D$32)-L339)</f>
        <v>22410</v>
      </c>
      <c r="N339">
        <f>D339</f>
        <v>167.9</v>
      </c>
      <c r="O339" s="13">
        <f>IF(M339&lt;0,0,M339*N339)</f>
        <v>3762639</v>
      </c>
      <c r="P339" t="s">
        <v>167</v>
      </c>
    </row>
    <row r="340" spans="1:16" ht="17.25" x14ac:dyDescent="0.4">
      <c r="A340" t="s">
        <v>162</v>
      </c>
      <c r="C340">
        <v>2</v>
      </c>
      <c r="D340" s="22">
        <f>D303</f>
        <v>49950</v>
      </c>
      <c r="E340">
        <f>E339</f>
        <v>5</v>
      </c>
      <c r="F340" s="38">
        <f>MAX(E340,_xlfn.CEILING.MATH(ROUNDUP(E340*C340*((1-10%)*(1-2%)*(1-1%)),20)))*D340</f>
        <v>449550</v>
      </c>
      <c r="G340" s="15">
        <f t="shared" ref="G340" si="123">MAX(E340,_xlfn.CEILING.MATH(ROUNDUP(E340*C340*((1-10%)*(1-2%)*(1-1%)),20)))</f>
        <v>9</v>
      </c>
      <c r="J340" t="str">
        <f>A340</f>
        <v>Fermonic Condensates</v>
      </c>
      <c r="K340" s="3">
        <f>+G340</f>
        <v>9</v>
      </c>
      <c r="L340" s="3">
        <v>0</v>
      </c>
      <c r="M340" s="6">
        <f>((K340*'Ship Component Reqs'!$D$32)-L340)</f>
        <v>9</v>
      </c>
      <c r="N340">
        <f>D340</f>
        <v>49950</v>
      </c>
      <c r="O340" s="13">
        <f t="shared" ref="O340:O346" si="124">IF(M340&lt;0,0,M340*N340)</f>
        <v>449550</v>
      </c>
      <c r="P340" t="s">
        <v>167</v>
      </c>
    </row>
    <row r="341" spans="1:16" x14ac:dyDescent="0.25">
      <c r="E341" s="1" t="str">
        <f>A338</f>
        <v>Graviton Reactor Unit</v>
      </c>
      <c r="F341" s="4">
        <f>SUM(F339:F340)*1.03</f>
        <v>469953.98000000004</v>
      </c>
      <c r="J341" t="str">
        <f>A344</f>
        <v>Sylramic Fibers</v>
      </c>
      <c r="K341" s="3">
        <f>+G344+G371</f>
        <v>4504</v>
      </c>
      <c r="L341" s="3">
        <v>0</v>
      </c>
      <c r="M341" s="6">
        <f>((K341*'Ship Component Reqs'!$D$32)-L341)</f>
        <v>4504</v>
      </c>
      <c r="N341" s="4">
        <f>D344</f>
        <v>332.4</v>
      </c>
      <c r="O341" s="13">
        <f t="shared" si="124"/>
        <v>1497129.5999999999</v>
      </c>
      <c r="P341" t="s">
        <v>167</v>
      </c>
    </row>
    <row r="342" spans="1:16" x14ac:dyDescent="0.25">
      <c r="A342" t="s">
        <v>154</v>
      </c>
      <c r="J342" t="str">
        <f>A345</f>
        <v>Ferrogel</v>
      </c>
      <c r="K342" s="3">
        <f>G345+G350</f>
        <v>68</v>
      </c>
      <c r="L342" s="3">
        <v>0</v>
      </c>
      <c r="M342" s="6">
        <f>((K342*'Ship Component Reqs'!$D$32)-L342)</f>
        <v>68</v>
      </c>
      <c r="N342" s="4">
        <f>D345</f>
        <v>23970</v>
      </c>
      <c r="O342" s="13">
        <f t="shared" si="124"/>
        <v>1629960</v>
      </c>
      <c r="P342" t="s">
        <v>167</v>
      </c>
    </row>
    <row r="343" spans="1:16" x14ac:dyDescent="0.25">
      <c r="A343" t="s">
        <v>163</v>
      </c>
      <c r="C343">
        <v>22</v>
      </c>
      <c r="D343" s="37">
        <f>D339</f>
        <v>167.9</v>
      </c>
      <c r="E343">
        <f>'Ship Component Reqs'!F123</f>
        <v>23</v>
      </c>
      <c r="F343" s="12">
        <f t="shared" ref="F343:F344" si="125">MAX(E343,_xlfn.CEILING.MATH(ROUNDUP(E343*C343*((1-10%)*(1-2%)*(1-1%)),20)))*D343</f>
        <v>74211.8</v>
      </c>
      <c r="G343" s="15">
        <f t="shared" ref="G343:G345" si="126">MAX(E343,_xlfn.CEILING.MATH(ROUNDUP(E343*C343*((1-10%)*(1-2%)*(1-1%)),20)))</f>
        <v>442</v>
      </c>
      <c r="J343" t="str">
        <f>A349</f>
        <v>Phenolic Composites</v>
      </c>
      <c r="K343" s="3">
        <f>+G349+G367</f>
        <v>747</v>
      </c>
      <c r="L343" s="3">
        <v>0</v>
      </c>
      <c r="M343" s="6">
        <f>((K343*'Ship Component Reqs'!$D$32)-L343)</f>
        <v>747</v>
      </c>
      <c r="N343">
        <f>D349</f>
        <v>1484</v>
      </c>
      <c r="O343" s="13">
        <f t="shared" si="124"/>
        <v>1108548</v>
      </c>
      <c r="P343" t="s">
        <v>167</v>
      </c>
    </row>
    <row r="344" spans="1:16" x14ac:dyDescent="0.25">
      <c r="A344" t="s">
        <v>12</v>
      </c>
      <c r="C344">
        <v>9</v>
      </c>
      <c r="D344" s="37">
        <f>D307</f>
        <v>332.4</v>
      </c>
      <c r="E344">
        <f>E343</f>
        <v>23</v>
      </c>
      <c r="F344" s="12">
        <f t="shared" si="125"/>
        <v>60164.399999999994</v>
      </c>
      <c r="G344" s="15">
        <f t="shared" si="126"/>
        <v>181</v>
      </c>
      <c r="J344" t="str">
        <f>A354</f>
        <v>Nano Transistors</v>
      </c>
      <c r="K344" s="3">
        <f>G354+G360+G366</f>
        <v>315</v>
      </c>
      <c r="L344" s="3">
        <v>0</v>
      </c>
      <c r="M344" s="6">
        <f>((K344*'Ship Component Reqs'!$D$32)-L344)</f>
        <v>315</v>
      </c>
      <c r="N344" s="4">
        <f>D354</f>
        <v>3902</v>
      </c>
      <c r="O344" s="13">
        <f t="shared" si="124"/>
        <v>1229130</v>
      </c>
      <c r="P344" t="s">
        <v>167</v>
      </c>
    </row>
    <row r="345" spans="1:16" ht="17.25" x14ac:dyDescent="0.4">
      <c r="A345" t="s">
        <v>11</v>
      </c>
      <c r="C345">
        <v>1</v>
      </c>
      <c r="D345" s="22">
        <f>D308</f>
        <v>23970</v>
      </c>
      <c r="E345">
        <f>E343</f>
        <v>23</v>
      </c>
      <c r="F345" s="38">
        <f>MAX(E345,_xlfn.CEILING.MATH(ROUNDUP(E345*C345*((1-10%)*(1-2%)*(1-1%)),20)))*D345</f>
        <v>551310</v>
      </c>
      <c r="G345" s="15">
        <f t="shared" si="126"/>
        <v>23</v>
      </c>
      <c r="J345" t="str">
        <f>A355</f>
        <v>Hypersynaptic Fibers</v>
      </c>
      <c r="K345" s="3">
        <f>G355</f>
        <v>53</v>
      </c>
      <c r="L345" s="3">
        <v>0</v>
      </c>
      <c r="M345" s="6">
        <f>((K345*'Ship Component Reqs'!$D$32)-L345)</f>
        <v>53</v>
      </c>
      <c r="N345" s="4">
        <f>D355</f>
        <v>6173</v>
      </c>
      <c r="O345" s="13">
        <f t="shared" si="124"/>
        <v>327169</v>
      </c>
      <c r="P345" t="s">
        <v>167</v>
      </c>
    </row>
    <row r="346" spans="1:16" x14ac:dyDescent="0.25">
      <c r="E346" s="1" t="str">
        <f>A342</f>
        <v>Sustained Shield Emitter</v>
      </c>
      <c r="F346" s="4">
        <f>SUM(F343:F345)*1.03</f>
        <v>706256.78599999996</v>
      </c>
      <c r="J346" t="str">
        <f>A359</f>
        <v>Fullerides</v>
      </c>
      <c r="K346" s="3">
        <f>G359</f>
        <v>721</v>
      </c>
      <c r="L346" s="3">
        <v>0</v>
      </c>
      <c r="M346" s="6">
        <f>((K346*'Ship Component Reqs'!$D$32)-L346)</f>
        <v>721</v>
      </c>
      <c r="N346">
        <f>D359</f>
        <v>579.4</v>
      </c>
      <c r="O346" s="13">
        <f t="shared" si="124"/>
        <v>417747.39999999997</v>
      </c>
      <c r="P346" t="s">
        <v>167</v>
      </c>
    </row>
    <row r="347" spans="1:16" ht="17.25" x14ac:dyDescent="0.4">
      <c r="A347" t="s">
        <v>155</v>
      </c>
      <c r="J347" t="str">
        <f>A361</f>
        <v>Nonlinear MetaMaterials</v>
      </c>
      <c r="K347" s="3">
        <f>G361+G365</f>
        <v>341</v>
      </c>
      <c r="L347" s="3">
        <v>0</v>
      </c>
      <c r="M347" s="6">
        <f>((K347*'Ship Component Reqs'!$D$32)-L347)</f>
        <v>341</v>
      </c>
      <c r="N347">
        <f>D361</f>
        <v>11570</v>
      </c>
      <c r="O347" s="11">
        <f>IF(M347&lt;0,0,M347*N347)</f>
        <v>3945370</v>
      </c>
    </row>
    <row r="348" spans="1:16" x14ac:dyDescent="0.25">
      <c r="A348" t="s">
        <v>163</v>
      </c>
      <c r="C348">
        <v>13</v>
      </c>
      <c r="D348" s="37">
        <f>D339</f>
        <v>167.9</v>
      </c>
      <c r="E348">
        <f>'Ship Component Reqs'!F124</f>
        <v>45</v>
      </c>
      <c r="F348" s="12">
        <f t="shared" ref="F348:F349" si="127">MAX(E348,_xlfn.CEILING.MATH(ROUNDUP(E348*C348*((1-10%)*(1-2%)*(1-1%)),20)))*D348</f>
        <v>85796.900000000009</v>
      </c>
      <c r="G348" s="15">
        <f t="shared" ref="G348:G350" si="128">MAX(E348,_xlfn.CEILING.MATH(ROUNDUP(E348*C348*((1-10%)*(1-2%)*(1-1%)),20)))</f>
        <v>511</v>
      </c>
      <c r="K348" s="10"/>
      <c r="O348" s="4">
        <f>SUM(O339:O347)</f>
        <v>14367243</v>
      </c>
    </row>
    <row r="349" spans="1:16" x14ac:dyDescent="0.25">
      <c r="A349" t="s">
        <v>10</v>
      </c>
      <c r="C349">
        <v>3</v>
      </c>
      <c r="D349" s="22">
        <f>D312</f>
        <v>1484</v>
      </c>
      <c r="E349">
        <f>E348</f>
        <v>45</v>
      </c>
      <c r="F349" s="12">
        <f t="shared" si="127"/>
        <v>175112</v>
      </c>
      <c r="G349" s="15">
        <f t="shared" si="128"/>
        <v>118</v>
      </c>
    </row>
    <row r="350" spans="1:16" ht="17.25" x14ac:dyDescent="0.4">
      <c r="A350" t="s">
        <v>11</v>
      </c>
      <c r="C350">
        <v>1</v>
      </c>
      <c r="D350" s="22">
        <f>D313</f>
        <v>23970</v>
      </c>
      <c r="E350">
        <f>E348</f>
        <v>45</v>
      </c>
      <c r="F350" s="38">
        <f>MAX(E350,_xlfn.CEILING.MATH(ROUNDUP(E350*C350*((1-10%)*(1-2%)*(1-1%)),20)))*D350</f>
        <v>1078650</v>
      </c>
      <c r="G350" s="15">
        <f t="shared" si="128"/>
        <v>45</v>
      </c>
    </row>
    <row r="351" spans="1:16" x14ac:dyDescent="0.25">
      <c r="E351" s="1" t="str">
        <f>A347</f>
        <v>Magpulse Thruster</v>
      </c>
      <c r="F351" s="4">
        <f>SUM(F348:F350)</f>
        <v>1339558.8999999999</v>
      </c>
    </row>
    <row r="352" spans="1:16" x14ac:dyDescent="0.25">
      <c r="A352" t="s">
        <v>156</v>
      </c>
    </row>
    <row r="353" spans="1:7" x14ac:dyDescent="0.25">
      <c r="A353" t="s">
        <v>163</v>
      </c>
      <c r="C353">
        <v>22</v>
      </c>
      <c r="D353" s="2">
        <f>D348</f>
        <v>167.9</v>
      </c>
      <c r="E353">
        <f>IF('Ship Component Reqs'!F125&lt;0,0,'Ship Component Reqs'!F125)</f>
        <v>30</v>
      </c>
      <c r="F353" s="12">
        <f t="shared" ref="F353:F354" si="129">MAX(E353,_xlfn.CEILING.MATH(ROUNDUP(E353*C353*((1-10%)*(1-2%)*(1-1%)),20)))*D353</f>
        <v>96878.3</v>
      </c>
      <c r="G353" s="15">
        <f t="shared" ref="G353:G355" si="130">MAX(E353,_xlfn.CEILING.MATH(ROUNDUP(E353*C353*((1-10%)*(1-2%)*(1-1%)),20)))</f>
        <v>577</v>
      </c>
    </row>
    <row r="354" spans="1:7" x14ac:dyDescent="0.25">
      <c r="A354" t="s">
        <v>14</v>
      </c>
      <c r="C354">
        <v>1</v>
      </c>
      <c r="D354" s="2">
        <f>D329</f>
        <v>3902</v>
      </c>
      <c r="E354">
        <f>E353</f>
        <v>30</v>
      </c>
      <c r="F354" s="12">
        <f t="shared" si="129"/>
        <v>117060</v>
      </c>
      <c r="G354" s="15">
        <f t="shared" si="130"/>
        <v>30</v>
      </c>
    </row>
    <row r="355" spans="1:7" ht="17.25" x14ac:dyDescent="0.4">
      <c r="A355" t="s">
        <v>15</v>
      </c>
      <c r="C355">
        <v>2</v>
      </c>
      <c r="D355" s="22">
        <f>D318</f>
        <v>6173</v>
      </c>
      <c r="E355">
        <f>E353</f>
        <v>30</v>
      </c>
      <c r="F355" s="38">
        <f>MAX(E355,_xlfn.CEILING.MATH(ROUNDUP(E355*C355*((1-10%)*(1-2%)*(1-1%)),20)))*D355</f>
        <v>327169</v>
      </c>
      <c r="G355" s="15">
        <f t="shared" si="130"/>
        <v>53</v>
      </c>
    </row>
    <row r="356" spans="1:7" x14ac:dyDescent="0.25">
      <c r="E356" s="1" t="str">
        <f>A352</f>
        <v>Gravimetric Sensor Cluster</v>
      </c>
      <c r="F356" s="4">
        <f>SUM(F353:F355)*1.03</f>
        <v>557340.51900000009</v>
      </c>
      <c r="G356" s="15"/>
    </row>
    <row r="357" spans="1:7" x14ac:dyDescent="0.25">
      <c r="A357" t="s">
        <v>157</v>
      </c>
    </row>
    <row r="358" spans="1:7" x14ac:dyDescent="0.25">
      <c r="A358" t="s">
        <v>163</v>
      </c>
      <c r="C358">
        <v>27</v>
      </c>
      <c r="D358" s="2">
        <f>D353</f>
        <v>167.9</v>
      </c>
      <c r="E358">
        <f>IF('Ship Component Reqs'!F126&lt;0,0,'Ship Component Reqs'!F126)</f>
        <v>75</v>
      </c>
      <c r="F358" s="12">
        <f t="shared" ref="F358:F360" si="131">MAX(E358,_xlfn.CEILING.MATH(ROUNDUP(E358*C358*((1-10%)*(1-2%)*(1-1%)),20)))*D358</f>
        <v>297015.10000000003</v>
      </c>
      <c r="G358" s="15">
        <f t="shared" ref="G358:G361" si="132">MAX(E358,_xlfn.CEILING.MATH(ROUNDUP(E358*C358*((1-10%)*(1-2%)*(1-1%)),20)))</f>
        <v>1769</v>
      </c>
    </row>
    <row r="359" spans="1:7" x14ac:dyDescent="0.25">
      <c r="A359" t="s">
        <v>16</v>
      </c>
      <c r="C359">
        <v>11</v>
      </c>
      <c r="D359" s="2">
        <f>D322</f>
        <v>579.4</v>
      </c>
      <c r="E359">
        <f>E358</f>
        <v>75</v>
      </c>
      <c r="F359" s="12">
        <f t="shared" si="131"/>
        <v>417747.39999999997</v>
      </c>
      <c r="G359" s="15">
        <f t="shared" si="132"/>
        <v>721</v>
      </c>
    </row>
    <row r="360" spans="1:7" x14ac:dyDescent="0.25">
      <c r="A360" t="s">
        <v>164</v>
      </c>
      <c r="C360">
        <v>1</v>
      </c>
      <c r="D360" s="2">
        <f>D354</f>
        <v>3902</v>
      </c>
      <c r="E360">
        <f>E358</f>
        <v>75</v>
      </c>
      <c r="F360" s="12">
        <f t="shared" si="131"/>
        <v>292650</v>
      </c>
      <c r="G360" s="15">
        <f t="shared" si="132"/>
        <v>75</v>
      </c>
    </row>
    <row r="361" spans="1:7" ht="17.25" x14ac:dyDescent="0.4">
      <c r="A361" t="s">
        <v>165</v>
      </c>
      <c r="C361">
        <v>2</v>
      </c>
      <c r="D361" s="22">
        <f>D324</f>
        <v>11570</v>
      </c>
      <c r="E361">
        <f>E358</f>
        <v>75</v>
      </c>
      <c r="F361" s="38">
        <f>MAX(E361,_xlfn.CEILING.MATH(ROUNDUP(E361*C361*((1-10%)*(1-2%)*(1-1%)),20)))*D361</f>
        <v>1515670</v>
      </c>
      <c r="G361" s="15">
        <f t="shared" si="132"/>
        <v>131</v>
      </c>
    </row>
    <row r="362" spans="1:7" x14ac:dyDescent="0.25">
      <c r="E362" s="1" t="str">
        <f>A357</f>
        <v>Scalar Capacitor Unit</v>
      </c>
      <c r="F362" s="4">
        <f>SUM(F358:F361)*1.03</f>
        <v>2598774.9750000001</v>
      </c>
    </row>
    <row r="363" spans="1:7" x14ac:dyDescent="0.25">
      <c r="A363" t="s">
        <v>158</v>
      </c>
    </row>
    <row r="364" spans="1:7" x14ac:dyDescent="0.25">
      <c r="A364" t="s">
        <v>163</v>
      </c>
      <c r="C364">
        <v>17</v>
      </c>
      <c r="D364" s="2">
        <f>D358</f>
        <v>167.9</v>
      </c>
      <c r="E364">
        <f>IF('Ship Component Reqs'!F127&lt;0,0,'Ship Component Reqs'!F127)</f>
        <v>120</v>
      </c>
      <c r="F364" s="12">
        <f t="shared" ref="F364:F366" si="133">MAX(E364,_xlfn.CEILING.MATH(ROUNDUP(E364*C364*((1-10%)*(1-2%)*(1-1%)),20)))*D364</f>
        <v>299197.8</v>
      </c>
      <c r="G364" s="15">
        <f t="shared" ref="G364:G367" si="134">MAX(E364,_xlfn.CEILING.MATH(ROUNDUP(E364*C364*((1-10%)*(1-2%)*(1-1%)),20)))</f>
        <v>1782</v>
      </c>
    </row>
    <row r="365" spans="1:7" x14ac:dyDescent="0.25">
      <c r="A365" t="s">
        <v>165</v>
      </c>
      <c r="C365">
        <v>2</v>
      </c>
      <c r="D365" s="2">
        <f>D361</f>
        <v>11570</v>
      </c>
      <c r="E365">
        <f>E364</f>
        <v>120</v>
      </c>
      <c r="F365" s="12">
        <f t="shared" si="133"/>
        <v>2429700</v>
      </c>
      <c r="G365" s="15">
        <f t="shared" si="134"/>
        <v>210</v>
      </c>
    </row>
    <row r="366" spans="1:7" x14ac:dyDescent="0.25">
      <c r="A366" t="s">
        <v>164</v>
      </c>
      <c r="C366">
        <v>2</v>
      </c>
      <c r="D366" s="22">
        <f>D360</f>
        <v>3902</v>
      </c>
      <c r="E366">
        <f>E364</f>
        <v>120</v>
      </c>
      <c r="F366" s="12">
        <f t="shared" si="133"/>
        <v>819420</v>
      </c>
      <c r="G366" s="15">
        <f t="shared" si="134"/>
        <v>210</v>
      </c>
    </row>
    <row r="367" spans="1:7" ht="17.25" x14ac:dyDescent="0.4">
      <c r="A367" t="s">
        <v>10</v>
      </c>
      <c r="C367">
        <v>6</v>
      </c>
      <c r="D367" s="22">
        <f>D349</f>
        <v>1484</v>
      </c>
      <c r="E367">
        <f>E364</f>
        <v>120</v>
      </c>
      <c r="F367" s="38">
        <f>MAX(E367,_xlfn.CEILING.MATH(ROUNDUP(E367*C367*((1-10%)*(1-2%)*(1-1%)),20)))*D367</f>
        <v>933436</v>
      </c>
      <c r="G367" s="15">
        <f t="shared" si="134"/>
        <v>629</v>
      </c>
    </row>
    <row r="368" spans="1:7" x14ac:dyDescent="0.25">
      <c r="E368" s="1" t="str">
        <f>A363</f>
        <v>Quantum Microprocessor</v>
      </c>
      <c r="F368" s="4">
        <f>SUM(F364:F367)*1.03</f>
        <v>4616206.4139999999</v>
      </c>
    </row>
    <row r="369" spans="1:16" x14ac:dyDescent="0.25">
      <c r="A369" t="s">
        <v>159</v>
      </c>
    </row>
    <row r="370" spans="1:16" x14ac:dyDescent="0.25">
      <c r="A370" t="s">
        <v>163</v>
      </c>
      <c r="C370">
        <v>44</v>
      </c>
      <c r="D370" s="2">
        <f>D364</f>
        <v>167.9</v>
      </c>
      <c r="E370">
        <f>IF('Ship Component Reqs'!F128&lt;0,0,'Ship Component Reqs'!F128)</f>
        <v>450</v>
      </c>
      <c r="F370" s="12">
        <f>MAX(E370,_xlfn.CEILING.MATH(ROUNDUP(E370*C370*((1-10%)*(1-2%)*(1-1%)),20)))*D370</f>
        <v>2902823.1</v>
      </c>
      <c r="G370" s="15">
        <f>MAX(E370,_xlfn.CEILING.MATH(ROUNDUP(E370*C370*((1-10%)*(1-2%)*(1-1%)),20)))</f>
        <v>17289</v>
      </c>
    </row>
    <row r="371" spans="1:16" ht="17.25" x14ac:dyDescent="0.4">
      <c r="A371" t="s">
        <v>12</v>
      </c>
      <c r="C371">
        <v>11</v>
      </c>
      <c r="D371" s="2">
        <f>D344</f>
        <v>332.4</v>
      </c>
      <c r="E371">
        <f>E370</f>
        <v>450</v>
      </c>
      <c r="F371" s="38">
        <f>MAX(E371,_xlfn.CEILING.MATH(ROUNDUP(E371*C371*((1-10%)*(1-2%)*(1-1%)),20)))*D371</f>
        <v>1436965.2</v>
      </c>
      <c r="G371" s="15">
        <f t="shared" ref="G371" si="135">MAX(E371,_xlfn.CEILING.MATH(ROUNDUP(E371*C371*((1-10%)*(1-2%)*(1-1%)),20)))</f>
        <v>4323</v>
      </c>
    </row>
    <row r="372" spans="1:16" x14ac:dyDescent="0.25">
      <c r="E372" s="1" t="str">
        <f>A369</f>
        <v>Titanium Diborite Armor Plate</v>
      </c>
      <c r="F372" s="4">
        <f>SUM(F370:F371)*1.03</f>
        <v>4469981.949</v>
      </c>
      <c r="G372" s="4"/>
    </row>
    <row r="373" spans="1:16" s="17" customFormat="1" x14ac:dyDescent="0.25">
      <c r="D373" s="30"/>
      <c r="E373" s="55"/>
      <c r="F373" s="54"/>
      <c r="K373" s="18"/>
      <c r="L373" s="18"/>
      <c r="M373" s="18"/>
    </row>
    <row r="374" spans="1:16" x14ac:dyDescent="0.25">
      <c r="A374" t="s">
        <v>292</v>
      </c>
    </row>
    <row r="375" spans="1:16" x14ac:dyDescent="0.25">
      <c r="A375" t="s">
        <v>153</v>
      </c>
      <c r="D375" s="2" t="s">
        <v>21</v>
      </c>
      <c r="E375" t="s">
        <v>19</v>
      </c>
      <c r="J375" t="s">
        <v>25</v>
      </c>
      <c r="K375" s="3" t="s">
        <v>30</v>
      </c>
      <c r="L375" s="3" t="s">
        <v>27</v>
      </c>
      <c r="M375" s="3" t="s">
        <v>35</v>
      </c>
      <c r="N375" t="s">
        <v>26</v>
      </c>
      <c r="O375" s="3" t="s">
        <v>34</v>
      </c>
    </row>
    <row r="376" spans="1:16" x14ac:dyDescent="0.25">
      <c r="A376" t="s">
        <v>163</v>
      </c>
      <c r="C376">
        <v>9</v>
      </c>
      <c r="D376" s="22">
        <f>D339</f>
        <v>167.9</v>
      </c>
      <c r="E376">
        <f>E302+E339</f>
        <v>49</v>
      </c>
      <c r="F376" s="12">
        <f>MAX(E376,_xlfn.CEILING.MATH(ROUNDUP(E376*C376*((1-10%)*(1-2%)*(1-1%)),20)))*D376</f>
        <v>64809.4</v>
      </c>
      <c r="G376" s="15">
        <f>MAX(E376,_xlfn.CEILING.MATH(ROUNDUP(E376*C376*((1-10%)*(1-2%)*(1-1%)),20)))</f>
        <v>386</v>
      </c>
      <c r="J376" t="str">
        <f>A376</f>
        <v>Titanium Carbide</v>
      </c>
      <c r="K376" s="3">
        <f>G376+G380+G385+G390+G395+G401+G407</f>
        <v>222668</v>
      </c>
      <c r="L376" s="3">
        <v>0</v>
      </c>
      <c r="M376" s="6">
        <f>((K376*'Ship Component Reqs'!$D$32)-L376)</f>
        <v>222668</v>
      </c>
      <c r="N376">
        <f>D376</f>
        <v>167.9</v>
      </c>
      <c r="O376" s="13">
        <f>IF(M376&lt;0,0,M376*N376)</f>
        <v>37385957.200000003</v>
      </c>
      <c r="P376" t="s">
        <v>167</v>
      </c>
    </row>
    <row r="377" spans="1:16" ht="17.25" x14ac:dyDescent="0.4">
      <c r="A377" t="s">
        <v>162</v>
      </c>
      <c r="C377">
        <v>2</v>
      </c>
      <c r="D377" s="22">
        <f>D340</f>
        <v>49950</v>
      </c>
      <c r="E377">
        <f>E376</f>
        <v>49</v>
      </c>
      <c r="F377" s="38">
        <f>MAX(E377,_xlfn.CEILING.MATH(ROUNDUP(E377*C377*((1-10%)*(1-2%)*(1-1%)),20)))*D377</f>
        <v>4295700</v>
      </c>
      <c r="G377" s="15">
        <f t="shared" ref="G377" si="136">MAX(E377,_xlfn.CEILING.MATH(ROUNDUP(E377*C377*((1-10%)*(1-2%)*(1-1%)),20)))</f>
        <v>86</v>
      </c>
      <c r="J377" t="str">
        <f>A377</f>
        <v>Fermonic Condensates</v>
      </c>
      <c r="K377" s="3">
        <f>+G377</f>
        <v>86</v>
      </c>
      <c r="L377" s="3">
        <v>0</v>
      </c>
      <c r="M377" s="6">
        <f>((K377*'Ship Component Reqs'!$D$32)-L377)</f>
        <v>86</v>
      </c>
      <c r="N377">
        <f>D377</f>
        <v>49950</v>
      </c>
      <c r="O377" s="13">
        <f t="shared" ref="O377:O383" si="137">IF(M377&lt;0,0,M377*N377)</f>
        <v>4295700</v>
      </c>
      <c r="P377" t="s">
        <v>167</v>
      </c>
    </row>
    <row r="378" spans="1:16" x14ac:dyDescent="0.25">
      <c r="E378" s="1" t="str">
        <f>A375</f>
        <v>Graviton Reactor Unit</v>
      </c>
      <c r="F378" s="4">
        <f>SUM(F376:F377)*1.03</f>
        <v>4491324.682000001</v>
      </c>
      <c r="J378" t="str">
        <f>A381</f>
        <v>Sylramic Fibers</v>
      </c>
      <c r="K378" s="3">
        <f>+G381+G408</f>
        <v>46881</v>
      </c>
      <c r="L378" s="3">
        <v>0</v>
      </c>
      <c r="M378" s="6">
        <f>((K378*'Ship Component Reqs'!$D$32)-L378)</f>
        <v>46881</v>
      </c>
      <c r="N378" s="4">
        <f>D381</f>
        <v>332.4</v>
      </c>
      <c r="O378" s="13">
        <f t="shared" si="137"/>
        <v>15583244.399999999</v>
      </c>
      <c r="P378" t="s">
        <v>167</v>
      </c>
    </row>
    <row r="379" spans="1:16" x14ac:dyDescent="0.25">
      <c r="A379" t="s">
        <v>154</v>
      </c>
      <c r="J379" t="str">
        <f>A382</f>
        <v>Ferrogel</v>
      </c>
      <c r="K379" s="3">
        <f>G382+G387</f>
        <v>351</v>
      </c>
      <c r="L379" s="3">
        <v>0</v>
      </c>
      <c r="M379" s="6">
        <f>((K379*'Ship Component Reqs'!$D$32)-L379)</f>
        <v>351</v>
      </c>
      <c r="N379" s="4">
        <f>D382</f>
        <v>23970</v>
      </c>
      <c r="O379" s="13">
        <f t="shared" si="137"/>
        <v>8413470</v>
      </c>
      <c r="P379" t="s">
        <v>167</v>
      </c>
    </row>
    <row r="380" spans="1:16" x14ac:dyDescent="0.25">
      <c r="A380" t="s">
        <v>163</v>
      </c>
      <c r="C380">
        <v>22</v>
      </c>
      <c r="D380" s="37">
        <f>D376</f>
        <v>167.9</v>
      </c>
      <c r="E380">
        <f>E306+E343</f>
        <v>133</v>
      </c>
      <c r="F380" s="12">
        <f t="shared" ref="F380:F381" si="138">MAX(E380,_xlfn.CEILING.MATH(ROUNDUP(E380*C380*((1-10%)*(1-2%)*(1-1%)),20)))*D380</f>
        <v>428984.5</v>
      </c>
      <c r="G380" s="15">
        <f t="shared" ref="G380:G382" si="139">MAX(E380,_xlfn.CEILING.MATH(ROUNDUP(E380*C380*((1-10%)*(1-2%)*(1-1%)),20)))</f>
        <v>2555</v>
      </c>
      <c r="J380" t="str">
        <f>A386</f>
        <v>Phenolic Composites</v>
      </c>
      <c r="K380" s="3">
        <f>+G386+G404</f>
        <v>6639</v>
      </c>
      <c r="L380" s="3">
        <v>0</v>
      </c>
      <c r="M380" s="6">
        <f>((K380*'Ship Component Reqs'!$D$32)-L380)</f>
        <v>6639</v>
      </c>
      <c r="N380">
        <f>D386</f>
        <v>1484</v>
      </c>
      <c r="O380" s="13">
        <f t="shared" si="137"/>
        <v>9852276</v>
      </c>
      <c r="P380" t="s">
        <v>167</v>
      </c>
    </row>
    <row r="381" spans="1:16" x14ac:dyDescent="0.25">
      <c r="A381" t="s">
        <v>12</v>
      </c>
      <c r="C381">
        <v>9</v>
      </c>
      <c r="D381" s="37">
        <f>D344</f>
        <v>332.4</v>
      </c>
      <c r="E381">
        <f>E380</f>
        <v>133</v>
      </c>
      <c r="F381" s="12">
        <f t="shared" si="138"/>
        <v>347690.39999999997</v>
      </c>
      <c r="G381" s="15">
        <f t="shared" si="139"/>
        <v>1046</v>
      </c>
      <c r="J381" t="str">
        <f>A391</f>
        <v>Nano Transistors</v>
      </c>
      <c r="K381" s="3">
        <f>G391+G397+G403</f>
        <v>2778</v>
      </c>
      <c r="L381" s="3">
        <v>0</v>
      </c>
      <c r="M381" s="6">
        <f>((K381*'Ship Component Reqs'!$D$32)-L381)</f>
        <v>2778</v>
      </c>
      <c r="N381" s="4">
        <f>D391</f>
        <v>3902</v>
      </c>
      <c r="O381" s="13">
        <f t="shared" si="137"/>
        <v>10839756</v>
      </c>
      <c r="P381" t="s">
        <v>167</v>
      </c>
    </row>
    <row r="382" spans="1:16" ht="17.25" x14ac:dyDescent="0.4">
      <c r="A382" t="s">
        <v>11</v>
      </c>
      <c r="C382">
        <v>1</v>
      </c>
      <c r="D382" s="22">
        <f>D345</f>
        <v>23970</v>
      </c>
      <c r="E382">
        <f>E380</f>
        <v>133</v>
      </c>
      <c r="F382" s="38">
        <f>MAX(E382,_xlfn.CEILING.MATH(ROUNDUP(E382*C382*((1-10%)*(1-2%)*(1-1%)),20)))*D382</f>
        <v>3188010</v>
      </c>
      <c r="G382" s="15">
        <f t="shared" si="139"/>
        <v>133</v>
      </c>
      <c r="J382" t="str">
        <f>A392</f>
        <v>Hypersynaptic Fibers</v>
      </c>
      <c r="K382" s="3">
        <f>G392</f>
        <v>432</v>
      </c>
      <c r="L382" s="3">
        <v>0</v>
      </c>
      <c r="M382" s="6">
        <f>((K382*'Ship Component Reqs'!$D$32)-L382)</f>
        <v>432</v>
      </c>
      <c r="N382" s="4">
        <f>D392</f>
        <v>6173</v>
      </c>
      <c r="O382" s="13">
        <f t="shared" si="137"/>
        <v>2666736</v>
      </c>
      <c r="P382" t="s">
        <v>167</v>
      </c>
    </row>
    <row r="383" spans="1:16" x14ac:dyDescent="0.25">
      <c r="E383" s="1" t="str">
        <f>A379</f>
        <v>Sustained Shield Emitter</v>
      </c>
      <c r="F383" s="4">
        <f>SUM(F380:F382)*1.03</f>
        <v>4083625.4470000002</v>
      </c>
      <c r="J383" t="str">
        <f>A396</f>
        <v>Fullerides</v>
      </c>
      <c r="K383" s="3">
        <f>G396</f>
        <v>4880</v>
      </c>
      <c r="L383" s="3">
        <v>0</v>
      </c>
      <c r="M383" s="6">
        <f>((K383*'Ship Component Reqs'!$D$32)-L383)</f>
        <v>4880</v>
      </c>
      <c r="N383">
        <f>D396</f>
        <v>579.4</v>
      </c>
      <c r="O383" s="13">
        <f t="shared" si="137"/>
        <v>2827472</v>
      </c>
      <c r="P383" t="s">
        <v>167</v>
      </c>
    </row>
    <row r="384" spans="1:16" ht="17.25" x14ac:dyDescent="0.4">
      <c r="A384" t="s">
        <v>155</v>
      </c>
      <c r="J384" t="str">
        <f>A398</f>
        <v>Nonlinear MetaMaterials</v>
      </c>
      <c r="K384" s="3">
        <f>G398+G402</f>
        <v>2911</v>
      </c>
      <c r="L384" s="3">
        <v>0</v>
      </c>
      <c r="M384" s="6">
        <f>((K384*'Ship Component Reqs'!$D$32)-L384)</f>
        <v>2911</v>
      </c>
      <c r="N384">
        <f>D398</f>
        <v>11570</v>
      </c>
      <c r="O384" s="11">
        <f>IF(M384&lt;0,0,M384*N384)</f>
        <v>33680270</v>
      </c>
    </row>
    <row r="385" spans="1:15" x14ac:dyDescent="0.25">
      <c r="A385" t="s">
        <v>163</v>
      </c>
      <c r="C385">
        <v>13</v>
      </c>
      <c r="D385" s="37">
        <f>D376</f>
        <v>167.9</v>
      </c>
      <c r="E385">
        <f>E311+E348</f>
        <v>218</v>
      </c>
      <c r="F385" s="12">
        <f t="shared" ref="F385:F386" si="140">MAX(E385,_xlfn.CEILING.MATH(ROUNDUP(E385*C385*((1-10%)*(1-2%)*(1-1%)),20)))*D385</f>
        <v>415552.5</v>
      </c>
      <c r="G385" s="15">
        <f t="shared" ref="G385:G387" si="141">MAX(E385,_xlfn.CEILING.MATH(ROUNDUP(E385*C385*((1-10%)*(1-2%)*(1-1%)),20)))</f>
        <v>2475</v>
      </c>
      <c r="K385" s="10"/>
      <c r="O385" s="4">
        <f>SUM(O376:O384)</f>
        <v>125544881.59999999</v>
      </c>
    </row>
    <row r="386" spans="1:15" x14ac:dyDescent="0.25">
      <c r="A386" t="s">
        <v>10</v>
      </c>
      <c r="C386">
        <v>3</v>
      </c>
      <c r="D386" s="22">
        <f>D349</f>
        <v>1484</v>
      </c>
      <c r="E386">
        <f>E385</f>
        <v>218</v>
      </c>
      <c r="F386" s="12">
        <f t="shared" si="140"/>
        <v>848848</v>
      </c>
      <c r="G386" s="15">
        <f t="shared" si="141"/>
        <v>572</v>
      </c>
    </row>
    <row r="387" spans="1:15" ht="17.25" x14ac:dyDescent="0.4">
      <c r="A387" t="s">
        <v>11</v>
      </c>
      <c r="C387">
        <v>1</v>
      </c>
      <c r="D387" s="22">
        <f>D350</f>
        <v>23970</v>
      </c>
      <c r="E387">
        <f>E385</f>
        <v>218</v>
      </c>
      <c r="F387" s="38">
        <f>MAX(E387,_xlfn.CEILING.MATH(ROUNDUP(E387*C387*((1-10%)*(1-2%)*(1-1%)),20)))*D387</f>
        <v>5225460</v>
      </c>
      <c r="G387" s="15">
        <f t="shared" si="141"/>
        <v>218</v>
      </c>
    </row>
    <row r="388" spans="1:15" x14ac:dyDescent="0.25">
      <c r="E388" s="1" t="str">
        <f>A384</f>
        <v>Magpulse Thruster</v>
      </c>
      <c r="F388" s="4">
        <f>SUM(F385:F387)</f>
        <v>6489860.5</v>
      </c>
    </row>
    <row r="389" spans="1:15" x14ac:dyDescent="0.25">
      <c r="A389" t="s">
        <v>156</v>
      </c>
    </row>
    <row r="390" spans="1:15" x14ac:dyDescent="0.25">
      <c r="A390" t="s">
        <v>163</v>
      </c>
      <c r="C390">
        <v>22</v>
      </c>
      <c r="D390" s="2">
        <f>D385</f>
        <v>167.9</v>
      </c>
      <c r="E390">
        <f>E316+E353</f>
        <v>247</v>
      </c>
      <c r="F390" s="12">
        <f t="shared" ref="F390:F391" si="142">MAX(E390,_xlfn.CEILING.MATH(ROUNDUP(E390*C390*((1-10%)*(1-2%)*(1-1%)),20)))*D390</f>
        <v>796685.5</v>
      </c>
      <c r="G390" s="15">
        <f t="shared" ref="G390:G392" si="143">MAX(E390,_xlfn.CEILING.MATH(ROUNDUP(E390*C390*((1-10%)*(1-2%)*(1-1%)),20)))</f>
        <v>4745</v>
      </c>
    </row>
    <row r="391" spans="1:15" x14ac:dyDescent="0.25">
      <c r="A391" t="s">
        <v>14</v>
      </c>
      <c r="C391">
        <v>1</v>
      </c>
      <c r="D391" s="2">
        <f>D366</f>
        <v>3902</v>
      </c>
      <c r="E391">
        <f>E390</f>
        <v>247</v>
      </c>
      <c r="F391" s="12">
        <f t="shared" si="142"/>
        <v>963794</v>
      </c>
      <c r="G391" s="15">
        <f t="shared" si="143"/>
        <v>247</v>
      </c>
    </row>
    <row r="392" spans="1:15" ht="17.25" x14ac:dyDescent="0.4">
      <c r="A392" t="s">
        <v>15</v>
      </c>
      <c r="C392">
        <v>2</v>
      </c>
      <c r="D392" s="22">
        <f>D355</f>
        <v>6173</v>
      </c>
      <c r="E392">
        <f>E390</f>
        <v>247</v>
      </c>
      <c r="F392" s="38">
        <f>MAX(E392,_xlfn.CEILING.MATH(ROUNDUP(E392*C392*((1-10%)*(1-2%)*(1-1%)),20)))*D392</f>
        <v>2666736</v>
      </c>
      <c r="G392" s="15">
        <f t="shared" si="143"/>
        <v>432</v>
      </c>
    </row>
    <row r="393" spans="1:15" x14ac:dyDescent="0.25">
      <c r="E393" s="1" t="str">
        <f>A389</f>
        <v>Gravimetric Sensor Cluster</v>
      </c>
      <c r="F393" s="4">
        <f>SUM(F390:F392)*1.03</f>
        <v>4560031.9649999999</v>
      </c>
      <c r="G393" s="15"/>
    </row>
    <row r="394" spans="1:15" x14ac:dyDescent="0.25">
      <c r="A394" t="s">
        <v>157</v>
      </c>
    </row>
    <row r="395" spans="1:15" x14ac:dyDescent="0.25">
      <c r="A395" t="s">
        <v>163</v>
      </c>
      <c r="C395">
        <v>27</v>
      </c>
      <c r="D395" s="2">
        <f>D390</f>
        <v>167.9</v>
      </c>
      <c r="E395">
        <f>E321+E358</f>
        <v>508</v>
      </c>
      <c r="F395" s="12">
        <f t="shared" ref="F395:F397" si="144">MAX(E395,_xlfn.CEILING.MATH(ROUNDUP(E395*C395*((1-10%)*(1-2%)*(1-1%)),20)))*D395</f>
        <v>2010938.3</v>
      </c>
      <c r="G395" s="15">
        <f t="shared" ref="G395:G398" si="145">MAX(E395,_xlfn.CEILING.MATH(ROUNDUP(E395*C395*((1-10%)*(1-2%)*(1-1%)),20)))</f>
        <v>11977</v>
      </c>
    </row>
    <row r="396" spans="1:15" x14ac:dyDescent="0.25">
      <c r="A396" t="s">
        <v>16</v>
      </c>
      <c r="C396">
        <v>11</v>
      </c>
      <c r="D396" s="2">
        <f>D359</f>
        <v>579.4</v>
      </c>
      <c r="E396">
        <f>E395</f>
        <v>508</v>
      </c>
      <c r="F396" s="12">
        <f t="shared" si="144"/>
        <v>2827472</v>
      </c>
      <c r="G396" s="15">
        <f t="shared" si="145"/>
        <v>4880</v>
      </c>
    </row>
    <row r="397" spans="1:15" x14ac:dyDescent="0.25">
      <c r="A397" t="s">
        <v>164</v>
      </c>
      <c r="C397">
        <v>1</v>
      </c>
      <c r="D397" s="2">
        <f>D391</f>
        <v>3902</v>
      </c>
      <c r="E397">
        <f>E395</f>
        <v>508</v>
      </c>
      <c r="F397" s="12">
        <f t="shared" si="144"/>
        <v>1982216</v>
      </c>
      <c r="G397" s="15">
        <f t="shared" si="145"/>
        <v>508</v>
      </c>
    </row>
    <row r="398" spans="1:15" ht="17.25" x14ac:dyDescent="0.4">
      <c r="A398" t="s">
        <v>165</v>
      </c>
      <c r="C398">
        <v>2</v>
      </c>
      <c r="D398" s="22">
        <f>D361</f>
        <v>11570</v>
      </c>
      <c r="E398">
        <f>E395</f>
        <v>508</v>
      </c>
      <c r="F398" s="38">
        <f>MAX(E398,_xlfn.CEILING.MATH(ROUNDUP(E398*C398*((1-10%)*(1-2%)*(1-1%)),20)))*D398</f>
        <v>10274160</v>
      </c>
      <c r="G398" s="15">
        <f t="shared" si="145"/>
        <v>888</v>
      </c>
    </row>
    <row r="399" spans="1:15" x14ac:dyDescent="0.25">
      <c r="E399" s="1" t="str">
        <f>A394</f>
        <v>Scalar Capacitor Unit</v>
      </c>
      <c r="F399" s="4">
        <f>SUM(F395:F398)*1.03</f>
        <v>17607629.889000002</v>
      </c>
    </row>
    <row r="400" spans="1:15" x14ac:dyDescent="0.25">
      <c r="A400" t="s">
        <v>158</v>
      </c>
    </row>
    <row r="401" spans="1:13" x14ac:dyDescent="0.25">
      <c r="A401" t="s">
        <v>163</v>
      </c>
      <c r="C401">
        <v>17</v>
      </c>
      <c r="D401" s="2">
        <f>D395</f>
        <v>167.9</v>
      </c>
      <c r="E401">
        <f>E327+E364</f>
        <v>1158</v>
      </c>
      <c r="F401" s="12">
        <f t="shared" ref="F401:F403" si="146">MAX(E401,_xlfn.CEILING.MATH(ROUNDUP(E401*C401*((1-10%)*(1-2%)*(1-1%)),20)))*D401</f>
        <v>2886201</v>
      </c>
      <c r="G401" s="15">
        <f t="shared" ref="G401:G404" si="147">MAX(E401,_xlfn.CEILING.MATH(ROUNDUP(E401*C401*((1-10%)*(1-2%)*(1-1%)),20)))</f>
        <v>17190</v>
      </c>
    </row>
    <row r="402" spans="1:13" x14ac:dyDescent="0.25">
      <c r="A402" t="s">
        <v>165</v>
      </c>
      <c r="C402">
        <v>2</v>
      </c>
      <c r="D402" s="2">
        <f>D398</f>
        <v>11570</v>
      </c>
      <c r="E402">
        <f>E401</f>
        <v>1158</v>
      </c>
      <c r="F402" s="12">
        <f t="shared" si="146"/>
        <v>23406110</v>
      </c>
      <c r="G402" s="15">
        <f t="shared" si="147"/>
        <v>2023</v>
      </c>
    </row>
    <row r="403" spans="1:13" x14ac:dyDescent="0.25">
      <c r="A403" t="s">
        <v>164</v>
      </c>
      <c r="C403">
        <v>2</v>
      </c>
      <c r="D403" s="22">
        <f>D397</f>
        <v>3902</v>
      </c>
      <c r="E403">
        <f>E401</f>
        <v>1158</v>
      </c>
      <c r="F403" s="12">
        <f t="shared" si="146"/>
        <v>7893746</v>
      </c>
      <c r="G403" s="15">
        <f t="shared" si="147"/>
        <v>2023</v>
      </c>
    </row>
    <row r="404" spans="1:13" ht="17.25" x14ac:dyDescent="0.4">
      <c r="A404" t="s">
        <v>10</v>
      </c>
      <c r="C404">
        <v>6</v>
      </c>
      <c r="D404" s="22">
        <f>D386</f>
        <v>1484</v>
      </c>
      <c r="E404">
        <f>E401</f>
        <v>1158</v>
      </c>
      <c r="F404" s="38">
        <f>MAX(E404,_xlfn.CEILING.MATH(ROUNDUP(E404*C404*((1-10%)*(1-2%)*(1-1%)),20)))*D404</f>
        <v>9003428</v>
      </c>
      <c r="G404" s="15">
        <f t="shared" si="147"/>
        <v>6067</v>
      </c>
    </row>
    <row r="405" spans="1:13" x14ac:dyDescent="0.25">
      <c r="E405" s="1" t="str">
        <f>A400</f>
        <v>Quantum Microprocessor</v>
      </c>
      <c r="F405" s="4">
        <f>SUM(F401:F404)*1.03</f>
        <v>44485169.550000004</v>
      </c>
    </row>
    <row r="406" spans="1:13" x14ac:dyDescent="0.25">
      <c r="A406" t="s">
        <v>159</v>
      </c>
    </row>
    <row r="407" spans="1:13" x14ac:dyDescent="0.25">
      <c r="A407" t="s">
        <v>163</v>
      </c>
      <c r="C407">
        <v>44</v>
      </c>
      <c r="D407" s="2">
        <f>D401</f>
        <v>167.9</v>
      </c>
      <c r="E407">
        <f>E333+E370</f>
        <v>4772</v>
      </c>
      <c r="F407" s="12">
        <f>MAX(E407,_xlfn.CEILING.MATH(ROUNDUP(E407*C407*((1-10%)*(1-2%)*(1-1%)),20)))*D407</f>
        <v>30782786</v>
      </c>
      <c r="G407" s="15">
        <f>MAX(E407,_xlfn.CEILING.MATH(ROUNDUP(E407*C407*((1-10%)*(1-2%)*(1-1%)),20)))</f>
        <v>183340</v>
      </c>
    </row>
    <row r="408" spans="1:13" ht="17.25" x14ac:dyDescent="0.4">
      <c r="A408" t="s">
        <v>12</v>
      </c>
      <c r="C408">
        <v>11</v>
      </c>
      <c r="D408" s="2">
        <f>D381</f>
        <v>332.4</v>
      </c>
      <c r="E408">
        <f>E407</f>
        <v>4772</v>
      </c>
      <c r="F408" s="38">
        <f>MAX(E408,_xlfn.CEILING.MATH(ROUNDUP(E408*C408*((1-10%)*(1-2%)*(1-1%)),20)))*D408</f>
        <v>15235553.999999998</v>
      </c>
      <c r="G408" s="15">
        <f t="shared" ref="G408" si="148">MAX(E408,_xlfn.CEILING.MATH(ROUNDUP(E408*C408*((1-10%)*(1-2%)*(1-1%)),20)))</f>
        <v>45835</v>
      </c>
    </row>
    <row r="409" spans="1:13" x14ac:dyDescent="0.25">
      <c r="E409" s="1" t="str">
        <f>A406</f>
        <v>Titanium Diborite Armor Plate</v>
      </c>
      <c r="F409" s="4">
        <f>SUM(F407:F408)*1.03</f>
        <v>47398890.200000003</v>
      </c>
      <c r="G409" s="4"/>
    </row>
    <row r="410" spans="1:13" s="17" customFormat="1" x14ac:dyDescent="0.25">
      <c r="D410" s="30"/>
      <c r="E410" s="55"/>
      <c r="F410" s="54"/>
      <c r="K410" s="18"/>
      <c r="L410" s="18"/>
      <c r="M410" s="18"/>
    </row>
    <row r="411" spans="1:13" x14ac:dyDescent="0.25">
      <c r="A411" t="str">
        <f>Pricing!I45</f>
        <v>Covert Ops Cloaking Device II</v>
      </c>
      <c r="E411" s="1"/>
      <c r="F411" s="4"/>
    </row>
    <row r="412" spans="1:13" x14ac:dyDescent="0.25">
      <c r="A412" t="str">
        <f>'BP Tech 2 Manufacture Nonship'!A19</f>
        <v>Graviton Pulse Generator</v>
      </c>
      <c r="E412" s="1"/>
      <c r="F412" s="4"/>
    </row>
    <row r="413" spans="1:13" x14ac:dyDescent="0.25">
      <c r="A413" t="str">
        <f>A401</f>
        <v>Titanium Carbide</v>
      </c>
      <c r="C413">
        <v>22</v>
      </c>
      <c r="D413" s="2">
        <f>D395</f>
        <v>167.9</v>
      </c>
      <c r="E413">
        <f>'BP Tech 2 Manufacture Nonship'!F19</f>
        <v>75</v>
      </c>
      <c r="F413" s="12">
        <f t="shared" ref="F413:F415" si="149">MAX(E413,_xlfn.CEILING.MATH(ROUNDUP(E413*C413*((1-10%)*(1-1%)),20)))*D413</f>
        <v>246980.9</v>
      </c>
      <c r="G413" s="15">
        <f>MAX(E413,_xlfn.CEILING.MATH(ROUNDUP(E413*C413*((1-10%)*(1-2%)*(1-1%)),20)))</f>
        <v>1441</v>
      </c>
    </row>
    <row r="414" spans="1:13" x14ac:dyDescent="0.25">
      <c r="A414" t="str">
        <f>A403</f>
        <v>Nanotransistors</v>
      </c>
      <c r="C414">
        <v>2</v>
      </c>
      <c r="D414" s="2">
        <f>D397</f>
        <v>3902</v>
      </c>
      <c r="E414">
        <f>E413</f>
        <v>75</v>
      </c>
      <c r="F414" s="12">
        <f t="shared" si="149"/>
        <v>522868</v>
      </c>
      <c r="G414" s="15">
        <f t="shared" ref="G414:G415" si="150">MAX(E414,_xlfn.CEILING.MATH(ROUNDUP(E414*C414*((1-10%)*(1-2%)*(1-1%)),20)))</f>
        <v>131</v>
      </c>
    </row>
    <row r="415" spans="1:13" x14ac:dyDescent="0.25">
      <c r="A415" t="str">
        <f>A404</f>
        <v>Phenolic Composites</v>
      </c>
      <c r="C415">
        <v>7</v>
      </c>
      <c r="D415" s="2">
        <f>D404</f>
        <v>1484</v>
      </c>
      <c r="E415">
        <f>E413</f>
        <v>75</v>
      </c>
      <c r="F415" s="58">
        <f t="shared" si="149"/>
        <v>694512</v>
      </c>
      <c r="G415" s="15">
        <f t="shared" si="150"/>
        <v>459</v>
      </c>
    </row>
    <row r="416" spans="1:13" x14ac:dyDescent="0.25">
      <c r="E416" s="1" t="str">
        <f>A412</f>
        <v>Graviton Pulse Generator</v>
      </c>
      <c r="F416" s="4">
        <f>SUM(F413:F415)*1.03</f>
        <v>1508291.727</v>
      </c>
    </row>
    <row r="417" spans="1:7" x14ac:dyDescent="0.25">
      <c r="A417" t="str">
        <f>'BP Tech 2 Manufacture Nonship'!H20</f>
        <v>Photon Microprocessor</v>
      </c>
      <c r="E417" s="1"/>
      <c r="F417" s="4"/>
      <c r="G417" s="15">
        <f t="shared" ref="G417:G421" si="151">MAX(E417,_xlfn.CEILING.MATH(ROUNDUP(E417*C417*((1-10%)*(1-2%)*(1-1%)),20)))</f>
        <v>0</v>
      </c>
    </row>
    <row r="418" spans="1:7" x14ac:dyDescent="0.25">
      <c r="A418" t="str">
        <f>A514</f>
        <v>Crystalline Carbonide</v>
      </c>
      <c r="C418">
        <v>17</v>
      </c>
      <c r="D418" s="2">
        <f>D514</f>
        <v>159.1</v>
      </c>
      <c r="E418">
        <f>'BP Tech 2 Manufacture Nonship'!F20</f>
        <v>96</v>
      </c>
      <c r="F418" s="12">
        <f t="shared" ref="F418:F421" si="152">MAX(E418,_xlfn.CEILING.MATH(ROUNDUP(E418*C418*((1-10%)*(1-1%)),20)))*D418</f>
        <v>231490.5</v>
      </c>
      <c r="G418" s="15">
        <f t="shared" si="151"/>
        <v>1426</v>
      </c>
    </row>
    <row r="419" spans="1:7" x14ac:dyDescent="0.25">
      <c r="A419" t="str">
        <f>A535</f>
        <v>Photonic Metamaterials</v>
      </c>
      <c r="C419">
        <v>2</v>
      </c>
      <c r="D419" s="2">
        <f>D535</f>
        <v>9919</v>
      </c>
      <c r="E419">
        <f>E418</f>
        <v>96</v>
      </c>
      <c r="F419" s="12">
        <f t="shared" si="152"/>
        <v>1706068</v>
      </c>
      <c r="G419" s="15">
        <f t="shared" si="151"/>
        <v>168</v>
      </c>
    </row>
    <row r="420" spans="1:7" x14ac:dyDescent="0.25">
      <c r="A420" t="str">
        <f>A415</f>
        <v>Phenolic Composites</v>
      </c>
      <c r="C420">
        <v>6</v>
      </c>
      <c r="D420" s="2">
        <f>D415</f>
        <v>1484</v>
      </c>
      <c r="E420">
        <f>E418</f>
        <v>96</v>
      </c>
      <c r="F420" s="12">
        <f t="shared" si="152"/>
        <v>762776</v>
      </c>
      <c r="G420" s="15">
        <f t="shared" si="151"/>
        <v>503</v>
      </c>
    </row>
    <row r="421" spans="1:7" x14ac:dyDescent="0.25">
      <c r="A421" t="str">
        <f>A414</f>
        <v>Nanotransistors</v>
      </c>
      <c r="C421">
        <v>2</v>
      </c>
      <c r="D421" s="2">
        <f>D414</f>
        <v>3902</v>
      </c>
      <c r="E421">
        <f>E418</f>
        <v>96</v>
      </c>
      <c r="F421" s="58">
        <f t="shared" si="152"/>
        <v>671144</v>
      </c>
      <c r="G421" s="15">
        <f t="shared" si="151"/>
        <v>168</v>
      </c>
    </row>
    <row r="422" spans="1:7" x14ac:dyDescent="0.25">
      <c r="E422" s="1" t="str">
        <f>A417</f>
        <v>Photon Microprocessor</v>
      </c>
      <c r="F422" s="4">
        <f>SUM(F418:F421)*1.03</f>
        <v>3472622.855</v>
      </c>
      <c r="G422" s="15"/>
    </row>
    <row r="423" spans="1:7" x14ac:dyDescent="0.25">
      <c r="A423" t="str">
        <f>'BP Tech 2 Manufacture Nonship'!A21</f>
        <v>ProtoType cloaking Device I</v>
      </c>
      <c r="E423" s="1"/>
      <c r="F423" s="4"/>
      <c r="G423" s="15"/>
    </row>
    <row r="424" spans="1:7" x14ac:dyDescent="0.25">
      <c r="A424" t="str">
        <f>Pricing!A54</f>
        <v>Transmitter</v>
      </c>
      <c r="C424">
        <v>5</v>
      </c>
      <c r="D424" s="2">
        <f>'BP Tech 2 Manufacture Nonship'!I16</f>
        <v>7700</v>
      </c>
      <c r="E424">
        <f>'BP Tech 2 Manufacture Nonship'!F21</f>
        <v>3</v>
      </c>
      <c r="F424" s="12">
        <f t="shared" ref="F424:F426" si="153">MAX(E424,_xlfn.CEILING.MATH(ROUNDUP(E424*C424*((1-10%)*(1-1%)),20)))*D424</f>
        <v>107800</v>
      </c>
      <c r="G424" s="15">
        <f t="shared" ref="G424:G435" si="154">MAX(E424,_xlfn.CEILING.MATH(ROUNDUP(E424*C424*((1-10%)*(1-2%)*(1-1%)),20)))</f>
        <v>14</v>
      </c>
    </row>
    <row r="425" spans="1:7" x14ac:dyDescent="0.25">
      <c r="A425" t="str">
        <f>Pricing!A55</f>
        <v>Miniature Electronics</v>
      </c>
      <c r="C425">
        <v>6</v>
      </c>
      <c r="D425" s="2">
        <f>'BP Tech 2 Manufacture Nonship'!I17</f>
        <v>9490</v>
      </c>
      <c r="E425">
        <f>E424</f>
        <v>3</v>
      </c>
      <c r="F425" s="12">
        <f t="shared" si="153"/>
        <v>161330</v>
      </c>
      <c r="G425" s="15">
        <f t="shared" si="154"/>
        <v>16</v>
      </c>
    </row>
    <row r="426" spans="1:7" x14ac:dyDescent="0.25">
      <c r="A426" t="str">
        <f>Pricing!A56</f>
        <v>Supercomputers</v>
      </c>
      <c r="C426">
        <v>2</v>
      </c>
      <c r="D426" s="2">
        <f>Pricing!B56</f>
        <v>75460</v>
      </c>
      <c r="E426">
        <f>E424</f>
        <v>3</v>
      </c>
      <c r="F426" s="12">
        <f t="shared" si="153"/>
        <v>452760</v>
      </c>
      <c r="G426" s="15">
        <f t="shared" si="154"/>
        <v>6</v>
      </c>
    </row>
    <row r="427" spans="1:7" x14ac:dyDescent="0.25">
      <c r="A427" t="str">
        <f>Pricing!A57</f>
        <v>Hermetic Membranes</v>
      </c>
      <c r="C427">
        <v>3</v>
      </c>
      <c r="D427" s="2">
        <f>Pricing!B57</f>
        <v>78990</v>
      </c>
      <c r="E427">
        <f>E424</f>
        <v>3</v>
      </c>
      <c r="F427" s="12">
        <f>MAX(E427,_xlfn.CEILING.MATH(ROUNDUP(E427*C427*((1-10%)*(1-1%)),20)))*D427</f>
        <v>710910</v>
      </c>
      <c r="G427" s="15">
        <f t="shared" si="154"/>
        <v>8</v>
      </c>
    </row>
    <row r="428" spans="1:7" x14ac:dyDescent="0.25">
      <c r="A428" t="str" cm="1">
        <f t="array" ref="A428:A435">Pricing!I2:I9</f>
        <v>Tritanium</v>
      </c>
      <c r="C428">
        <v>16253</v>
      </c>
      <c r="D428" s="2" cm="1">
        <f t="array" ref="D428:D435">Pricing!J2:J9</f>
        <v>4.57</v>
      </c>
      <c r="E428">
        <f t="shared" ref="E428:E435" si="155">E425</f>
        <v>3</v>
      </c>
      <c r="F428" s="12">
        <f t="shared" ref="F428:F435" si="156">MAX(E428,_xlfn.CEILING.MATH(ROUNDUP(E428*C428*((1-10%)*(1-1%)),20)))*D428</f>
        <v>198543.65000000002</v>
      </c>
      <c r="G428" s="15">
        <f t="shared" si="154"/>
        <v>42576</v>
      </c>
    </row>
    <row r="429" spans="1:7" x14ac:dyDescent="0.25">
      <c r="A429" t="str">
        <v>Pyerite</v>
      </c>
      <c r="C429">
        <v>6353</v>
      </c>
      <c r="D429" s="2">
        <v>18.010000000000002</v>
      </c>
      <c r="E429">
        <f t="shared" si="155"/>
        <v>3</v>
      </c>
      <c r="F429" s="12">
        <f t="shared" si="156"/>
        <v>305845.82</v>
      </c>
      <c r="G429" s="15">
        <f t="shared" si="154"/>
        <v>16642</v>
      </c>
    </row>
    <row r="430" spans="1:7" x14ac:dyDescent="0.25">
      <c r="A430" t="str">
        <v>Mexallon</v>
      </c>
      <c r="C430">
        <v>778</v>
      </c>
      <c r="D430" s="2">
        <v>63.36</v>
      </c>
      <c r="E430">
        <f t="shared" si="155"/>
        <v>3</v>
      </c>
      <c r="F430" s="12">
        <f t="shared" si="156"/>
        <v>131788.79999999999</v>
      </c>
      <c r="G430" s="15">
        <f t="shared" si="154"/>
        <v>2039</v>
      </c>
    </row>
    <row r="431" spans="1:7" x14ac:dyDescent="0.25">
      <c r="A431" t="str">
        <v>Isogen</v>
      </c>
      <c r="C431">
        <v>460</v>
      </c>
      <c r="D431" s="2">
        <v>55.98</v>
      </c>
      <c r="E431">
        <f t="shared" si="155"/>
        <v>3</v>
      </c>
      <c r="F431" s="12">
        <f t="shared" si="156"/>
        <v>68855.399999999994</v>
      </c>
      <c r="G431" s="15">
        <f t="shared" si="154"/>
        <v>1205</v>
      </c>
    </row>
    <row r="432" spans="1:7" x14ac:dyDescent="0.25">
      <c r="A432" t="str">
        <v>Nocxium</v>
      </c>
      <c r="C432">
        <v>171</v>
      </c>
      <c r="D432" s="2">
        <v>1341</v>
      </c>
      <c r="E432">
        <f t="shared" si="155"/>
        <v>3</v>
      </c>
      <c r="F432" s="12">
        <f t="shared" si="156"/>
        <v>614178</v>
      </c>
      <c r="G432" s="15">
        <f t="shared" si="154"/>
        <v>448</v>
      </c>
    </row>
    <row r="433" spans="1:16" x14ac:dyDescent="0.25">
      <c r="A433" t="str">
        <v>Megacyte</v>
      </c>
      <c r="C433">
        <v>134</v>
      </c>
      <c r="D433" s="2">
        <v>598</v>
      </c>
      <c r="E433">
        <f t="shared" si="155"/>
        <v>3</v>
      </c>
      <c r="F433" s="12">
        <f t="shared" si="156"/>
        <v>214682</v>
      </c>
      <c r="G433" s="15">
        <f t="shared" si="154"/>
        <v>352</v>
      </c>
    </row>
    <row r="434" spans="1:16" x14ac:dyDescent="0.25">
      <c r="A434" t="str">
        <v>Zydrine</v>
      </c>
      <c r="C434">
        <v>34</v>
      </c>
      <c r="D434" s="2">
        <v>868.3</v>
      </c>
      <c r="E434">
        <f t="shared" si="155"/>
        <v>3</v>
      </c>
      <c r="F434" s="12">
        <f t="shared" si="156"/>
        <v>79015.3</v>
      </c>
      <c r="G434" s="15">
        <f t="shared" si="154"/>
        <v>90</v>
      </c>
    </row>
    <row r="435" spans="1:16" x14ac:dyDescent="0.25">
      <c r="A435" t="str">
        <v>Morphite</v>
      </c>
      <c r="C435">
        <v>11</v>
      </c>
      <c r="D435" s="2">
        <v>41900</v>
      </c>
      <c r="E435">
        <f t="shared" si="155"/>
        <v>3</v>
      </c>
      <c r="F435" s="58">
        <f t="shared" si="156"/>
        <v>1257000</v>
      </c>
      <c r="G435" s="15">
        <f t="shared" si="154"/>
        <v>29</v>
      </c>
    </row>
    <row r="436" spans="1:16" x14ac:dyDescent="0.25">
      <c r="E436" s="1" t="str">
        <f>A423</f>
        <v>ProtoType cloaking Device I</v>
      </c>
      <c r="F436" s="4">
        <f>SUM(F424:F435)</f>
        <v>4302708.97</v>
      </c>
    </row>
    <row r="437" spans="1:16" s="17" customFormat="1" x14ac:dyDescent="0.25">
      <c r="D437" s="30"/>
      <c r="K437" s="18"/>
      <c r="L437" s="18"/>
      <c r="M437" s="18"/>
    </row>
    <row r="438" spans="1:16" x14ac:dyDescent="0.25">
      <c r="A438" t="s">
        <v>185</v>
      </c>
      <c r="G438" s="15"/>
    </row>
    <row r="439" spans="1:16" x14ac:dyDescent="0.25">
      <c r="A439" t="s">
        <v>175</v>
      </c>
      <c r="D439" s="2" t="s">
        <v>21</v>
      </c>
      <c r="E439" t="s">
        <v>19</v>
      </c>
      <c r="G439" s="15"/>
      <c r="J439" t="s">
        <v>25</v>
      </c>
      <c r="K439" s="3" t="s">
        <v>30</v>
      </c>
      <c r="L439" s="3" t="s">
        <v>27</v>
      </c>
      <c r="M439" s="3" t="s">
        <v>35</v>
      </c>
      <c r="N439" t="s">
        <v>26</v>
      </c>
      <c r="O439" s="3" t="s">
        <v>34</v>
      </c>
    </row>
    <row r="440" spans="1:16" x14ac:dyDescent="0.25">
      <c r="A440" t="s">
        <v>183</v>
      </c>
      <c r="C440">
        <v>13</v>
      </c>
      <c r="D440" s="22">
        <f>Pricing!F15</f>
        <v>144</v>
      </c>
      <c r="E440">
        <f>IF('Ship Component Reqs'!F137&lt;0,0,'Ship Component Reqs'!F137)</f>
        <v>116</v>
      </c>
      <c r="F440" s="12">
        <f>MAX(E440,_xlfn.CEILING.MATH(ROUNDUP(E440*C440*((1-10%)*(1-2%)*(1-1%)),20)))*D440</f>
        <v>189648</v>
      </c>
      <c r="G440" s="15">
        <f>MAX(E440,_xlfn.CEILING.MATH(ROUNDUP(E440*C440*((1-10%)*(1-2%)*(1-1%)),20)))</f>
        <v>1317</v>
      </c>
      <c r="J440" t="str">
        <f>A440</f>
        <v>Fernite Carbide</v>
      </c>
      <c r="K440" s="3">
        <f>G440+G444+G449+G454+G459+G465+G471</f>
        <v>1834</v>
      </c>
      <c r="L440" s="3">
        <v>0</v>
      </c>
      <c r="M440" s="6">
        <f>((K440*'Ship Component Reqs'!$D$32)-L440)</f>
        <v>1834</v>
      </c>
      <c r="N440">
        <f>D440</f>
        <v>144</v>
      </c>
      <c r="O440" s="13">
        <f>IF(M440&lt;0,0,M440*N440)</f>
        <v>264096</v>
      </c>
      <c r="P440" t="s">
        <v>167</v>
      </c>
    </row>
    <row r="441" spans="1:16" x14ac:dyDescent="0.25">
      <c r="A441" t="s">
        <v>10</v>
      </c>
      <c r="C441">
        <v>3</v>
      </c>
      <c r="D441" s="22">
        <f>D237</f>
        <v>1484</v>
      </c>
      <c r="E441">
        <f>E440</f>
        <v>116</v>
      </c>
      <c r="F441" s="12">
        <f>MAX(E441,_xlfn.CEILING.MATH(ROUNDUP(E441*C441*((1-10%)*(1-2%)*(1-1%)),20)))*D441</f>
        <v>451136</v>
      </c>
      <c r="G441" s="15">
        <f t="shared" ref="G441:G442" si="157">MAX(E441,_xlfn.CEILING.MATH(ROUNDUP(E441*C441*((1-10%)*(1-2%)*(1-1%)),20)))</f>
        <v>304</v>
      </c>
      <c r="J441" t="str">
        <f>A441</f>
        <v>Phenolic Composites</v>
      </c>
      <c r="K441" s="3">
        <f>G441+G446</f>
        <v>3930</v>
      </c>
      <c r="L441" s="3">
        <v>0</v>
      </c>
      <c r="M441" s="6">
        <f>((K441*'Ship Component Reqs'!$D$32)-L441)</f>
        <v>3930</v>
      </c>
      <c r="N441">
        <f>D441</f>
        <v>1484</v>
      </c>
      <c r="O441" s="13">
        <f t="shared" ref="O441:O447" si="158">IF(M441&lt;0,0,M441*N441)</f>
        <v>5832120</v>
      </c>
      <c r="P441" t="s">
        <v>167</v>
      </c>
    </row>
    <row r="442" spans="1:16" ht="17.25" x14ac:dyDescent="0.4">
      <c r="A442" t="s">
        <v>11</v>
      </c>
      <c r="C442">
        <v>1</v>
      </c>
      <c r="D442" s="22">
        <f>D233</f>
        <v>23970</v>
      </c>
      <c r="E442">
        <f>E441</f>
        <v>116</v>
      </c>
      <c r="F442" s="38">
        <f>MAX(E442,_xlfn.CEILING.MATH(ROUNDUP(E442*C442*((1-10%)*(1-2%)*(1-1%)),20)))*D442</f>
        <v>2780520</v>
      </c>
      <c r="G442" s="15">
        <f t="shared" si="157"/>
        <v>116</v>
      </c>
      <c r="J442" t="str">
        <f>A442</f>
        <v>Ferrogel</v>
      </c>
      <c r="K442" s="3">
        <f>G442+G462</f>
        <v>189</v>
      </c>
      <c r="L442" s="3">
        <v>0</v>
      </c>
      <c r="M442" s="6">
        <f>((K442*'Ship Component Reqs'!$D$32)-L442)</f>
        <v>189</v>
      </c>
      <c r="N442" s="4">
        <f>D445</f>
        <v>144</v>
      </c>
      <c r="O442" s="13">
        <f t="shared" si="158"/>
        <v>27216</v>
      </c>
      <c r="P442" t="s">
        <v>167</v>
      </c>
    </row>
    <row r="443" spans="1:16" x14ac:dyDescent="0.25">
      <c r="E443" s="1" t="str">
        <f>A439</f>
        <v>Plasma Thruster</v>
      </c>
      <c r="F443" s="4">
        <f>SUM(F440:F442)*1.03</f>
        <v>3523943.12</v>
      </c>
      <c r="J443" t="str">
        <f>A447</f>
        <v>Nanotransistors</v>
      </c>
      <c r="K443" s="3">
        <f>G447+G456+G471</f>
        <v>1643</v>
      </c>
      <c r="L443" s="3">
        <v>0</v>
      </c>
      <c r="M443" s="6">
        <f>((K443*'Ship Component Reqs'!$D$32)-L443)</f>
        <v>1643</v>
      </c>
      <c r="N443" s="4">
        <f>D446</f>
        <v>332.4</v>
      </c>
      <c r="O443" s="13">
        <f t="shared" si="158"/>
        <v>546133.19999999995</v>
      </c>
      <c r="P443" t="s">
        <v>167</v>
      </c>
    </row>
    <row r="444" spans="1:16" x14ac:dyDescent="0.25">
      <c r="A444" t="s">
        <v>176</v>
      </c>
      <c r="G444" s="15"/>
      <c r="J444" t="str">
        <f>A448</f>
        <v>Plasmonic MetaMaterials</v>
      </c>
      <c r="K444" s="3">
        <f>G448+G472</f>
        <v>1714</v>
      </c>
      <c r="L444" s="3">
        <v>0</v>
      </c>
      <c r="M444" s="6">
        <f>((K444*'Ship Component Reqs'!$D$32)-L444)</f>
        <v>1714</v>
      </c>
      <c r="N444">
        <f>D450</f>
        <v>0</v>
      </c>
      <c r="O444" s="13">
        <f t="shared" si="158"/>
        <v>0</v>
      </c>
      <c r="P444" t="s">
        <v>167</v>
      </c>
    </row>
    <row r="445" spans="1:16" x14ac:dyDescent="0.25">
      <c r="A445" t="s">
        <v>183</v>
      </c>
      <c r="C445">
        <v>17</v>
      </c>
      <c r="D445" s="37">
        <f>D440</f>
        <v>144</v>
      </c>
      <c r="E445">
        <f>IF('Ship Component Reqs'!F138&lt;0,0,'Ship Component Reqs'!F138)</f>
        <v>692</v>
      </c>
      <c r="F445" s="12">
        <f t="shared" ref="F445:F447" si="159">MAX(E445,_xlfn.CEILING.MATH(ROUNDUP(E445*C445*((1-10%)*(1-2%)*(1-1%)),20)))*D445</f>
        <v>1479312</v>
      </c>
      <c r="G445" s="15">
        <f t="shared" ref="G445:G448" si="160">MAX(E445,_xlfn.CEILING.MATH(ROUNDUP(E445*C445*((1-10%)*(1-2%)*(1-1%)),20)))</f>
        <v>10273</v>
      </c>
      <c r="J445" t="str">
        <f>A452</f>
        <v>Sylramic Fibers</v>
      </c>
      <c r="K445" s="3">
        <f>G452+G461</f>
        <v>28246</v>
      </c>
      <c r="L445" s="3">
        <v>0</v>
      </c>
      <c r="M445" s="6">
        <f>((K445*'Ship Component Reqs'!$D$32)-L445)</f>
        <v>28246</v>
      </c>
      <c r="N445" s="4">
        <f>D455</f>
        <v>144</v>
      </c>
      <c r="O445" s="13">
        <f t="shared" si="158"/>
        <v>4067424</v>
      </c>
      <c r="P445" t="s">
        <v>167</v>
      </c>
    </row>
    <row r="446" spans="1:16" x14ac:dyDescent="0.25">
      <c r="A446" t="s">
        <v>10</v>
      </c>
      <c r="C446">
        <v>6</v>
      </c>
      <c r="D446" s="37">
        <f>D232</f>
        <v>332.4</v>
      </c>
      <c r="E446">
        <f>E445</f>
        <v>692</v>
      </c>
      <c r="F446" s="12">
        <f t="shared" si="159"/>
        <v>1205282.3999999999</v>
      </c>
      <c r="G446" s="15">
        <f t="shared" si="160"/>
        <v>3626</v>
      </c>
      <c r="J446" t="str">
        <f>A457</f>
        <v>Hypersynaptic Fibers</v>
      </c>
      <c r="K446" s="3">
        <f>G457</f>
        <v>254</v>
      </c>
      <c r="L446" s="3">
        <v>0</v>
      </c>
      <c r="M446" s="6">
        <f>((K446*'Ship Component Reqs'!$D$32)-L446)</f>
        <v>254</v>
      </c>
      <c r="N446" s="4">
        <f>D456</f>
        <v>3902</v>
      </c>
      <c r="O446" s="13">
        <f t="shared" si="158"/>
        <v>991108</v>
      </c>
      <c r="P446" t="s">
        <v>167</v>
      </c>
    </row>
    <row r="447" spans="1:16" x14ac:dyDescent="0.25">
      <c r="A447" t="s">
        <v>164</v>
      </c>
      <c r="C447">
        <v>2</v>
      </c>
      <c r="D447" s="22">
        <f>D248</f>
        <v>3902</v>
      </c>
      <c r="E447">
        <f>E445</f>
        <v>692</v>
      </c>
      <c r="F447" s="12">
        <f t="shared" si="159"/>
        <v>4717518</v>
      </c>
      <c r="G447" s="15">
        <f t="shared" si="160"/>
        <v>1209</v>
      </c>
      <c r="J447" t="str">
        <f>A466</f>
        <v>Fermionic Condensates</v>
      </c>
      <c r="K447" s="3">
        <f>G466</f>
        <v>51</v>
      </c>
      <c r="L447" s="3">
        <v>0</v>
      </c>
      <c r="M447" s="6">
        <f>((K447*'Ship Component Reqs'!$D$32)-L447)</f>
        <v>51</v>
      </c>
      <c r="N447">
        <f>D460</f>
        <v>144</v>
      </c>
      <c r="O447" s="13">
        <f t="shared" si="158"/>
        <v>7344</v>
      </c>
      <c r="P447" t="s">
        <v>167</v>
      </c>
    </row>
    <row r="448" spans="1:16" ht="17.25" x14ac:dyDescent="0.4">
      <c r="A448" t="s">
        <v>184</v>
      </c>
      <c r="C448">
        <v>2</v>
      </c>
      <c r="D448" s="22">
        <f>Pricing!F17</f>
        <v>13250</v>
      </c>
      <c r="E448">
        <f>E446</f>
        <v>692</v>
      </c>
      <c r="F448" s="38">
        <f>MAX(E448,_xlfn.CEILING.MATH(ROUNDUP(E448*C448*((1-10%)*(1-2%)*(1-1%)),20)))*D448</f>
        <v>16019250</v>
      </c>
      <c r="G448" s="15">
        <f t="shared" si="160"/>
        <v>1209</v>
      </c>
      <c r="J448" t="str">
        <f>A470</f>
        <v>Fullerides</v>
      </c>
      <c r="K448" s="3">
        <f>G470</f>
        <v>2776</v>
      </c>
      <c r="L448" s="3">
        <v>0</v>
      </c>
      <c r="M448" s="6">
        <f>((K448*'Ship Component Reqs'!$D$32)-L448)</f>
        <v>2776</v>
      </c>
      <c r="N448">
        <f>D462</f>
        <v>23970</v>
      </c>
      <c r="O448" s="11">
        <f>IF(M448&lt;0,0,M448*N448)</f>
        <v>66540720</v>
      </c>
    </row>
    <row r="449" spans="1:15" x14ac:dyDescent="0.25">
      <c r="E449" s="1" t="str">
        <f>A444</f>
        <v>Nanomechanical Microprocessor</v>
      </c>
      <c r="F449" s="4">
        <f>SUM(F445:F448)*1.03</f>
        <v>24124003.272</v>
      </c>
      <c r="G449" s="15"/>
      <c r="K449" s="10"/>
      <c r="O449" s="4">
        <f>SUM(O440:O448)</f>
        <v>78276161.200000003</v>
      </c>
    </row>
    <row r="450" spans="1:15" ht="17.25" x14ac:dyDescent="0.4">
      <c r="A450" t="s">
        <v>177</v>
      </c>
      <c r="G450" s="15"/>
      <c r="M450" s="6"/>
      <c r="O450" s="11"/>
    </row>
    <row r="451" spans="1:15" x14ac:dyDescent="0.25">
      <c r="A451" t="s">
        <v>183</v>
      </c>
      <c r="C451">
        <v>44</v>
      </c>
      <c r="D451" s="37">
        <f>D440</f>
        <v>144</v>
      </c>
      <c r="E451">
        <f>IF('Ship Component Reqs'!F139&lt;0,0,'Ship Component Reqs'!F139)</f>
        <v>2881</v>
      </c>
      <c r="F451" s="12">
        <f>MAX(E451,_xlfn.CEILING.MATH(ROUNDUP(E451*C451*((1-10%)*(1-2%)*(1-1%)),20)))*D451</f>
        <v>15939072</v>
      </c>
      <c r="G451" s="15">
        <f t="shared" ref="G451:G452" si="161">MAX(E451,_xlfn.CEILING.MATH(ROUNDUP(E451*C451*((1-10%)*(1-2%)*(1-1%)),20)))</f>
        <v>110688</v>
      </c>
      <c r="K451" s="10"/>
      <c r="O451" s="4"/>
    </row>
    <row r="452" spans="1:15" ht="17.25" x14ac:dyDescent="0.4">
      <c r="A452" t="s">
        <v>12</v>
      </c>
      <c r="C452">
        <v>11</v>
      </c>
      <c r="D452" s="22">
        <f>D237</f>
        <v>1484</v>
      </c>
      <c r="E452">
        <f>E451</f>
        <v>2881</v>
      </c>
      <c r="F452" s="38">
        <f>MAX(E452,_xlfn.CEILING.MATH(ROUNDUP(E452*C452*((1-10%)*(1-2%)*(1-1%)),20)))*D452</f>
        <v>41065248</v>
      </c>
      <c r="G452" s="15">
        <f t="shared" si="161"/>
        <v>27672</v>
      </c>
    </row>
    <row r="453" spans="1:15" x14ac:dyDescent="0.25">
      <c r="E453" s="1" t="str">
        <f>A450</f>
        <v>Fernite Carbide Composite AP</v>
      </c>
      <c r="F453" s="4">
        <f>SUM(F451:F452)*1.03</f>
        <v>58714449.600000001</v>
      </c>
    </row>
    <row r="454" spans="1:15" x14ac:dyDescent="0.25">
      <c r="A454" t="s">
        <v>178</v>
      </c>
      <c r="G454" s="15">
        <f t="shared" ref="G454:G457" si="162">MAX(E454,_xlfn.CEILING.MATH(ROUNDUP(E454*C454*((1-10%)*(1-2%)*(1-1%)),20)))</f>
        <v>0</v>
      </c>
    </row>
    <row r="455" spans="1:15" x14ac:dyDescent="0.25">
      <c r="A455" t="s">
        <v>183</v>
      </c>
      <c r="C455">
        <v>22</v>
      </c>
      <c r="D455" s="2">
        <f>D451</f>
        <v>144</v>
      </c>
      <c r="E455">
        <f>IF('Ship Component Reqs'!F140&lt;0,0,'Ship Component Reqs'!F140)</f>
        <v>145</v>
      </c>
      <c r="F455" s="12">
        <f t="shared" ref="F455:F456" si="163">MAX(E455,_xlfn.CEILING.MATH(ROUNDUP(E455*C455*((1-10%)*(1-2%)*(1-1%)),20)))*D455</f>
        <v>401184</v>
      </c>
      <c r="G455" s="15">
        <f t="shared" si="162"/>
        <v>2786</v>
      </c>
    </row>
    <row r="456" spans="1:15" x14ac:dyDescent="0.25">
      <c r="A456" t="s">
        <v>164</v>
      </c>
      <c r="C456">
        <v>1</v>
      </c>
      <c r="D456" s="2">
        <f>D447</f>
        <v>3902</v>
      </c>
      <c r="E456">
        <f>E455</f>
        <v>145</v>
      </c>
      <c r="F456" s="12">
        <f t="shared" si="163"/>
        <v>565790</v>
      </c>
      <c r="G456" s="15">
        <f t="shared" si="162"/>
        <v>145</v>
      </c>
    </row>
    <row r="457" spans="1:15" ht="17.25" x14ac:dyDescent="0.4">
      <c r="A457" t="s">
        <v>15</v>
      </c>
      <c r="C457">
        <v>2</v>
      </c>
      <c r="D457" s="22">
        <f>D243</f>
        <v>6173</v>
      </c>
      <c r="E457">
        <f>E455</f>
        <v>145</v>
      </c>
      <c r="F457" s="38">
        <f>MAX(E457,_xlfn.CEILING.MATH(ROUNDUP(E457*C457*((1-10%)*(1-2%)*(1-1%)),20)))*D457</f>
        <v>1567942</v>
      </c>
      <c r="G457" s="15">
        <f t="shared" si="162"/>
        <v>254</v>
      </c>
    </row>
    <row r="458" spans="1:15" x14ac:dyDescent="0.25">
      <c r="E458" s="1" t="str">
        <f>A454</f>
        <v>Ladar Sensor Cluster</v>
      </c>
      <c r="F458" s="4">
        <f>SUM(F455:F457)*1.03</f>
        <v>2610963.48</v>
      </c>
    </row>
    <row r="459" spans="1:15" x14ac:dyDescent="0.25">
      <c r="A459" t="s">
        <v>179</v>
      </c>
      <c r="G459" s="15">
        <f t="shared" ref="G459:G462" si="164">MAX(E459,_xlfn.CEILING.MATH(ROUNDUP(E459*C459*((1-10%)*(1-2%)*(1-1%)),20)))</f>
        <v>0</v>
      </c>
    </row>
    <row r="460" spans="1:15" x14ac:dyDescent="0.25">
      <c r="A460" t="s">
        <v>183</v>
      </c>
      <c r="C460">
        <v>22</v>
      </c>
      <c r="D460" s="2">
        <f>D455</f>
        <v>144</v>
      </c>
      <c r="E460">
        <f>IF('Ship Component Reqs'!F141&lt;0,0,'Ship Component Reqs'!F141)</f>
        <v>73</v>
      </c>
      <c r="F460" s="12">
        <f t="shared" ref="F460:F461" si="165">MAX(E460,_xlfn.CEILING.MATH(ROUNDUP(E460*C460*((1-10%)*(1-2%)*(1-1%)),20)))*D460</f>
        <v>202032</v>
      </c>
      <c r="G460" s="15">
        <f t="shared" si="164"/>
        <v>1403</v>
      </c>
    </row>
    <row r="461" spans="1:15" x14ac:dyDescent="0.25">
      <c r="A461" t="s">
        <v>12</v>
      </c>
      <c r="C461">
        <v>9</v>
      </c>
      <c r="D461" s="2">
        <f>D452</f>
        <v>1484</v>
      </c>
      <c r="E461">
        <f>E460</f>
        <v>73</v>
      </c>
      <c r="F461" s="12">
        <f t="shared" si="165"/>
        <v>851816</v>
      </c>
      <c r="G461" s="15">
        <f t="shared" si="164"/>
        <v>574</v>
      </c>
    </row>
    <row r="462" spans="1:15" ht="17.25" x14ac:dyDescent="0.4">
      <c r="A462" t="s">
        <v>11</v>
      </c>
      <c r="C462">
        <v>1</v>
      </c>
      <c r="D462" s="2">
        <f>D442</f>
        <v>23970</v>
      </c>
      <c r="E462">
        <f>E460</f>
        <v>73</v>
      </c>
      <c r="F462" s="38">
        <f>MAX(E462,_xlfn.CEILING.MATH(ROUNDUP(E462*C462*((1-10%)*(1-2%)*(1-1%)),20)))*D462</f>
        <v>1749810</v>
      </c>
      <c r="G462" s="15">
        <f t="shared" si="164"/>
        <v>73</v>
      </c>
    </row>
    <row r="463" spans="1:15" x14ac:dyDescent="0.25">
      <c r="E463" s="1" t="str">
        <f>A459</f>
        <v>Deflection Shield Emitter</v>
      </c>
      <c r="F463" s="4">
        <f>SUM(F460:F462)*1.03</f>
        <v>2887767.74</v>
      </c>
    </row>
    <row r="464" spans="1:15" x14ac:dyDescent="0.25">
      <c r="A464" t="s">
        <v>180</v>
      </c>
    </row>
    <row r="465" spans="1:16" x14ac:dyDescent="0.25">
      <c r="A465" t="s">
        <v>183</v>
      </c>
      <c r="C465">
        <v>9</v>
      </c>
      <c r="D465" s="2">
        <f>D460</f>
        <v>144</v>
      </c>
      <c r="E465">
        <f>IF('Ship Component Reqs'!F142&lt;0,0,'Ship Component Reqs'!F142)</f>
        <v>29</v>
      </c>
      <c r="F465" s="12">
        <f>MAX(E465,_xlfn.CEILING.MATH(ROUNDUP(E465*C465*((1-10%)*(1-2%)*(1-1%)),20)))*D465</f>
        <v>32832</v>
      </c>
      <c r="G465" s="15">
        <f t="shared" ref="G465:G466" si="166">MAX(E465,_xlfn.CEILING.MATH(ROUNDUP(E465*C465*((1-10%)*(1-2%)*(1-1%)),20)))</f>
        <v>228</v>
      </c>
    </row>
    <row r="466" spans="1:16" ht="17.25" x14ac:dyDescent="0.4">
      <c r="A466" t="s">
        <v>9</v>
      </c>
      <c r="C466">
        <v>2</v>
      </c>
      <c r="D466" s="22">
        <f>D228</f>
        <v>49950</v>
      </c>
      <c r="E466">
        <f>E465</f>
        <v>29</v>
      </c>
      <c r="F466" s="38">
        <f>MAX(E466,_xlfn.CEILING.MATH(ROUNDUP(E466*C466*((1-10%)*(1-2%)*(1-1%)),20)))*D466</f>
        <v>2547450</v>
      </c>
      <c r="G466" s="15">
        <f t="shared" si="166"/>
        <v>51</v>
      </c>
    </row>
    <row r="467" spans="1:16" x14ac:dyDescent="0.25">
      <c r="E467" s="1" t="str">
        <f>A464</f>
        <v>Nuclear Reactor Unit</v>
      </c>
      <c r="F467" s="4">
        <f>SUM(F465:F466)*1.03</f>
        <v>2657690.46</v>
      </c>
      <c r="G467" s="15"/>
    </row>
    <row r="468" spans="1:16" x14ac:dyDescent="0.25">
      <c r="A468" t="s">
        <v>181</v>
      </c>
      <c r="G468" s="15"/>
    </row>
    <row r="469" spans="1:16" x14ac:dyDescent="0.25">
      <c r="A469" t="s">
        <v>183</v>
      </c>
      <c r="C469">
        <v>27</v>
      </c>
      <c r="D469" s="2">
        <f>D440</f>
        <v>144</v>
      </c>
      <c r="E469">
        <f>IF('Ship Component Reqs'!F143&lt;0,0,'Ship Component Reqs'!F143)</f>
        <v>289</v>
      </c>
      <c r="F469" s="12">
        <f t="shared" ref="F469:F471" si="167">MAX(E469,_xlfn.CEILING.MATH(ROUNDUP(E469*C469*((1-10%)*(1-2%)*(1-1%)),20)))*D469</f>
        <v>981216</v>
      </c>
      <c r="G469" s="15">
        <f t="shared" ref="G469:G472" si="168">MAX(E469,_xlfn.CEILING.MATH(ROUNDUP(E469*C469*((1-10%)*(1-2%)*(1-1%)),20)))</f>
        <v>6814</v>
      </c>
    </row>
    <row r="470" spans="1:16" x14ac:dyDescent="0.25">
      <c r="A470" t="s">
        <v>16</v>
      </c>
      <c r="C470">
        <v>11</v>
      </c>
      <c r="D470" s="2">
        <f>D247</f>
        <v>579.4</v>
      </c>
      <c r="E470">
        <f>E469</f>
        <v>289</v>
      </c>
      <c r="F470" s="12">
        <f t="shared" si="167"/>
        <v>1608414.4</v>
      </c>
      <c r="G470" s="15">
        <f t="shared" si="168"/>
        <v>2776</v>
      </c>
    </row>
    <row r="471" spans="1:16" x14ac:dyDescent="0.25">
      <c r="A471" t="s">
        <v>164</v>
      </c>
      <c r="C471">
        <v>1</v>
      </c>
      <c r="D471" s="2">
        <f>D456</f>
        <v>3902</v>
      </c>
      <c r="E471">
        <f>E470</f>
        <v>289</v>
      </c>
      <c r="F471" s="12">
        <f t="shared" si="167"/>
        <v>1127678</v>
      </c>
      <c r="G471" s="15">
        <f t="shared" si="168"/>
        <v>289</v>
      </c>
    </row>
    <row r="472" spans="1:16" ht="17.25" x14ac:dyDescent="0.4">
      <c r="A472" t="s">
        <v>184</v>
      </c>
      <c r="C472">
        <v>2</v>
      </c>
      <c r="D472" s="2">
        <f>D448</f>
        <v>13250</v>
      </c>
      <c r="E472">
        <f>E469</f>
        <v>289</v>
      </c>
      <c r="F472" s="38">
        <f>MAX(E472,_xlfn.CEILING.MATH(ROUNDUP(E472*C472*((1-10%)*(1-2%)*(1-1%)),20)))*D472</f>
        <v>6691250</v>
      </c>
      <c r="G472" s="15">
        <f t="shared" si="168"/>
        <v>505</v>
      </c>
    </row>
    <row r="473" spans="1:16" x14ac:dyDescent="0.25">
      <c r="E473" s="1" t="str">
        <f>A468</f>
        <v>Electrolytic Capacitor Unit</v>
      </c>
      <c r="F473" s="4">
        <f>SUM(F469:F472)*1.03</f>
        <v>10720815.152000001</v>
      </c>
    </row>
    <row r="474" spans="1:16" s="17" customFormat="1" x14ac:dyDescent="0.25">
      <c r="D474" s="30"/>
      <c r="E474" s="55"/>
      <c r="F474" s="54"/>
      <c r="K474" s="18"/>
      <c r="L474" s="18"/>
      <c r="M474" s="18"/>
    </row>
    <row r="475" spans="1:16" x14ac:dyDescent="0.25">
      <c r="A475" t="s">
        <v>302</v>
      </c>
    </row>
    <row r="476" spans="1:16" x14ac:dyDescent="0.25">
      <c r="A476" t="s">
        <v>175</v>
      </c>
      <c r="D476" s="2" t="s">
        <v>21</v>
      </c>
      <c r="E476" t="s">
        <v>19</v>
      </c>
      <c r="J476" t="s">
        <v>25</v>
      </c>
      <c r="K476" s="3" t="s">
        <v>30</v>
      </c>
      <c r="L476" s="3" t="s">
        <v>27</v>
      </c>
      <c r="M476" s="3" t="s">
        <v>35</v>
      </c>
      <c r="N476" t="s">
        <v>26</v>
      </c>
      <c r="O476" s="3" t="s">
        <v>34</v>
      </c>
    </row>
    <row r="477" spans="1:16" x14ac:dyDescent="0.25">
      <c r="A477" t="s">
        <v>183</v>
      </c>
      <c r="C477">
        <v>13</v>
      </c>
      <c r="D477" s="22">
        <f>D440</f>
        <v>144</v>
      </c>
      <c r="E477">
        <f>'Ship Component Reqs'!F152</f>
        <v>108</v>
      </c>
      <c r="F477" s="12">
        <f>MAX(E477,_xlfn.CEILING.MATH(ROUNDUP(E477*C477*((1-10%)*(1-2%)*(1-1%)),20)))*D477</f>
        <v>176544</v>
      </c>
      <c r="G477" s="15">
        <f t="shared" ref="G477:G485" si="169">MAX(E477,_xlfn.CEILING.MATH(ROUNDUP(E477*C477*((1-10%)*(1-2%)*(1-1%)),20)))</f>
        <v>1226</v>
      </c>
      <c r="J477" t="str">
        <f>A477</f>
        <v>Fernite Carbide</v>
      </c>
      <c r="K477" s="3">
        <f>G477+G481+G486+G491+G496+G502+G508</f>
        <v>27942</v>
      </c>
      <c r="L477" s="3">
        <v>0</v>
      </c>
      <c r="M477" s="6">
        <f>((K477*'Ship Component Reqs'!$D$32)-L477)</f>
        <v>27942</v>
      </c>
      <c r="N477">
        <f>D477</f>
        <v>144</v>
      </c>
      <c r="O477" s="13">
        <f>IF(M477&lt;0,0,M477*N477)</f>
        <v>4023648</v>
      </c>
      <c r="P477" t="s">
        <v>167</v>
      </c>
    </row>
    <row r="478" spans="1:16" x14ac:dyDescent="0.25">
      <c r="A478" t="s">
        <v>10</v>
      </c>
      <c r="C478">
        <v>3</v>
      </c>
      <c r="D478" s="22">
        <f>D441</f>
        <v>1484</v>
      </c>
      <c r="E478">
        <f>E477</f>
        <v>108</v>
      </c>
      <c r="F478" s="12">
        <f>MAX(E478,_xlfn.CEILING.MATH(ROUNDUP(E478*C478*((1-10%)*(1-2%)*(1-1%)),20)))*D478</f>
        <v>419972</v>
      </c>
      <c r="G478" s="15">
        <f t="shared" si="169"/>
        <v>283</v>
      </c>
      <c r="J478" t="str">
        <f>A478</f>
        <v>Phenolic Composites</v>
      </c>
      <c r="K478" s="3">
        <f>G478+G483</f>
        <v>5753</v>
      </c>
      <c r="L478" s="3">
        <v>0</v>
      </c>
      <c r="M478" s="6">
        <f>((K478*'Ship Component Reqs'!$D$32)-L478)</f>
        <v>5753</v>
      </c>
      <c r="N478">
        <f>D478</f>
        <v>1484</v>
      </c>
      <c r="O478" s="13">
        <f t="shared" ref="O478:O484" si="170">IF(M478&lt;0,0,M478*N478)</f>
        <v>8537452</v>
      </c>
      <c r="P478" t="s">
        <v>167</v>
      </c>
    </row>
    <row r="479" spans="1:16" ht="17.25" x14ac:dyDescent="0.4">
      <c r="A479" t="s">
        <v>11</v>
      </c>
      <c r="C479">
        <v>1</v>
      </c>
      <c r="D479" s="22">
        <f>D442</f>
        <v>23970</v>
      </c>
      <c r="E479">
        <f>E478</f>
        <v>108</v>
      </c>
      <c r="F479" s="38">
        <f>MAX(E479,_xlfn.CEILING.MATH(ROUNDUP(E479*C479*((1-10%)*(1-2%)*(1-1%)),20)))*D479</f>
        <v>2588760</v>
      </c>
      <c r="G479" s="15">
        <f t="shared" si="169"/>
        <v>108</v>
      </c>
      <c r="J479" t="str">
        <f>A479</f>
        <v>Ferrogel</v>
      </c>
      <c r="K479" s="3">
        <f>G479+G499</f>
        <v>2466</v>
      </c>
      <c r="L479" s="3">
        <v>0</v>
      </c>
      <c r="M479" s="6">
        <f>((K479*'Ship Component Reqs'!$D$32)-L479)</f>
        <v>2466</v>
      </c>
      <c r="N479" s="4">
        <f>D482</f>
        <v>144</v>
      </c>
      <c r="O479" s="13">
        <f t="shared" si="170"/>
        <v>355104</v>
      </c>
      <c r="P479" t="s">
        <v>167</v>
      </c>
    </row>
    <row r="480" spans="1:16" x14ac:dyDescent="0.25">
      <c r="E480" s="1" t="str">
        <f>A476</f>
        <v>Plasma Thruster</v>
      </c>
      <c r="F480" s="4">
        <f>SUM(F477:F479)*1.03</f>
        <v>3280834.2800000003</v>
      </c>
      <c r="G480" s="15"/>
      <c r="J480" t="str">
        <f>A484</f>
        <v>Nanotransistors</v>
      </c>
      <c r="K480" s="3">
        <f>G484+G493+G508</f>
        <v>17907</v>
      </c>
      <c r="L480" s="3">
        <v>0</v>
      </c>
      <c r="M480" s="6">
        <f>((K480*'Ship Component Reqs'!$D$32)-L480)</f>
        <v>17907</v>
      </c>
      <c r="N480" s="4">
        <f>D483</f>
        <v>332.4</v>
      </c>
      <c r="O480" s="13">
        <f t="shared" si="170"/>
        <v>5952286.7999999998</v>
      </c>
      <c r="P480" t="s">
        <v>167</v>
      </c>
    </row>
    <row r="481" spans="1:16" x14ac:dyDescent="0.25">
      <c r="A481" t="s">
        <v>176</v>
      </c>
      <c r="J481" t="str">
        <f>A485</f>
        <v>Plasmonic MetaMaterials</v>
      </c>
      <c r="K481" s="3">
        <f>G485+G509</f>
        <v>19946</v>
      </c>
      <c r="L481" s="3">
        <v>0</v>
      </c>
      <c r="M481" s="6">
        <f>((K481*'Ship Component Reqs'!$D$32)-L481)</f>
        <v>19946</v>
      </c>
      <c r="N481">
        <f>D487</f>
        <v>0</v>
      </c>
      <c r="O481" s="13">
        <f t="shared" si="170"/>
        <v>0</v>
      </c>
      <c r="P481" t="s">
        <v>167</v>
      </c>
    </row>
    <row r="482" spans="1:16" x14ac:dyDescent="0.25">
      <c r="A482" t="s">
        <v>183</v>
      </c>
      <c r="C482">
        <v>17</v>
      </c>
      <c r="D482" s="37">
        <f>D477</f>
        <v>144</v>
      </c>
      <c r="E482">
        <f>'Ship Component Reqs'!F153</f>
        <v>1044</v>
      </c>
      <c r="F482" s="12">
        <f t="shared" ref="F482:F484" si="171">MAX(E482,_xlfn.CEILING.MATH(ROUNDUP(E482*C482*((1-10%)*(1-2%)*(1-1%)),20)))*D482</f>
        <v>2231712</v>
      </c>
      <c r="G482" s="15">
        <f t="shared" si="169"/>
        <v>15498</v>
      </c>
      <c r="J482" t="str">
        <f>A489</f>
        <v>Sylramic Fibers</v>
      </c>
      <c r="K482" s="3">
        <f>G489+G498</f>
        <v>23545</v>
      </c>
      <c r="L482" s="3">
        <v>0</v>
      </c>
      <c r="M482" s="6">
        <f>((K482*'Ship Component Reqs'!$D$32)-L482)</f>
        <v>23545</v>
      </c>
      <c r="N482" s="4">
        <f>D492</f>
        <v>144</v>
      </c>
      <c r="O482" s="13">
        <f t="shared" si="170"/>
        <v>3390480</v>
      </c>
      <c r="P482" t="s">
        <v>167</v>
      </c>
    </row>
    <row r="483" spans="1:16" x14ac:dyDescent="0.25">
      <c r="A483" t="s">
        <v>10</v>
      </c>
      <c r="C483">
        <v>6</v>
      </c>
      <c r="D483" s="37">
        <f>D307</f>
        <v>332.4</v>
      </c>
      <c r="E483">
        <f>E482</f>
        <v>1044</v>
      </c>
      <c r="F483" s="12">
        <f t="shared" si="171"/>
        <v>1818227.9999999998</v>
      </c>
      <c r="G483" s="15">
        <f t="shared" si="169"/>
        <v>5470</v>
      </c>
      <c r="J483" t="str">
        <f>A494</f>
        <v>Hypersynaptic Fibers</v>
      </c>
      <c r="K483" s="3">
        <f>G494</f>
        <v>9965</v>
      </c>
      <c r="L483" s="3">
        <v>0</v>
      </c>
      <c r="M483" s="6">
        <f>((K483*'Ship Component Reqs'!$D$32)-L483)</f>
        <v>9965</v>
      </c>
      <c r="N483" s="4">
        <f>D493</f>
        <v>3902</v>
      </c>
      <c r="O483" s="13">
        <f t="shared" si="170"/>
        <v>38883430</v>
      </c>
      <c r="P483" t="s">
        <v>167</v>
      </c>
    </row>
    <row r="484" spans="1:16" x14ac:dyDescent="0.25">
      <c r="A484" t="s">
        <v>164</v>
      </c>
      <c r="C484">
        <v>2</v>
      </c>
      <c r="D484" s="22">
        <f>D447</f>
        <v>3902</v>
      </c>
      <c r="E484">
        <f>E482</f>
        <v>1044</v>
      </c>
      <c r="F484" s="12">
        <f t="shared" si="171"/>
        <v>7117248</v>
      </c>
      <c r="G484" s="15">
        <f t="shared" si="169"/>
        <v>1824</v>
      </c>
      <c r="J484" t="str">
        <f>A503</f>
        <v>Fermionic Condensates</v>
      </c>
      <c r="K484" s="3">
        <f>G503</f>
        <v>3631</v>
      </c>
      <c r="L484" s="3">
        <v>0</v>
      </c>
      <c r="M484" s="6">
        <f>((K484*'Ship Component Reqs'!$D$32)-L484)</f>
        <v>3631</v>
      </c>
      <c r="N484">
        <f>D497</f>
        <v>144</v>
      </c>
      <c r="O484" s="13">
        <f t="shared" si="170"/>
        <v>522864</v>
      </c>
      <c r="P484" t="s">
        <v>167</v>
      </c>
    </row>
    <row r="485" spans="1:16" ht="17.25" x14ac:dyDescent="0.4">
      <c r="A485" t="s">
        <v>184</v>
      </c>
      <c r="C485">
        <v>2</v>
      </c>
      <c r="D485" s="22">
        <f>D448</f>
        <v>13250</v>
      </c>
      <c r="E485">
        <f>E483</f>
        <v>1044</v>
      </c>
      <c r="F485" s="38">
        <f>MAX(E485,_xlfn.CEILING.MATH(ROUNDUP(E485*C485*((1-10%)*(1-2%)*(1-1%)),20)))*D485</f>
        <v>24168000</v>
      </c>
      <c r="G485" s="15">
        <f t="shared" si="169"/>
        <v>1824</v>
      </c>
      <c r="J485" t="str">
        <f>A507</f>
        <v>Fullerides</v>
      </c>
      <c r="K485" s="3">
        <f>G507</f>
        <v>99671</v>
      </c>
      <c r="L485" s="3">
        <v>0</v>
      </c>
      <c r="M485" s="6">
        <f>((K485*'Ship Component Reqs'!$D$32)-L485)</f>
        <v>99671</v>
      </c>
      <c r="N485">
        <f>D499</f>
        <v>23970</v>
      </c>
      <c r="O485" s="11">
        <f>IF(M485&lt;0,0,M485*N485)</f>
        <v>2389113870</v>
      </c>
    </row>
    <row r="486" spans="1:16" x14ac:dyDescent="0.25">
      <c r="E486" s="1" t="str">
        <f>A481</f>
        <v>Nanomechanical Microprocessor</v>
      </c>
      <c r="F486" s="4">
        <f>SUM(F482:F485)*1.03</f>
        <v>36395243.640000001</v>
      </c>
      <c r="K486" s="10"/>
      <c r="O486" s="4">
        <f>SUM(O477:O485)</f>
        <v>2450779134.8000002</v>
      </c>
    </row>
    <row r="487" spans="1:16" ht="17.25" x14ac:dyDescent="0.4">
      <c r="A487" t="s">
        <v>177</v>
      </c>
      <c r="M487" s="6"/>
      <c r="O487" s="11"/>
    </row>
    <row r="488" spans="1:16" x14ac:dyDescent="0.25">
      <c r="A488" t="s">
        <v>183</v>
      </c>
      <c r="C488">
        <v>44</v>
      </c>
      <c r="D488" s="37">
        <f>D477</f>
        <v>144</v>
      </c>
      <c r="E488">
        <f>'Ship Component Reqs'!F154</f>
        <v>522</v>
      </c>
      <c r="F488" s="12">
        <f>MAX(E488,_xlfn.CEILING.MATH(ROUNDUP(E488*C488*((1-10%)*(1-2%)*(1-1%)),20)))*D488</f>
        <v>2888064</v>
      </c>
      <c r="G488" s="15">
        <f t="shared" ref="G488:G499" si="172">MAX(E488,_xlfn.CEILING.MATH(ROUNDUP(E488*C488*((1-10%)*(1-2%)*(1-1%)),20)))</f>
        <v>20056</v>
      </c>
      <c r="K488" s="10"/>
      <c r="O488" s="4"/>
    </row>
    <row r="489" spans="1:16" ht="17.25" x14ac:dyDescent="0.4">
      <c r="A489" t="s">
        <v>12</v>
      </c>
      <c r="C489">
        <v>11</v>
      </c>
      <c r="D489" s="22">
        <f>D452</f>
        <v>1484</v>
      </c>
      <c r="E489">
        <f>E488</f>
        <v>522</v>
      </c>
      <c r="F489" s="38">
        <f>MAX(E489,_xlfn.CEILING.MATH(ROUNDUP(E489*C489*((1-10%)*(1-2%)*(1-1%)),20)))*D489</f>
        <v>7440776</v>
      </c>
      <c r="G489" s="15">
        <f t="shared" si="172"/>
        <v>5014</v>
      </c>
    </row>
    <row r="490" spans="1:16" x14ac:dyDescent="0.25">
      <c r="E490" s="1" t="str">
        <f>A487</f>
        <v>Fernite Carbide Composite AP</v>
      </c>
      <c r="F490" s="4">
        <f>SUM(F488:F489)*1.03</f>
        <v>10638705.200000001</v>
      </c>
      <c r="G490" s="15"/>
    </row>
    <row r="491" spans="1:16" x14ac:dyDescent="0.25">
      <c r="A491" t="s">
        <v>178</v>
      </c>
      <c r="G491" s="15"/>
    </row>
    <row r="492" spans="1:16" x14ac:dyDescent="0.25">
      <c r="A492" t="s">
        <v>183</v>
      </c>
      <c r="C492">
        <v>22</v>
      </c>
      <c r="D492" s="2">
        <f>D488</f>
        <v>144</v>
      </c>
      <c r="E492">
        <f>'Ship Component Reqs'!F155</f>
        <v>5706</v>
      </c>
      <c r="F492" s="12">
        <f t="shared" ref="F492:F493" si="173">MAX(E492,_xlfn.CEILING.MATH(ROUNDUP(E492*C492*((1-10%)*(1-2%)*(1-1%)),20)))*D492</f>
        <v>15784272</v>
      </c>
      <c r="G492" s="15">
        <f t="shared" si="172"/>
        <v>109613</v>
      </c>
    </row>
    <row r="493" spans="1:16" x14ac:dyDescent="0.25">
      <c r="A493" t="s">
        <v>164</v>
      </c>
      <c r="C493">
        <v>1</v>
      </c>
      <c r="D493" s="2">
        <f>D484</f>
        <v>3902</v>
      </c>
      <c r="E493">
        <f>E492</f>
        <v>5706</v>
      </c>
      <c r="F493" s="12">
        <f t="shared" si="173"/>
        <v>22264812</v>
      </c>
      <c r="G493" s="15">
        <f t="shared" si="172"/>
        <v>5706</v>
      </c>
    </row>
    <row r="494" spans="1:16" ht="17.25" x14ac:dyDescent="0.4">
      <c r="A494" t="s">
        <v>15</v>
      </c>
      <c r="C494">
        <v>2</v>
      </c>
      <c r="D494" s="22">
        <f>D457</f>
        <v>6173</v>
      </c>
      <c r="E494">
        <f>E492</f>
        <v>5706</v>
      </c>
      <c r="F494" s="38">
        <f>MAX(E494,_xlfn.CEILING.MATH(ROUNDUP(E494*C494*((1-10%)*(1-2%)*(1-1%)),20)))*D494</f>
        <v>61513945</v>
      </c>
      <c r="G494" s="15">
        <f t="shared" si="172"/>
        <v>9965</v>
      </c>
    </row>
    <row r="495" spans="1:16" x14ac:dyDescent="0.25">
      <c r="E495" s="1" t="str">
        <f>A491</f>
        <v>Ladar Sensor Cluster</v>
      </c>
      <c r="F495" s="4">
        <f>SUM(F492:F494)*1.03</f>
        <v>102549919.87</v>
      </c>
      <c r="G495" s="15"/>
    </row>
    <row r="496" spans="1:16" x14ac:dyDescent="0.25">
      <c r="A496" t="s">
        <v>179</v>
      </c>
    </row>
    <row r="497" spans="1:13" x14ac:dyDescent="0.25">
      <c r="A497" t="s">
        <v>183</v>
      </c>
      <c r="C497">
        <v>22</v>
      </c>
      <c r="D497" s="2">
        <f>D492</f>
        <v>144</v>
      </c>
      <c r="E497">
        <f>'Ship Component Reqs'!F156</f>
        <v>2358</v>
      </c>
      <c r="F497" s="12">
        <f t="shared" ref="F497:F498" si="174">MAX(E497,_xlfn.CEILING.MATH(ROUNDUP(E497*C497*((1-10%)*(1-2%)*(1-1%)),20)))*D497</f>
        <v>6522912</v>
      </c>
      <c r="G497" s="15">
        <f t="shared" si="172"/>
        <v>45298</v>
      </c>
    </row>
    <row r="498" spans="1:13" x14ac:dyDescent="0.25">
      <c r="A498" t="s">
        <v>12</v>
      </c>
      <c r="C498">
        <v>9</v>
      </c>
      <c r="D498" s="2">
        <f>D489</f>
        <v>1484</v>
      </c>
      <c r="E498">
        <f>E497</f>
        <v>2358</v>
      </c>
      <c r="F498" s="12">
        <f t="shared" si="174"/>
        <v>27500004</v>
      </c>
      <c r="G498" s="15">
        <f t="shared" si="172"/>
        <v>18531</v>
      </c>
    </row>
    <row r="499" spans="1:13" ht="17.25" x14ac:dyDescent="0.4">
      <c r="A499" t="s">
        <v>11</v>
      </c>
      <c r="C499">
        <v>1</v>
      </c>
      <c r="D499" s="2">
        <f>D479</f>
        <v>23970</v>
      </c>
      <c r="E499">
        <f>E497</f>
        <v>2358</v>
      </c>
      <c r="F499" s="38">
        <f>MAX(E499,_xlfn.CEILING.MATH(ROUNDUP(E499*C499*((1-10%)*(1-2%)*(1-1%)),20)))*D499</f>
        <v>56521260</v>
      </c>
      <c r="G499" s="15">
        <f t="shared" si="172"/>
        <v>2358</v>
      </c>
    </row>
    <row r="500" spans="1:13" x14ac:dyDescent="0.25">
      <c r="E500" s="1" t="str">
        <f>A496</f>
        <v>Deflection Shield Emitter</v>
      </c>
      <c r="F500" s="4">
        <f>SUM(F497:F499)*1.03</f>
        <v>93260501.280000001</v>
      </c>
    </row>
    <row r="501" spans="1:13" x14ac:dyDescent="0.25">
      <c r="A501" t="s">
        <v>180</v>
      </c>
    </row>
    <row r="502" spans="1:13" x14ac:dyDescent="0.25">
      <c r="A502" t="s">
        <v>183</v>
      </c>
      <c r="C502">
        <v>9</v>
      </c>
      <c r="D502" s="2">
        <f>D497</f>
        <v>144</v>
      </c>
      <c r="E502">
        <f>'Ship Component Reqs'!F157</f>
        <v>2079</v>
      </c>
      <c r="F502" s="12">
        <f>MAX(E502,_xlfn.CEILING.MATH(ROUNDUP(E502*C502*((1-10%)*(1-2%)*(1-1%)),20)))*D502</f>
        <v>2352816</v>
      </c>
      <c r="G502" s="15">
        <f t="shared" ref="G502:G503" si="175">MAX(E502,_xlfn.CEILING.MATH(ROUNDUP(E502*C502*((1-10%)*(1-2%)*(1-1%)),20)))</f>
        <v>16339</v>
      </c>
    </row>
    <row r="503" spans="1:13" ht="17.25" x14ac:dyDescent="0.4">
      <c r="A503" t="s">
        <v>9</v>
      </c>
      <c r="C503">
        <v>2</v>
      </c>
      <c r="D503" s="22">
        <f>D466</f>
        <v>49950</v>
      </c>
      <c r="E503">
        <f>E502</f>
        <v>2079</v>
      </c>
      <c r="F503" s="38">
        <f>MAX(E503,_xlfn.CEILING.MATH(ROUNDUP(E503*C503*((1-10%)*(1-2%)*(1-1%)),20)))*D503</f>
        <v>181368450</v>
      </c>
      <c r="G503" s="15">
        <f t="shared" si="175"/>
        <v>3631</v>
      </c>
    </row>
    <row r="504" spans="1:13" x14ac:dyDescent="0.25">
      <c r="E504" s="1" t="str">
        <f>A501</f>
        <v>Nuclear Reactor Unit</v>
      </c>
      <c r="F504" s="4">
        <f>SUM(F502:F503)*1.03</f>
        <v>189232903.98000002</v>
      </c>
    </row>
    <row r="505" spans="1:13" x14ac:dyDescent="0.25">
      <c r="A505" t="s">
        <v>181</v>
      </c>
    </row>
    <row r="506" spans="1:13" x14ac:dyDescent="0.25">
      <c r="A506" t="s">
        <v>183</v>
      </c>
      <c r="C506">
        <v>27</v>
      </c>
      <c r="D506" s="2">
        <f>D477</f>
        <v>144</v>
      </c>
      <c r="E506">
        <f>'Ship Component Reqs'!F158</f>
        <v>10377</v>
      </c>
      <c r="F506" s="12">
        <f t="shared" ref="F506:F508" si="176">MAX(E506,_xlfn.CEILING.MATH(ROUNDUP(E506*C506*((1-10%)*(1-2%)*(1-1%)),20)))*D506</f>
        <v>35229168</v>
      </c>
      <c r="G506" s="15">
        <f t="shared" ref="G506:G509" si="177">MAX(E506,_xlfn.CEILING.MATH(ROUNDUP(E506*C506*((1-10%)*(1-2%)*(1-1%)),20)))</f>
        <v>244647</v>
      </c>
    </row>
    <row r="507" spans="1:13" x14ac:dyDescent="0.25">
      <c r="A507" t="s">
        <v>16</v>
      </c>
      <c r="C507">
        <v>11</v>
      </c>
      <c r="D507" s="2">
        <f>D322</f>
        <v>579.4</v>
      </c>
      <c r="E507">
        <f>E506</f>
        <v>10377</v>
      </c>
      <c r="F507" s="12">
        <f t="shared" si="176"/>
        <v>57749377.399999999</v>
      </c>
      <c r="G507" s="15">
        <f t="shared" si="177"/>
        <v>99671</v>
      </c>
    </row>
    <row r="508" spans="1:13" x14ac:dyDescent="0.25">
      <c r="A508" t="s">
        <v>164</v>
      </c>
      <c r="C508">
        <v>1</v>
      </c>
      <c r="D508" s="2">
        <f>D493</f>
        <v>3902</v>
      </c>
      <c r="E508">
        <f>E507</f>
        <v>10377</v>
      </c>
      <c r="F508" s="12">
        <f t="shared" si="176"/>
        <v>40491054</v>
      </c>
      <c r="G508" s="15">
        <f t="shared" si="177"/>
        <v>10377</v>
      </c>
    </row>
    <row r="509" spans="1:13" ht="17.25" x14ac:dyDescent="0.4">
      <c r="A509" t="s">
        <v>184</v>
      </c>
      <c r="C509">
        <v>2</v>
      </c>
      <c r="D509" s="2">
        <f>D485</f>
        <v>13250</v>
      </c>
      <c r="E509">
        <f>E506</f>
        <v>10377</v>
      </c>
      <c r="F509" s="38">
        <f>MAX(E509,_xlfn.CEILING.MATH(ROUNDUP(E509*C509*((1-10%)*(1-2%)*(1-1%)),20)))*D509</f>
        <v>240116500</v>
      </c>
      <c r="G509" s="15">
        <f t="shared" si="177"/>
        <v>18122</v>
      </c>
    </row>
    <row r="510" spans="1:13" x14ac:dyDescent="0.25">
      <c r="E510" s="1" t="str">
        <f>A505</f>
        <v>Electrolytic Capacitor Unit</v>
      </c>
      <c r="F510" s="4">
        <f>SUM(F506:F509)*1.03</f>
        <v>384793682.38199997</v>
      </c>
    </row>
    <row r="511" spans="1:13" s="17" customFormat="1" x14ac:dyDescent="0.25">
      <c r="D511" s="30"/>
      <c r="K511" s="18"/>
      <c r="L511" s="18"/>
      <c r="M511" s="18"/>
    </row>
    <row r="512" spans="1:13" x14ac:dyDescent="0.25">
      <c r="A512" t="s">
        <v>238</v>
      </c>
    </row>
    <row r="513" spans="1:15" x14ac:dyDescent="0.25">
      <c r="A513" t="s">
        <v>247</v>
      </c>
      <c r="D513" s="2" t="s">
        <v>21</v>
      </c>
      <c r="E513" t="s">
        <v>19</v>
      </c>
      <c r="J513" t="s">
        <v>25</v>
      </c>
      <c r="K513" s="3" t="s">
        <v>30</v>
      </c>
      <c r="L513" s="3" t="s">
        <v>27</v>
      </c>
      <c r="M513" s="3" t="s">
        <v>35</v>
      </c>
      <c r="N513" t="s">
        <v>26</v>
      </c>
      <c r="O513" s="3" t="s">
        <v>34</v>
      </c>
    </row>
    <row r="514" spans="1:15" x14ac:dyDescent="0.25">
      <c r="A514" t="s">
        <v>241</v>
      </c>
      <c r="C514">
        <v>44</v>
      </c>
      <c r="D514" s="22">
        <f>Pricing!F21</f>
        <v>159.1</v>
      </c>
      <c r="E514">
        <f>'Ship Component Reqs'!F167</f>
        <v>3845</v>
      </c>
      <c r="F514" s="12">
        <f t="shared" ref="F514" si="178">MAX(E514,_xlfn.CEILING.MATH(ROUNDUP(E514*C514*((1-10%)*(1-2%)*(1-1%)),20)))*D514</f>
        <v>23503047.5</v>
      </c>
      <c r="G514" s="15">
        <f t="shared" ref="G514:G515" si="179">MAX(E514,_xlfn.CEILING.MATH(ROUNDUP(E514*C514*((1-10%)*(1-2%)*(1-1%)),20)))</f>
        <v>147725</v>
      </c>
      <c r="J514" t="str">
        <f>A514</f>
        <v>Crystalline Carbonide</v>
      </c>
      <c r="K514" s="3">
        <f>G514+G518+G522+G527+G532+G538+G544</f>
        <v>233072</v>
      </c>
      <c r="M514" s="6">
        <f>((K514*'Ship Component Reqs'!$D$32)-L514)</f>
        <v>233072</v>
      </c>
      <c r="N514" s="4">
        <f>D514</f>
        <v>159.1</v>
      </c>
      <c r="O514" s="13">
        <f>IF(M514&lt;0,0,M514*N514)</f>
        <v>37081755.199999996</v>
      </c>
    </row>
    <row r="515" spans="1:15" ht="17.25" x14ac:dyDescent="0.4">
      <c r="A515" t="s">
        <v>12</v>
      </c>
      <c r="C515">
        <v>11</v>
      </c>
      <c r="D515" s="22">
        <f>Pricing!F29</f>
        <v>332.4</v>
      </c>
      <c r="E515">
        <f>E514</f>
        <v>3845</v>
      </c>
      <c r="F515" s="38">
        <f>MAX(E515,_xlfn.CEILING.MATH(ROUNDUP(E515*C515*((1-10%)*(1-2%)*(1-1%)),20)))*D515</f>
        <v>12276196.799999999</v>
      </c>
      <c r="G515" s="15">
        <f t="shared" si="179"/>
        <v>36932</v>
      </c>
      <c r="J515" t="str">
        <f>A515</f>
        <v>Sylramic Fibers</v>
      </c>
      <c r="K515" s="3">
        <f>+G515+G545</f>
        <v>40272</v>
      </c>
      <c r="M515" s="6">
        <f>((K515*'Ship Component Reqs'!$D$32)-L515)</f>
        <v>40272</v>
      </c>
      <c r="N515" s="4">
        <f>D515</f>
        <v>332.4</v>
      </c>
      <c r="O515" s="13">
        <f t="shared" ref="O515:O521" si="180">IF(M515&lt;0,0,M515*N515)</f>
        <v>13386412.799999999</v>
      </c>
    </row>
    <row r="516" spans="1:15" x14ac:dyDescent="0.25">
      <c r="D516" s="37"/>
      <c r="E516" s="1" t="str">
        <f>A513</f>
        <v>Crystalline Carbonide Armor Plate</v>
      </c>
      <c r="F516" s="4">
        <f>SUM(F514:F515)*1.03</f>
        <v>36852621.629000001</v>
      </c>
      <c r="G516" s="15"/>
      <c r="J516" t="str">
        <f>A519</f>
        <v>Fermionic Condensates</v>
      </c>
      <c r="K516" s="3">
        <f>+G519</f>
        <v>0</v>
      </c>
      <c r="M516" s="6">
        <f>((K516*'Ship Component Reqs'!$D$32)-L516)</f>
        <v>0</v>
      </c>
      <c r="N516" s="4">
        <f>D519</f>
        <v>49950</v>
      </c>
      <c r="O516" s="13">
        <f t="shared" si="180"/>
        <v>0</v>
      </c>
    </row>
    <row r="517" spans="1:15" x14ac:dyDescent="0.25">
      <c r="A517" t="s">
        <v>242</v>
      </c>
      <c r="J517" t="str">
        <f>A523</f>
        <v>Phenolic Composites</v>
      </c>
      <c r="K517" s="3">
        <f>+G539+G523</f>
        <v>18049</v>
      </c>
      <c r="M517" s="6">
        <f>((K517*'Ship Component Reqs'!$D$32)-L517)</f>
        <v>18049</v>
      </c>
      <c r="N517" s="4">
        <f>D523</f>
        <v>1484</v>
      </c>
      <c r="O517" s="13">
        <f t="shared" si="180"/>
        <v>26784716</v>
      </c>
    </row>
    <row r="518" spans="1:15" x14ac:dyDescent="0.25">
      <c r="A518" t="s">
        <v>241</v>
      </c>
      <c r="C518">
        <v>9</v>
      </c>
      <c r="D518" s="22">
        <f>D514</f>
        <v>159.1</v>
      </c>
      <c r="E518">
        <f>'Ship Component Reqs'!F168</f>
        <v>0</v>
      </c>
      <c r="F518" s="12">
        <f t="shared" ref="F518" si="181">MAX(E518,_xlfn.CEILING.MATH(ROUNDUP(E518*C518*((1-10%)*(1-2%)*(1-1%)),20)))*D518</f>
        <v>0</v>
      </c>
      <c r="G518" s="15">
        <f t="shared" ref="G518:G519" si="182">MAX(E518,_xlfn.CEILING.MATH(ROUNDUP(E518*C518*((1-10%)*(1-2%)*(1-1%)),20)))</f>
        <v>0</v>
      </c>
      <c r="J518" t="str">
        <f>A524</f>
        <v>Ferrogel</v>
      </c>
      <c r="K518" s="3">
        <f>G524+G546</f>
        <v>775</v>
      </c>
      <c r="M518" s="6">
        <f>((K518*'Ship Component Reqs'!$D$32)-L518)</f>
        <v>775</v>
      </c>
      <c r="N518" s="4">
        <f>D524</f>
        <v>23970</v>
      </c>
      <c r="O518" s="13">
        <f t="shared" si="180"/>
        <v>18576750</v>
      </c>
    </row>
    <row r="519" spans="1:15" ht="17.25" x14ac:dyDescent="0.4">
      <c r="A519" t="s">
        <v>9</v>
      </c>
      <c r="C519">
        <v>2</v>
      </c>
      <c r="D519" s="22">
        <f>Pricing!F26</f>
        <v>49950</v>
      </c>
      <c r="E519">
        <f>E518</f>
        <v>0</v>
      </c>
      <c r="F519" s="38">
        <f>MAX(E519,_xlfn.CEILING.MATH(ROUNDUP(E519*C519*((1-10%)*(1-2%)*(1-1%)),20)))*D519</f>
        <v>0</v>
      </c>
      <c r="G519" s="15">
        <f t="shared" si="182"/>
        <v>0</v>
      </c>
      <c r="J519" t="str">
        <f>A528</f>
        <v>Nanotransistors</v>
      </c>
      <c r="K519" s="3">
        <f>G528+G534+G540</f>
        <v>6811</v>
      </c>
      <c r="M519" s="6">
        <f>((K519*'Ship Component Reqs'!$D$32)-L519)</f>
        <v>6811</v>
      </c>
      <c r="N519" s="4">
        <f>D528</f>
        <v>3902</v>
      </c>
      <c r="O519" s="13">
        <f t="shared" si="180"/>
        <v>26576522</v>
      </c>
    </row>
    <row r="520" spans="1:15" x14ac:dyDescent="0.25">
      <c r="D520" s="37"/>
      <c r="E520" s="1" t="str">
        <f>A517</f>
        <v>Fusion Reactor Unit</v>
      </c>
      <c r="F520" s="4">
        <f>SUM(F518:F519)*1.03</f>
        <v>0</v>
      </c>
      <c r="G520" s="15"/>
      <c r="J520" t="str">
        <f>A529</f>
        <v>Hypersynaptic Fibers</v>
      </c>
      <c r="K520" s="3">
        <f>G529</f>
        <v>507</v>
      </c>
      <c r="L520" s="3">
        <v>0</v>
      </c>
      <c r="M520" s="6">
        <f>((K520*'Ship Component Reqs'!$D$32)-L520)</f>
        <v>507</v>
      </c>
      <c r="N520" s="4">
        <f>D529</f>
        <v>6173</v>
      </c>
      <c r="O520" s="13">
        <f t="shared" si="180"/>
        <v>3129711</v>
      </c>
    </row>
    <row r="521" spans="1:15" x14ac:dyDescent="0.25">
      <c r="A521" t="s">
        <v>240</v>
      </c>
      <c r="J521" t="str">
        <f>A533</f>
        <v>Fullerides</v>
      </c>
      <c r="K521" s="3">
        <f>G533</f>
        <v>7781</v>
      </c>
      <c r="L521" s="3">
        <v>0</v>
      </c>
      <c r="M521" s="6">
        <f>((K521*'Ship Component Reqs'!$D$32)-L521)</f>
        <v>7781</v>
      </c>
      <c r="N521" s="4">
        <f>D533</f>
        <v>579.4</v>
      </c>
      <c r="O521" s="13">
        <f t="shared" si="180"/>
        <v>4508311.3999999994</v>
      </c>
    </row>
    <row r="522" spans="1:15" ht="17.25" x14ac:dyDescent="0.4">
      <c r="A522" t="s">
        <v>241</v>
      </c>
      <c r="C522">
        <v>13</v>
      </c>
      <c r="D522" s="22">
        <f>D514</f>
        <v>159.1</v>
      </c>
      <c r="E522">
        <f>'Ship Component Reqs'!F169</f>
        <v>350</v>
      </c>
      <c r="F522" s="12">
        <f t="shared" ref="F522:F523" si="183">MAX(E522,_xlfn.CEILING.MATH(ROUNDUP(E522*C522*((1-10%)*(1-2%)*(1-1%)),20)))*D522</f>
        <v>632104.29999999993</v>
      </c>
      <c r="G522" s="15">
        <f t="shared" ref="G522:G524" si="184">MAX(E522,_xlfn.CEILING.MATH(ROUNDUP(E522*C522*((1-10%)*(1-2%)*(1-1%)),20)))</f>
        <v>3973</v>
      </c>
      <c r="J522" t="str">
        <f>A535</f>
        <v>Photonic Metamaterials</v>
      </c>
      <c r="K522" s="3">
        <f>G535+G541</f>
        <v>7126</v>
      </c>
      <c r="L522" s="3">
        <v>0</v>
      </c>
      <c r="M522" s="6">
        <f>((K522*'Ship Component Reqs'!$D$32)-L522)</f>
        <v>7126</v>
      </c>
      <c r="N522" s="4">
        <f>D535</f>
        <v>9919</v>
      </c>
      <c r="O522" s="11">
        <f>IF(M522&lt;0,0,M522*N522)</f>
        <v>70682794</v>
      </c>
    </row>
    <row r="523" spans="1:15" x14ac:dyDescent="0.25">
      <c r="A523" t="s">
        <v>10</v>
      </c>
      <c r="C523">
        <v>3</v>
      </c>
      <c r="D523" s="22">
        <f>Pricing!F27</f>
        <v>1484</v>
      </c>
      <c r="E523">
        <f>E522</f>
        <v>350</v>
      </c>
      <c r="F523" s="12">
        <f t="shared" si="183"/>
        <v>1360828</v>
      </c>
      <c r="G523" s="15">
        <f t="shared" si="184"/>
        <v>917</v>
      </c>
      <c r="K523" s="10"/>
      <c r="O523" s="4">
        <f>SUM(O514:O522)</f>
        <v>200726972.40000001</v>
      </c>
    </row>
    <row r="524" spans="1:15" ht="17.25" x14ac:dyDescent="0.4">
      <c r="A524" t="s">
        <v>11</v>
      </c>
      <c r="C524">
        <v>1</v>
      </c>
      <c r="D524" s="22">
        <f>Pricing!F28</f>
        <v>23970</v>
      </c>
      <c r="E524">
        <f>E523</f>
        <v>350</v>
      </c>
      <c r="F524" s="38">
        <f>MAX(E524,_xlfn.CEILING.MATH(ROUNDUP(E524*C524*((1-10%)*(1-2%)*(1-1%)),20)))*D524</f>
        <v>8389500</v>
      </c>
      <c r="G524" s="15">
        <f t="shared" si="184"/>
        <v>350</v>
      </c>
      <c r="M524" s="6"/>
      <c r="O524" s="11">
        <f>F516+F520+F525+F530+F536+F542+F547</f>
        <v>206748781.572</v>
      </c>
    </row>
    <row r="525" spans="1:15" x14ac:dyDescent="0.25">
      <c r="D525" s="37"/>
      <c r="E525" s="1" t="str">
        <f>A521</f>
        <v>Ion Thruster</v>
      </c>
      <c r="F525" s="4">
        <f>SUM(F522:F524)*1.03</f>
        <v>10693905.269000001</v>
      </c>
      <c r="K525" s="10"/>
      <c r="O525" s="4"/>
    </row>
    <row r="526" spans="1:15" x14ac:dyDescent="0.25">
      <c r="A526" t="s">
        <v>246</v>
      </c>
      <c r="D526" s="49"/>
    </row>
    <row r="527" spans="1:15" x14ac:dyDescent="0.25">
      <c r="A527" t="s">
        <v>241</v>
      </c>
      <c r="C527">
        <v>22</v>
      </c>
      <c r="D527" s="22">
        <f>D522</f>
        <v>159.1</v>
      </c>
      <c r="E527">
        <f>'Ship Component Reqs'!F170</f>
        <v>290</v>
      </c>
      <c r="F527" s="12">
        <f t="shared" ref="F527:F528" si="185">MAX(E527,_xlfn.CEILING.MATH(ROUNDUP(E527*C527*((1-10%)*(1-2%)*(1-1%)),20)))*D527</f>
        <v>886346.1</v>
      </c>
      <c r="G527" s="15">
        <f t="shared" ref="G527:G529" si="186">MAX(E527,_xlfn.CEILING.MATH(ROUNDUP(E527*C527*((1-10%)*(1-2%)*(1-1%)),20)))</f>
        <v>5571</v>
      </c>
    </row>
    <row r="528" spans="1:15" x14ac:dyDescent="0.25">
      <c r="A528" t="s">
        <v>164</v>
      </c>
      <c r="C528">
        <v>1</v>
      </c>
      <c r="D528" s="22">
        <f>Pricing!F30</f>
        <v>3902</v>
      </c>
      <c r="E528">
        <f>E527</f>
        <v>290</v>
      </c>
      <c r="F528" s="12">
        <f t="shared" si="185"/>
        <v>1131580</v>
      </c>
      <c r="G528" s="15">
        <f t="shared" si="186"/>
        <v>290</v>
      </c>
    </row>
    <row r="529" spans="1:7" ht="17.25" x14ac:dyDescent="0.4">
      <c r="A529" t="s">
        <v>15</v>
      </c>
      <c r="C529">
        <v>2</v>
      </c>
      <c r="D529" s="22">
        <f>Pricing!F31</f>
        <v>6173</v>
      </c>
      <c r="E529">
        <f>E527</f>
        <v>290</v>
      </c>
      <c r="F529" s="38">
        <f>MAX(E529,_xlfn.CEILING.MATH(ROUNDUP(E529*C529*((1-10%)*(1-2%)*(1-1%)),20)))*D529</f>
        <v>3129711</v>
      </c>
      <c r="G529" s="15">
        <f t="shared" si="186"/>
        <v>507</v>
      </c>
    </row>
    <row r="530" spans="1:7" x14ac:dyDescent="0.25">
      <c r="E530" s="1" t="str">
        <f>A526</f>
        <v>Magnetometric Sensor Cluster</v>
      </c>
      <c r="F530" s="4">
        <f>SUM(F527:F529)*1.03</f>
        <v>5302066.2129999995</v>
      </c>
    </row>
    <row r="531" spans="1:7" ht="17.25" x14ac:dyDescent="0.4">
      <c r="A531" t="s">
        <v>243</v>
      </c>
      <c r="D531" s="37"/>
      <c r="F531" s="38"/>
      <c r="G531" s="15"/>
    </row>
    <row r="532" spans="1:7" x14ac:dyDescent="0.25">
      <c r="A532" t="s">
        <v>241</v>
      </c>
      <c r="C532">
        <v>27</v>
      </c>
      <c r="D532" s="22">
        <f>D522</f>
        <v>159.1</v>
      </c>
      <c r="E532">
        <f>'Ship Component Reqs'!F171</f>
        <v>810</v>
      </c>
      <c r="F532" s="12">
        <f t="shared" ref="F532:F534" si="187">MAX(E532,_xlfn.CEILING.MATH(ROUNDUP(E532*C532*((1-10%)*(1-2%)*(1-1%)),20)))*D532</f>
        <v>3038332.6999999997</v>
      </c>
      <c r="G532" s="15">
        <f t="shared" ref="G532:G535" si="188">MAX(E532,_xlfn.CEILING.MATH(ROUNDUP(E532*C532*((1-10%)*(1-2%)*(1-1%)),20)))</f>
        <v>19097</v>
      </c>
    </row>
    <row r="533" spans="1:7" x14ac:dyDescent="0.25">
      <c r="A533" t="s">
        <v>16</v>
      </c>
      <c r="C533">
        <v>11</v>
      </c>
      <c r="D533" s="22">
        <f>Pricing!F32</f>
        <v>579.4</v>
      </c>
      <c r="E533">
        <f>E532</f>
        <v>810</v>
      </c>
      <c r="F533" s="12">
        <f t="shared" si="187"/>
        <v>4508311.3999999994</v>
      </c>
      <c r="G533" s="15">
        <f t="shared" si="188"/>
        <v>7781</v>
      </c>
    </row>
    <row r="534" spans="1:7" x14ac:dyDescent="0.25">
      <c r="A534" t="s">
        <v>164</v>
      </c>
      <c r="C534">
        <v>1</v>
      </c>
      <c r="D534" s="22">
        <f>D528</f>
        <v>3902</v>
      </c>
      <c r="E534">
        <f>E533</f>
        <v>810</v>
      </c>
      <c r="F534" s="12">
        <f t="shared" si="187"/>
        <v>3160620</v>
      </c>
      <c r="G534" s="15">
        <f t="shared" si="188"/>
        <v>810</v>
      </c>
    </row>
    <row r="535" spans="1:7" ht="17.25" x14ac:dyDescent="0.4">
      <c r="A535" t="s">
        <v>251</v>
      </c>
      <c r="C535">
        <v>2</v>
      </c>
      <c r="D535" s="22">
        <f>Pricing!F23</f>
        <v>9919</v>
      </c>
      <c r="E535">
        <f>E534</f>
        <v>810</v>
      </c>
      <c r="F535" s="38">
        <f>MAX(E535,_xlfn.CEILING.MATH(ROUNDUP(E535*C535*((1-10%)*(1-2%)*(1-1%)),20)))*D535</f>
        <v>14035385</v>
      </c>
      <c r="G535" s="15">
        <f t="shared" si="188"/>
        <v>1415</v>
      </c>
    </row>
    <row r="536" spans="1:7" x14ac:dyDescent="0.25">
      <c r="E536" s="1" t="str">
        <f>A531</f>
        <v>Oscillator Capacitor</v>
      </c>
      <c r="F536" s="4">
        <f>SUM(F532:F535)*1.03</f>
        <v>25484928.573000003</v>
      </c>
      <c r="G536" s="15"/>
    </row>
    <row r="537" spans="1:7" x14ac:dyDescent="0.25">
      <c r="A537" t="s">
        <v>244</v>
      </c>
      <c r="E537" s="1"/>
      <c r="F537" s="4"/>
    </row>
    <row r="538" spans="1:7" x14ac:dyDescent="0.25">
      <c r="A538" t="s">
        <v>241</v>
      </c>
      <c r="C538">
        <v>17</v>
      </c>
      <c r="D538" s="22">
        <f>D532</f>
        <v>159.1</v>
      </c>
      <c r="E538">
        <f>'Ship Component Reqs'!F172</f>
        <v>3270</v>
      </c>
      <c r="F538" s="12">
        <f t="shared" ref="F538:F540" si="189">MAX(E538,_xlfn.CEILING.MATH(ROUNDUP(E538*C538*((1-10%)*(1-2%)*(1-1%)),20)))*D538</f>
        <v>7722873.0999999996</v>
      </c>
      <c r="G538" s="15">
        <f t="shared" ref="G538:G541" si="190">MAX(E538,_xlfn.CEILING.MATH(ROUNDUP(E538*C538*((1-10%)*(1-2%)*(1-1%)),20)))</f>
        <v>48541</v>
      </c>
    </row>
    <row r="539" spans="1:7" x14ac:dyDescent="0.25">
      <c r="A539" t="s">
        <v>10</v>
      </c>
      <c r="C539">
        <v>6</v>
      </c>
      <c r="D539" s="22">
        <f>D523</f>
        <v>1484</v>
      </c>
      <c r="E539">
        <f>E538</f>
        <v>3270</v>
      </c>
      <c r="F539" s="12">
        <f t="shared" si="189"/>
        <v>25423888</v>
      </c>
      <c r="G539" s="15">
        <f t="shared" si="190"/>
        <v>17132</v>
      </c>
    </row>
    <row r="540" spans="1:7" x14ac:dyDescent="0.25">
      <c r="A540" t="s">
        <v>164</v>
      </c>
      <c r="C540">
        <v>2</v>
      </c>
      <c r="D540" s="22">
        <f>D534</f>
        <v>3902</v>
      </c>
      <c r="E540">
        <f>E539</f>
        <v>3270</v>
      </c>
      <c r="F540" s="12">
        <f t="shared" si="189"/>
        <v>22284322</v>
      </c>
      <c r="G540" s="15">
        <f t="shared" si="190"/>
        <v>5711</v>
      </c>
    </row>
    <row r="541" spans="1:7" ht="17.25" x14ac:dyDescent="0.4">
      <c r="A541" t="s">
        <v>251</v>
      </c>
      <c r="C541">
        <v>2</v>
      </c>
      <c r="D541" s="22">
        <f>D535</f>
        <v>9919</v>
      </c>
      <c r="E541">
        <f>E540</f>
        <v>3270</v>
      </c>
      <c r="F541" s="38">
        <f>MAX(E541,_xlfn.CEILING.MATH(ROUNDUP(E541*C541*((1-10%)*(1-2%)*(1-1%)),20)))*D541</f>
        <v>56647409</v>
      </c>
      <c r="G541" s="15">
        <f t="shared" si="190"/>
        <v>5711</v>
      </c>
    </row>
    <row r="542" spans="1:7" x14ac:dyDescent="0.25">
      <c r="E542" s="1" t="str">
        <f>A537</f>
        <v>Photon Microprocessor</v>
      </c>
      <c r="F542" s="4">
        <f>SUM(F538:F541)*1.03</f>
        <v>115440846.86299999</v>
      </c>
    </row>
    <row r="543" spans="1:7" x14ac:dyDescent="0.25">
      <c r="A543" t="s">
        <v>245</v>
      </c>
    </row>
    <row r="544" spans="1:7" x14ac:dyDescent="0.25">
      <c r="A544" t="s">
        <v>241</v>
      </c>
      <c r="C544">
        <v>22</v>
      </c>
      <c r="D544" s="22">
        <f>D538</f>
        <v>159.1</v>
      </c>
      <c r="E544">
        <f>'Ship Component Reqs'!F173</f>
        <v>425</v>
      </c>
      <c r="F544" s="12">
        <f t="shared" ref="F544:F545" si="191">MAX(E544,_xlfn.CEILING.MATH(ROUNDUP(E544*C544*((1-10%)*(1-2%)*(1-1%)),20)))*D544</f>
        <v>1299051.5</v>
      </c>
      <c r="G544" s="15">
        <f t="shared" ref="G544:G546" si="192">MAX(E544,_xlfn.CEILING.MATH(ROUNDUP(E544*C544*((1-10%)*(1-2%)*(1-1%)),20)))</f>
        <v>8165</v>
      </c>
    </row>
    <row r="545" spans="1:16" x14ac:dyDescent="0.25">
      <c r="A545" t="s">
        <v>12</v>
      </c>
      <c r="C545">
        <v>9</v>
      </c>
      <c r="D545" s="22">
        <f>D515</f>
        <v>332.4</v>
      </c>
      <c r="E545">
        <f>E544</f>
        <v>425</v>
      </c>
      <c r="F545" s="12">
        <f t="shared" si="191"/>
        <v>1110216</v>
      </c>
      <c r="G545" s="15">
        <f t="shared" si="192"/>
        <v>3340</v>
      </c>
    </row>
    <row r="546" spans="1:16" ht="17.25" x14ac:dyDescent="0.4">
      <c r="A546" t="s">
        <v>11</v>
      </c>
      <c r="C546">
        <v>1</v>
      </c>
      <c r="D546" s="22">
        <f>D524</f>
        <v>23970</v>
      </c>
      <c r="E546">
        <f>E545</f>
        <v>425</v>
      </c>
      <c r="F546" s="38">
        <f>MAX(E546,_xlfn.CEILING.MATH(ROUNDUP(E546*C546*((1-10%)*(1-2%)*(1-1%)),20)))*D546</f>
        <v>10187250</v>
      </c>
      <c r="G546" s="15">
        <f t="shared" si="192"/>
        <v>425</v>
      </c>
    </row>
    <row r="547" spans="1:16" x14ac:dyDescent="0.25">
      <c r="E547" s="1" t="str">
        <f>A543</f>
        <v>Pulse Shield Emitter</v>
      </c>
      <c r="F547" s="4">
        <f>SUM(F544:F546)*1.03</f>
        <v>12974413.025</v>
      </c>
      <c r="G547" s="15"/>
    </row>
    <row r="548" spans="1:16" s="17" customFormat="1" x14ac:dyDescent="0.25">
      <c r="D548" s="30"/>
      <c r="K548" s="18"/>
      <c r="L548" s="18"/>
      <c r="M548" s="18"/>
    </row>
    <row r="549" spans="1:16" x14ac:dyDescent="0.25">
      <c r="A549" t="s">
        <v>299</v>
      </c>
    </row>
    <row r="550" spans="1:16" x14ac:dyDescent="0.25">
      <c r="A550" t="s">
        <v>247</v>
      </c>
      <c r="D550" s="2" t="s">
        <v>21</v>
      </c>
      <c r="E550" t="s">
        <v>19</v>
      </c>
      <c r="J550" t="s">
        <v>25</v>
      </c>
      <c r="K550" s="3" t="s">
        <v>30</v>
      </c>
      <c r="L550" s="3" t="s">
        <v>27</v>
      </c>
      <c r="M550" s="3" t="s">
        <v>35</v>
      </c>
      <c r="N550" t="s">
        <v>26</v>
      </c>
      <c r="O550" s="3" t="s">
        <v>34</v>
      </c>
    </row>
    <row r="551" spans="1:16" x14ac:dyDescent="0.25">
      <c r="A551" t="s">
        <v>241</v>
      </c>
      <c r="C551">
        <v>44</v>
      </c>
      <c r="D551" s="22">
        <f>Pricing!F21</f>
        <v>159.1</v>
      </c>
      <c r="E551">
        <f>'Ship Component Reqs'!F182</f>
        <v>4612</v>
      </c>
      <c r="F551" s="12">
        <f t="shared" ref="F551" si="193">MAX(E551,_xlfn.CEILING.MATH(ROUNDUP(E551*C551*((1-10%)*(1-2%)*(1-1%)),20)))*D551</f>
        <v>28191406.300000001</v>
      </c>
      <c r="G551" s="15">
        <f t="shared" ref="G551:G552" si="194">MAX(E551,_xlfn.CEILING.MATH(ROUNDUP(E551*C551*((1-10%)*(1-2%)*(1-1%)),20)))</f>
        <v>177193</v>
      </c>
      <c r="H551" s="4"/>
      <c r="I551" s="15"/>
      <c r="J551" t="str">
        <f>A551</f>
        <v>Crystalline Carbonide</v>
      </c>
      <c r="K551" s="3">
        <f>G551+G555+G559+G564+G569+G575+G581</f>
        <v>266859</v>
      </c>
      <c r="L551" s="3">
        <v>0</v>
      </c>
      <c r="M551" s="6">
        <f>((K551*'Ship Component Reqs'!$D$32)-L551)</f>
        <v>266859</v>
      </c>
      <c r="N551" s="4">
        <f>D551</f>
        <v>159.1</v>
      </c>
      <c r="O551" s="13">
        <f t="shared" ref="O551:O559" si="195">IF(M551&lt;0,0,M551*N551)</f>
        <v>42457266.899999999</v>
      </c>
      <c r="P551" s="4"/>
    </row>
    <row r="552" spans="1:16" ht="17.25" x14ac:dyDescent="0.4">
      <c r="A552" t="s">
        <v>12</v>
      </c>
      <c r="C552">
        <v>11</v>
      </c>
      <c r="D552" s="22">
        <f>Pricing!F29</f>
        <v>332.4</v>
      </c>
      <c r="E552">
        <f>E551</f>
        <v>4612</v>
      </c>
      <c r="F552" s="38">
        <f>MAX(E552,_xlfn.CEILING.MATH(ROUNDUP(E552*C552*((1-10%)*(1-2%)*(1-1%)),20)))*D552</f>
        <v>14724987.6</v>
      </c>
      <c r="G552" s="15">
        <f t="shared" si="194"/>
        <v>44299</v>
      </c>
      <c r="H552" s="4"/>
      <c r="I552" s="15"/>
      <c r="J552" t="str">
        <f>A552</f>
        <v>Sylramic Fibers</v>
      </c>
      <c r="K552" s="3">
        <f>G552+G582</f>
        <v>46123</v>
      </c>
      <c r="L552" s="3">
        <v>0</v>
      </c>
      <c r="M552" s="6">
        <f>((K552*'Ship Component Reqs'!$D$32)-L552)</f>
        <v>46123</v>
      </c>
      <c r="N552" s="4">
        <f>D552</f>
        <v>332.4</v>
      </c>
      <c r="O552" s="13">
        <f t="shared" si="195"/>
        <v>15331285.199999999</v>
      </c>
      <c r="P552" s="4"/>
    </row>
    <row r="553" spans="1:16" x14ac:dyDescent="0.25">
      <c r="D553" s="37"/>
      <c r="E553" s="1" t="str">
        <f>A550</f>
        <v>Crystalline Carbonide Armor Plate</v>
      </c>
      <c r="F553" s="4">
        <f>SUM(F551:F552)*1.03</f>
        <v>44203885.717</v>
      </c>
      <c r="G553" s="15"/>
      <c r="H553" s="4"/>
      <c r="I553" s="15"/>
      <c r="J553" t="str">
        <f>A556</f>
        <v>Fermionic Condensates</v>
      </c>
      <c r="K553" s="3">
        <f>G556</f>
        <v>84</v>
      </c>
      <c r="L553" s="3">
        <v>0</v>
      </c>
      <c r="M553" s="6">
        <f>((K553*'Ship Component Reqs'!$D$32)-L553)</f>
        <v>84</v>
      </c>
      <c r="N553" s="4">
        <f>D556</f>
        <v>49950</v>
      </c>
      <c r="O553" s="13">
        <f t="shared" si="195"/>
        <v>4195800</v>
      </c>
      <c r="P553" s="4"/>
    </row>
    <row r="554" spans="1:16" x14ac:dyDescent="0.25">
      <c r="A554" t="s">
        <v>242</v>
      </c>
      <c r="I554" s="15"/>
      <c r="J554" t="str">
        <f>A560</f>
        <v>Phenolic Composites</v>
      </c>
      <c r="K554" s="3">
        <f>G560+G576</f>
        <v>14503</v>
      </c>
      <c r="L554" s="3">
        <v>0</v>
      </c>
      <c r="M554" s="6">
        <f>((K554*'Ship Component Reqs'!$D$32)-L554)</f>
        <v>14503</v>
      </c>
      <c r="N554" s="4">
        <f>D560</f>
        <v>1484</v>
      </c>
      <c r="O554" s="13">
        <f t="shared" si="195"/>
        <v>21522452</v>
      </c>
      <c r="P554" s="4"/>
    </row>
    <row r="555" spans="1:16" x14ac:dyDescent="0.25">
      <c r="A555" t="s">
        <v>241</v>
      </c>
      <c r="C555">
        <v>9</v>
      </c>
      <c r="D555" s="22">
        <f>D551</f>
        <v>159.1</v>
      </c>
      <c r="E555">
        <f>'Ship Component Reqs'!F183</f>
        <v>48</v>
      </c>
      <c r="F555" s="12">
        <f t="shared" ref="F555" si="196">MAX(E555,_xlfn.CEILING.MATH(ROUNDUP(E555*C555*((1-10%)*(1-2%)*(1-1%)),20)))*D555</f>
        <v>60139.799999999996</v>
      </c>
      <c r="G555" s="15">
        <f t="shared" ref="G555:G556" si="197">MAX(E555,_xlfn.CEILING.MATH(ROUNDUP(E555*C555*((1-10%)*(1-2%)*(1-1%)),20)))</f>
        <v>378</v>
      </c>
      <c r="H555" s="4"/>
      <c r="I555" s="15"/>
      <c r="J555" t="str">
        <f>A561</f>
        <v>Ferrogel</v>
      </c>
      <c r="K555" s="3">
        <f>G561+G583</f>
        <v>696</v>
      </c>
      <c r="L555" s="3">
        <v>0</v>
      </c>
      <c r="M555" s="6">
        <f>((K555*'Ship Component Reqs'!$D$32)-L555)</f>
        <v>696</v>
      </c>
      <c r="N555" s="4">
        <f>D561</f>
        <v>23970</v>
      </c>
      <c r="O555" s="13">
        <f t="shared" si="195"/>
        <v>16683120</v>
      </c>
      <c r="P555" s="4"/>
    </row>
    <row r="556" spans="1:16" ht="17.25" x14ac:dyDescent="0.4">
      <c r="A556" t="s">
        <v>9</v>
      </c>
      <c r="C556">
        <v>2</v>
      </c>
      <c r="D556" s="22">
        <f>Pricing!F26</f>
        <v>49950</v>
      </c>
      <c r="E556">
        <f>E555</f>
        <v>48</v>
      </c>
      <c r="F556" s="38">
        <f>MAX(E556,_xlfn.CEILING.MATH(ROUNDUP(E556*C556*((1-10%)*(1-2%)*(1-1%)),20)))*D556</f>
        <v>4195800</v>
      </c>
      <c r="G556" s="15">
        <f t="shared" si="197"/>
        <v>84</v>
      </c>
      <c r="H556" s="4"/>
      <c r="I556" s="15"/>
      <c r="J556" t="str">
        <f>A565</f>
        <v>Nanotransistors</v>
      </c>
      <c r="K556" s="3">
        <f>G565+G571+G577</f>
        <v>6401</v>
      </c>
      <c r="L556" s="3">
        <v>0</v>
      </c>
      <c r="M556" s="6">
        <f>((K556*'Ship Component Reqs'!$D$32)-L556)</f>
        <v>6401</v>
      </c>
      <c r="N556" s="4">
        <f>D565</f>
        <v>3902</v>
      </c>
      <c r="O556" s="13">
        <f t="shared" si="195"/>
        <v>24976702</v>
      </c>
      <c r="P556" s="4"/>
    </row>
    <row r="557" spans="1:16" x14ac:dyDescent="0.25">
      <c r="D557" s="37"/>
      <c r="E557" s="1" t="str">
        <f>A554</f>
        <v>Fusion Reactor Unit</v>
      </c>
      <c r="F557" s="4">
        <f>SUM(F555:F556)*1.03</f>
        <v>4383617.9939999999</v>
      </c>
      <c r="G557" s="15"/>
      <c r="H557" s="4"/>
      <c r="J557" t="str">
        <f>A566</f>
        <v>Hypersynaptic Fibers</v>
      </c>
      <c r="K557" s="3">
        <f>G566</f>
        <v>1831</v>
      </c>
      <c r="M557" s="6">
        <f>((K557*'Ship Component Reqs'!$D$32)-L557)</f>
        <v>1831</v>
      </c>
      <c r="N557" s="4">
        <f>D566</f>
        <v>6173</v>
      </c>
      <c r="O557" s="13">
        <f t="shared" si="195"/>
        <v>11302763</v>
      </c>
      <c r="P557" s="4"/>
    </row>
    <row r="558" spans="1:16" x14ac:dyDescent="0.25">
      <c r="A558" t="s">
        <v>240</v>
      </c>
      <c r="I558" s="15"/>
      <c r="J558" t="str">
        <f>A570</f>
        <v>Fullerides</v>
      </c>
      <c r="K558" s="3">
        <f>G570</f>
        <v>8876</v>
      </c>
      <c r="L558" s="3">
        <v>0</v>
      </c>
      <c r="M558" s="6">
        <f>((K558*'Ship Component Reqs'!$D$32)-L558)</f>
        <v>8876</v>
      </c>
      <c r="N558" s="4">
        <f>D570</f>
        <v>579.4</v>
      </c>
      <c r="O558" s="13">
        <f t="shared" si="195"/>
        <v>5142754.3999999994</v>
      </c>
      <c r="P558" s="4"/>
    </row>
    <row r="559" spans="1:16" ht="17.25" x14ac:dyDescent="0.4">
      <c r="A559" t="s">
        <v>241</v>
      </c>
      <c r="C559">
        <v>13</v>
      </c>
      <c r="D559" s="22">
        <f>D551</f>
        <v>159.1</v>
      </c>
      <c r="E559">
        <f>'Ship Component Reqs'!F184</f>
        <v>464</v>
      </c>
      <c r="F559" s="12">
        <f t="shared" ref="F559:F560" si="198">MAX(E559,_xlfn.CEILING.MATH(ROUNDUP(E559*C559*((1-10%)*(1-2%)*(1-1%)),20)))*D559</f>
        <v>838138.79999999993</v>
      </c>
      <c r="G559" s="15">
        <f t="shared" ref="G559:G561" si="199">MAX(E559,_xlfn.CEILING.MATH(ROUNDUP(E559*C559*((1-10%)*(1-2%)*(1-1%)),20)))</f>
        <v>5268</v>
      </c>
      <c r="H559" s="4"/>
      <c r="I559" s="15"/>
      <c r="J559" t="str">
        <f>A572</f>
        <v>Photonic Metamaterials</v>
      </c>
      <c r="K559" s="3">
        <f>G572+G578</f>
        <v>6043</v>
      </c>
      <c r="L559" s="3">
        <v>0</v>
      </c>
      <c r="M559" s="6">
        <f>((K559*'Ship Component Reqs'!$D$32)-L559)</f>
        <v>6043</v>
      </c>
      <c r="N559" s="4">
        <f>D572</f>
        <v>9919</v>
      </c>
      <c r="O559" s="11">
        <f t="shared" si="195"/>
        <v>59940517</v>
      </c>
      <c r="P559" s="4"/>
    </row>
    <row r="560" spans="1:16" x14ac:dyDescent="0.25">
      <c r="A560" t="s">
        <v>10</v>
      </c>
      <c r="C560">
        <v>3</v>
      </c>
      <c r="D560" s="22">
        <f>Pricing!F27</f>
        <v>1484</v>
      </c>
      <c r="E560">
        <f>E559</f>
        <v>464</v>
      </c>
      <c r="F560" s="12">
        <f t="shared" si="198"/>
        <v>1804544</v>
      </c>
      <c r="G560" s="15">
        <f t="shared" si="199"/>
        <v>1216</v>
      </c>
      <c r="H560" s="4"/>
      <c r="K560" s="10"/>
      <c r="O560" s="4">
        <f>SUM(O551:O559)</f>
        <v>201552660.5</v>
      </c>
    </row>
    <row r="561" spans="1:15" ht="17.25" x14ac:dyDescent="0.4">
      <c r="A561" t="s">
        <v>11</v>
      </c>
      <c r="C561">
        <v>1</v>
      </c>
      <c r="D561" s="22">
        <f>Pricing!F28</f>
        <v>23970</v>
      </c>
      <c r="E561">
        <f>E560</f>
        <v>464</v>
      </c>
      <c r="F561" s="38">
        <f>MAX(E561,_xlfn.CEILING.MATH(ROUNDUP(E561*C561*((1-10%)*(1-2%)*(1-1%)),20)))*D561</f>
        <v>11122080</v>
      </c>
      <c r="G561" s="15">
        <f t="shared" si="199"/>
        <v>464</v>
      </c>
      <c r="H561" s="4"/>
      <c r="M561" s="6"/>
      <c r="O561" s="11"/>
    </row>
    <row r="562" spans="1:15" x14ac:dyDescent="0.25">
      <c r="D562" s="37"/>
      <c r="E562" s="1" t="str">
        <f>A558</f>
        <v>Ion Thruster</v>
      </c>
      <c r="F562" s="4">
        <f>SUM(F559:F561)*1.03</f>
        <v>14177705.684</v>
      </c>
      <c r="H562" s="4"/>
      <c r="K562" s="10"/>
      <c r="O562" s="4"/>
    </row>
    <row r="563" spans="1:15" x14ac:dyDescent="0.25">
      <c r="A563" t="s">
        <v>246</v>
      </c>
      <c r="D563" s="49"/>
    </row>
    <row r="564" spans="1:15" x14ac:dyDescent="0.25">
      <c r="A564" t="s">
        <v>241</v>
      </c>
      <c r="C564">
        <v>22</v>
      </c>
      <c r="D564" s="22">
        <f>D559</f>
        <v>159.1</v>
      </c>
      <c r="E564">
        <f>'Ship Component Reqs'!F185</f>
        <v>1048</v>
      </c>
      <c r="F564" s="12">
        <f t="shared" ref="F564:F565" si="200">MAX(E564,_xlfn.CEILING.MATH(ROUNDUP(E564*C564*((1-10%)*(1-2%)*(1-1%)),20)))*D564</f>
        <v>3203160.3</v>
      </c>
      <c r="G564" s="15">
        <f t="shared" ref="G564:G566" si="201">MAX(E564,_xlfn.CEILING.MATH(ROUNDUP(E564*C564*((1-10%)*(1-2%)*(1-1%)),20)))</f>
        <v>20133</v>
      </c>
      <c r="H564" s="4"/>
    </row>
    <row r="565" spans="1:15" x14ac:dyDescent="0.25">
      <c r="A565" t="s">
        <v>164</v>
      </c>
      <c r="C565">
        <v>1</v>
      </c>
      <c r="D565" s="22">
        <f>Pricing!F30</f>
        <v>3902</v>
      </c>
      <c r="E565">
        <f>E564</f>
        <v>1048</v>
      </c>
      <c r="F565" s="12">
        <f t="shared" si="200"/>
        <v>4089296</v>
      </c>
      <c r="G565" s="15">
        <f t="shared" si="201"/>
        <v>1048</v>
      </c>
      <c r="H565" s="4"/>
    </row>
    <row r="566" spans="1:15" ht="17.25" x14ac:dyDescent="0.4">
      <c r="A566" t="s">
        <v>15</v>
      </c>
      <c r="C566">
        <v>2</v>
      </c>
      <c r="D566" s="22">
        <f>Pricing!F31</f>
        <v>6173</v>
      </c>
      <c r="E566">
        <f>E564</f>
        <v>1048</v>
      </c>
      <c r="F566" s="38">
        <f>MAX(E566,_xlfn.CEILING.MATH(ROUNDUP(E566*C566*((1-10%)*(1-2%)*(1-1%)),20)))*D566</f>
        <v>11302763</v>
      </c>
      <c r="G566" s="15">
        <f t="shared" si="201"/>
        <v>1831</v>
      </c>
      <c r="H566" s="4"/>
    </row>
    <row r="567" spans="1:15" x14ac:dyDescent="0.25">
      <c r="E567" s="1" t="str">
        <f>A563</f>
        <v>Magnetometric Sensor Cluster</v>
      </c>
      <c r="F567" s="4">
        <f>SUM(F564:F566)*1.03</f>
        <v>19153075.879000001</v>
      </c>
      <c r="H567" s="4"/>
    </row>
    <row r="568" spans="1:15" ht="17.25" x14ac:dyDescent="0.4">
      <c r="A568" t="s">
        <v>243</v>
      </c>
      <c r="D568" s="37"/>
      <c r="F568" s="38"/>
      <c r="G568" s="15"/>
    </row>
    <row r="569" spans="1:15" x14ac:dyDescent="0.25">
      <c r="A569" t="s">
        <v>241</v>
      </c>
      <c r="C569">
        <v>27</v>
      </c>
      <c r="D569" s="22">
        <f>D559</f>
        <v>159.1</v>
      </c>
      <c r="E569">
        <f>'Ship Component Reqs'!F186</f>
        <v>924</v>
      </c>
      <c r="F569" s="12">
        <f t="shared" ref="F569:F571" si="202">MAX(E569,_xlfn.CEILING.MATH(ROUNDUP(E569*C569*((1-10%)*(1-2%)*(1-1%)),20)))*D569</f>
        <v>3465993.5</v>
      </c>
      <c r="G569" s="15">
        <f t="shared" ref="G569:G572" si="203">MAX(E569,_xlfn.CEILING.MATH(ROUNDUP(E569*C569*((1-10%)*(1-2%)*(1-1%)),20)))</f>
        <v>21785</v>
      </c>
    </row>
    <row r="570" spans="1:15" x14ac:dyDescent="0.25">
      <c r="A570" t="s">
        <v>16</v>
      </c>
      <c r="C570">
        <v>11</v>
      </c>
      <c r="D570" s="22">
        <f>Pricing!F32</f>
        <v>579.4</v>
      </c>
      <c r="E570">
        <f>E569</f>
        <v>924</v>
      </c>
      <c r="F570" s="12">
        <f t="shared" si="202"/>
        <v>5142754.3999999994</v>
      </c>
      <c r="G570" s="15">
        <f t="shared" si="203"/>
        <v>8876</v>
      </c>
    </row>
    <row r="571" spans="1:15" x14ac:dyDescent="0.25">
      <c r="A571" t="s">
        <v>164</v>
      </c>
      <c r="C571">
        <v>1</v>
      </c>
      <c r="D571" s="22">
        <f>D565</f>
        <v>3902</v>
      </c>
      <c r="E571">
        <f>E570</f>
        <v>924</v>
      </c>
      <c r="F571" s="12">
        <f t="shared" si="202"/>
        <v>3605448</v>
      </c>
      <c r="G571" s="15">
        <f t="shared" si="203"/>
        <v>924</v>
      </c>
    </row>
    <row r="572" spans="1:15" ht="17.25" x14ac:dyDescent="0.4">
      <c r="A572" t="s">
        <v>251</v>
      </c>
      <c r="C572">
        <v>2</v>
      </c>
      <c r="D572" s="22">
        <f>Pricing!F23</f>
        <v>9919</v>
      </c>
      <c r="E572">
        <f>E571</f>
        <v>924</v>
      </c>
      <c r="F572" s="38">
        <f>MAX(E572,_xlfn.CEILING.MATH(ROUNDUP(E572*C572*((1-10%)*(1-2%)*(1-1%)),20)))*D572</f>
        <v>16009266</v>
      </c>
      <c r="G572" s="15">
        <f t="shared" si="203"/>
        <v>1614</v>
      </c>
    </row>
    <row r="573" spans="1:15" x14ac:dyDescent="0.25">
      <c r="E573" s="1" t="str">
        <f>A568</f>
        <v>Oscillator Capacitor</v>
      </c>
      <c r="F573" s="4">
        <f>SUM(F569:F572)*1.03</f>
        <v>29070165.756999999</v>
      </c>
      <c r="G573" s="15"/>
    </row>
    <row r="574" spans="1:15" x14ac:dyDescent="0.25">
      <c r="A574" t="s">
        <v>244</v>
      </c>
      <c r="E574" s="1"/>
      <c r="F574" s="4"/>
    </row>
    <row r="575" spans="1:15" x14ac:dyDescent="0.25">
      <c r="A575" t="s">
        <v>241</v>
      </c>
      <c r="C575">
        <v>17</v>
      </c>
      <c r="D575" s="22">
        <f>D569</f>
        <v>159.1</v>
      </c>
      <c r="E575">
        <f>'Ship Component Reqs'!F187</f>
        <v>2536</v>
      </c>
      <c r="F575" s="12">
        <f t="shared" ref="F575:F577" si="204">MAX(E575,_xlfn.CEILING.MATH(ROUNDUP(E575*C575*((1-10%)*(1-2%)*(1-1%)),20)))*D575</f>
        <v>5989319.5</v>
      </c>
      <c r="G575" s="15">
        <f t="shared" ref="G575:G578" si="205">MAX(E575,_xlfn.CEILING.MATH(ROUNDUP(E575*C575*((1-10%)*(1-2%)*(1-1%)),20)))</f>
        <v>37645</v>
      </c>
    </row>
    <row r="576" spans="1:15" x14ac:dyDescent="0.25">
      <c r="A576" t="s">
        <v>10</v>
      </c>
      <c r="C576">
        <v>6</v>
      </c>
      <c r="D576" s="22">
        <f>D560</f>
        <v>1484</v>
      </c>
      <c r="E576">
        <f>E575</f>
        <v>2536</v>
      </c>
      <c r="F576" s="12">
        <f t="shared" si="204"/>
        <v>19717908</v>
      </c>
      <c r="G576" s="15">
        <f t="shared" si="205"/>
        <v>13287</v>
      </c>
    </row>
    <row r="577" spans="1:15" x14ac:dyDescent="0.25">
      <c r="A577" t="s">
        <v>164</v>
      </c>
      <c r="C577">
        <v>2</v>
      </c>
      <c r="D577" s="22">
        <f>D571</f>
        <v>3902</v>
      </c>
      <c r="E577">
        <f>E576</f>
        <v>2536</v>
      </c>
      <c r="F577" s="12">
        <f t="shared" si="204"/>
        <v>17281958</v>
      </c>
      <c r="G577" s="15">
        <f t="shared" si="205"/>
        <v>4429</v>
      </c>
    </row>
    <row r="578" spans="1:15" ht="17.25" x14ac:dyDescent="0.4">
      <c r="A578" t="s">
        <v>251</v>
      </c>
      <c r="C578">
        <v>2</v>
      </c>
      <c r="D578" s="22">
        <f>D572</f>
        <v>9919</v>
      </c>
      <c r="E578">
        <f>E577</f>
        <v>2536</v>
      </c>
      <c r="F578" s="38">
        <f>MAX(E578,_xlfn.CEILING.MATH(ROUNDUP(E578*C578*((1-10%)*(1-2%)*(1-1%)),20)))*D578</f>
        <v>43931251</v>
      </c>
      <c r="G578" s="15">
        <f t="shared" si="205"/>
        <v>4429</v>
      </c>
    </row>
    <row r="579" spans="1:15" x14ac:dyDescent="0.25">
      <c r="E579" s="1" t="str">
        <f>A574</f>
        <v>Photon Microprocessor</v>
      </c>
      <c r="F579" s="4">
        <f>SUM(F575:F578)*1.03</f>
        <v>89528049.594999999</v>
      </c>
    </row>
    <row r="580" spans="1:15" x14ac:dyDescent="0.25">
      <c r="A580" t="s">
        <v>245</v>
      </c>
    </row>
    <row r="581" spans="1:15" x14ac:dyDescent="0.25">
      <c r="A581" t="s">
        <v>241</v>
      </c>
      <c r="C581">
        <v>22</v>
      </c>
      <c r="D581" s="22">
        <f>D575</f>
        <v>159.1</v>
      </c>
      <c r="E581">
        <f>'Ship Component Reqs'!F188</f>
        <v>232</v>
      </c>
      <c r="F581" s="12">
        <f t="shared" ref="F581:F582" si="206">MAX(E581,_xlfn.CEILING.MATH(ROUNDUP(E581*C581*((1-10%)*(1-2%)*(1-1%)),20)))*D581</f>
        <v>709108.7</v>
      </c>
      <c r="G581" s="15">
        <f t="shared" ref="G581:G583" si="207">MAX(E581,_xlfn.CEILING.MATH(ROUNDUP(E581*C581*((1-10%)*(1-2%)*(1-1%)),20)))</f>
        <v>4457</v>
      </c>
    </row>
    <row r="582" spans="1:15" x14ac:dyDescent="0.25">
      <c r="A582" t="s">
        <v>12</v>
      </c>
      <c r="C582">
        <v>9</v>
      </c>
      <c r="D582" s="22">
        <f>D552</f>
        <v>332.4</v>
      </c>
      <c r="E582">
        <f>E581</f>
        <v>232</v>
      </c>
      <c r="F582" s="12">
        <f t="shared" si="206"/>
        <v>606297.59999999998</v>
      </c>
      <c r="G582" s="15">
        <f t="shared" si="207"/>
        <v>1824</v>
      </c>
    </row>
    <row r="583" spans="1:15" ht="17.25" x14ac:dyDescent="0.4">
      <c r="A583" t="s">
        <v>11</v>
      </c>
      <c r="C583">
        <v>1</v>
      </c>
      <c r="D583" s="22">
        <f>D561</f>
        <v>23970</v>
      </c>
      <c r="E583">
        <f>E582</f>
        <v>232</v>
      </c>
      <c r="F583" s="38">
        <f>MAX(E583,_xlfn.CEILING.MATH(ROUNDUP(E583*C583*((1-10%)*(1-2%)*(1-1%)),20)))*D583</f>
        <v>5561040</v>
      </c>
      <c r="G583" s="15">
        <f t="shared" si="207"/>
        <v>232</v>
      </c>
    </row>
    <row r="584" spans="1:15" x14ac:dyDescent="0.25">
      <c r="E584" s="1" t="str">
        <f>A580</f>
        <v>Pulse Shield Emitter</v>
      </c>
      <c r="F584" s="4">
        <f>SUM(F581:F583)*1.03</f>
        <v>7082739.6890000002</v>
      </c>
      <c r="G584" s="15"/>
    </row>
    <row r="585" spans="1:15" s="17" customFormat="1" x14ac:dyDescent="0.25">
      <c r="D585" s="30"/>
      <c r="K585" s="18"/>
      <c r="L585" s="18"/>
      <c r="M585" s="18"/>
    </row>
    <row r="586" spans="1:15" x14ac:dyDescent="0.25">
      <c r="A586" t="s">
        <v>301</v>
      </c>
    </row>
    <row r="587" spans="1:15" x14ac:dyDescent="0.25">
      <c r="A587" t="s">
        <v>247</v>
      </c>
      <c r="D587" s="2" t="s">
        <v>21</v>
      </c>
      <c r="E587" t="s">
        <v>19</v>
      </c>
      <c r="J587" t="s">
        <v>25</v>
      </c>
      <c r="K587" s="3" t="s">
        <v>30</v>
      </c>
      <c r="L587" s="3" t="s">
        <v>27</v>
      </c>
      <c r="M587" s="3" t="s">
        <v>35</v>
      </c>
      <c r="N587" t="s">
        <v>26</v>
      </c>
      <c r="O587" s="3" t="s">
        <v>34</v>
      </c>
    </row>
    <row r="588" spans="1:15" x14ac:dyDescent="0.25">
      <c r="A588" t="s">
        <v>241</v>
      </c>
      <c r="C588">
        <v>44</v>
      </c>
      <c r="D588" s="22">
        <f>D551</f>
        <v>159.1</v>
      </c>
      <c r="E588">
        <f>'Ship Component Reqs'!F197</f>
        <v>4612</v>
      </c>
      <c r="F588" s="12">
        <f t="shared" ref="F588" si="208">MAX(E588,_xlfn.CEILING.MATH(ROUNDUP(E588*C588*((1-10%)*(1-2%)*(1-1%)),20)))*D588</f>
        <v>28191406.300000001</v>
      </c>
      <c r="G588" s="15">
        <f t="shared" ref="G588:G589" si="209">MAX(E588,_xlfn.CEILING.MATH(ROUNDUP(E588*C588*((1-10%)*(1-2%)*(1-1%)),20)))</f>
        <v>177193</v>
      </c>
      <c r="J588" t="str">
        <f>A588</f>
        <v>Crystalline Carbonide</v>
      </c>
      <c r="K588" s="3">
        <f>G588+G592+G596+G601+G606+G612+G618</f>
        <v>268298</v>
      </c>
      <c r="L588" s="3">
        <v>0</v>
      </c>
      <c r="M588" s="6">
        <f>((K588*'Ship Component Reqs'!$D$32)-L588)</f>
        <v>268298</v>
      </c>
      <c r="N588" s="4">
        <f>D588</f>
        <v>159.1</v>
      </c>
      <c r="O588" s="13">
        <f>IF(M588&lt;0,0,M588*N588)</f>
        <v>42686211.799999997</v>
      </c>
    </row>
    <row r="589" spans="1:15" ht="17.25" x14ac:dyDescent="0.4">
      <c r="A589" t="s">
        <v>12</v>
      </c>
      <c r="C589">
        <v>11</v>
      </c>
      <c r="D589" s="22">
        <f>D552</f>
        <v>332.4</v>
      </c>
      <c r="E589">
        <f>E588</f>
        <v>4612</v>
      </c>
      <c r="F589" s="38">
        <f>MAX(E589,_xlfn.CEILING.MATH(ROUNDUP(E589*C589*((1-10%)*(1-2%)*(1-1%)),20)))*D589</f>
        <v>14724987.6</v>
      </c>
      <c r="G589" s="15">
        <f t="shared" si="209"/>
        <v>44299</v>
      </c>
      <c r="J589" t="str">
        <f>A589</f>
        <v>Sylramic Fibers</v>
      </c>
      <c r="K589" s="3">
        <f>+G589+G619</f>
        <v>46123</v>
      </c>
      <c r="L589" s="3">
        <v>0</v>
      </c>
      <c r="M589" s="6">
        <f>((K589*'Ship Component Reqs'!$D$32)-L589)</f>
        <v>46123</v>
      </c>
      <c r="N589" s="4">
        <f>D589</f>
        <v>332.4</v>
      </c>
      <c r="O589" s="13">
        <f t="shared" ref="O589:O595" si="210">IF(M589&lt;0,0,M589*N589)</f>
        <v>15331285.199999999</v>
      </c>
    </row>
    <row r="590" spans="1:15" x14ac:dyDescent="0.25">
      <c r="D590" s="37"/>
      <c r="E590" s="1" t="str">
        <f>A587</f>
        <v>Crystalline Carbonide Armor Plate</v>
      </c>
      <c r="F590" s="4">
        <f>SUM(F588:F589)*1.03</f>
        <v>44203885.717</v>
      </c>
      <c r="G590" s="15"/>
      <c r="J590" t="str">
        <f>A593</f>
        <v>Fermionic Condensates</v>
      </c>
      <c r="K590" s="3">
        <f>+G593</f>
        <v>168</v>
      </c>
      <c r="L590" s="3">
        <v>0</v>
      </c>
      <c r="M590" s="6">
        <f>((K590*'Ship Component Reqs'!$D$32)-L590)</f>
        <v>168</v>
      </c>
      <c r="N590" s="4">
        <f>D593</f>
        <v>49950</v>
      </c>
      <c r="O590" s="13">
        <f t="shared" si="210"/>
        <v>8391600</v>
      </c>
    </row>
    <row r="591" spans="1:15" x14ac:dyDescent="0.25">
      <c r="A591" t="s">
        <v>242</v>
      </c>
      <c r="J591" t="str">
        <f>A597</f>
        <v>Phenolic Composites</v>
      </c>
      <c r="K591" s="3">
        <f>+G613+G597</f>
        <v>15718</v>
      </c>
      <c r="L591" s="3">
        <v>0</v>
      </c>
      <c r="M591" s="6">
        <f>((K591*'Ship Component Reqs'!$D$32)-L591)</f>
        <v>15718</v>
      </c>
      <c r="N591" s="4">
        <f>D597</f>
        <v>1484</v>
      </c>
      <c r="O591" s="13">
        <f t="shared" si="210"/>
        <v>23325512</v>
      </c>
    </row>
    <row r="592" spans="1:15" x14ac:dyDescent="0.25">
      <c r="A592" t="s">
        <v>241</v>
      </c>
      <c r="C592">
        <v>9</v>
      </c>
      <c r="D592" s="22">
        <f>D588</f>
        <v>159.1</v>
      </c>
      <c r="E592">
        <f>'Ship Component Reqs'!F198</f>
        <v>96</v>
      </c>
      <c r="F592" s="12">
        <f t="shared" ref="F592" si="211">MAX(E592,_xlfn.CEILING.MATH(ROUNDUP(E592*C592*((1-10%)*(1-2%)*(1-1%)),20)))*D592</f>
        <v>120120.5</v>
      </c>
      <c r="G592" s="15">
        <f t="shared" ref="G592:G593" si="212">MAX(E592,_xlfn.CEILING.MATH(ROUNDUP(E592*C592*((1-10%)*(1-2%)*(1-1%)),20)))</f>
        <v>755</v>
      </c>
      <c r="J592" t="str">
        <f>A598</f>
        <v>Ferrogel</v>
      </c>
      <c r="K592" s="3">
        <f>G598+G620</f>
        <v>696</v>
      </c>
      <c r="L592" s="3">
        <v>0</v>
      </c>
      <c r="M592" s="6">
        <f>((K592*'Ship Component Reqs'!$D$32)-L592)</f>
        <v>696</v>
      </c>
      <c r="N592" s="4">
        <f>D598</f>
        <v>23970</v>
      </c>
      <c r="O592" s="13">
        <f t="shared" si="210"/>
        <v>16683120</v>
      </c>
    </row>
    <row r="593" spans="1:15" ht="17.25" x14ac:dyDescent="0.4">
      <c r="A593" t="s">
        <v>9</v>
      </c>
      <c r="C593">
        <v>2</v>
      </c>
      <c r="D593" s="22">
        <f>D556</f>
        <v>49950</v>
      </c>
      <c r="E593">
        <f>E592</f>
        <v>96</v>
      </c>
      <c r="F593" s="38">
        <f>MAX(E593,_xlfn.CEILING.MATH(ROUNDUP(E593*C593*((1-10%)*(1-2%)*(1-1%)),20)))*D593</f>
        <v>8391600</v>
      </c>
      <c r="G593" s="15">
        <f t="shared" si="212"/>
        <v>168</v>
      </c>
      <c r="J593" t="str">
        <f>A602</f>
        <v>Nanotransistors</v>
      </c>
      <c r="K593" s="3">
        <f>G602+G608+G614</f>
        <v>6682</v>
      </c>
      <c r="L593" s="3">
        <v>0</v>
      </c>
      <c r="M593" s="6">
        <f>((K593*'Ship Component Reqs'!$D$32)-L593)</f>
        <v>6682</v>
      </c>
      <c r="N593" s="4">
        <f>D602</f>
        <v>3902</v>
      </c>
      <c r="O593" s="13">
        <f t="shared" si="210"/>
        <v>26073164</v>
      </c>
    </row>
    <row r="594" spans="1:15" x14ac:dyDescent="0.25">
      <c r="D594" s="37"/>
      <c r="E594" s="1" t="str">
        <f>A591</f>
        <v>Fusion Reactor Unit</v>
      </c>
      <c r="F594" s="4">
        <f>SUM(F592:F593)*1.03</f>
        <v>8767072.1150000002</v>
      </c>
      <c r="G594" s="15"/>
      <c r="J594" t="str">
        <f>A603</f>
        <v>Hypersynaptic Fibers</v>
      </c>
      <c r="K594" s="3">
        <f>G603</f>
        <v>1614</v>
      </c>
      <c r="L594" s="3">
        <v>0</v>
      </c>
      <c r="M594" s="6">
        <f>((K594*'Ship Component Reqs'!$D$32)-L594)</f>
        <v>1614</v>
      </c>
      <c r="N594" s="4">
        <f>D603</f>
        <v>6173</v>
      </c>
      <c r="O594" s="13">
        <f t="shared" si="210"/>
        <v>9963222</v>
      </c>
    </row>
    <row r="595" spans="1:15" x14ac:dyDescent="0.25">
      <c r="A595" t="s">
        <v>240</v>
      </c>
      <c r="J595" t="str">
        <f>A607</f>
        <v>Fullerides</v>
      </c>
      <c r="K595" s="3">
        <f>G607</f>
        <v>8876</v>
      </c>
      <c r="L595" s="3">
        <v>0</v>
      </c>
      <c r="M595" s="6">
        <f>((K595*'Ship Component Reqs'!$D$32)-L595)</f>
        <v>8876</v>
      </c>
      <c r="N595" s="4">
        <f>D607</f>
        <v>579.4</v>
      </c>
      <c r="O595" s="13">
        <f t="shared" si="210"/>
        <v>5142754.3999999994</v>
      </c>
    </row>
    <row r="596" spans="1:15" ht="17.25" x14ac:dyDescent="0.4">
      <c r="A596" t="s">
        <v>241</v>
      </c>
      <c r="C596">
        <v>13</v>
      </c>
      <c r="D596" s="22">
        <f>D588</f>
        <v>159.1</v>
      </c>
      <c r="E596">
        <f>'Ship Component Reqs'!F199</f>
        <v>464</v>
      </c>
      <c r="F596" s="12">
        <f t="shared" ref="F596:F597" si="213">MAX(E596,_xlfn.CEILING.MATH(ROUNDUP(E596*C596*((1-10%)*(1-2%)*(1-1%)),20)))*D596</f>
        <v>838138.79999999993</v>
      </c>
      <c r="G596" s="15">
        <f t="shared" ref="G596:G598" si="214">MAX(E596,_xlfn.CEILING.MATH(ROUNDUP(E596*C596*((1-10%)*(1-2%)*(1-1%)),20)))</f>
        <v>5268</v>
      </c>
      <c r="J596" t="str">
        <f>A609</f>
        <v>Photonic Metamaterials</v>
      </c>
      <c r="K596" s="3">
        <f>G609+G615</f>
        <v>6448</v>
      </c>
      <c r="L596" s="3">
        <v>0</v>
      </c>
      <c r="M596" s="6">
        <f>((K596*'Ship Component Reqs'!$D$32)-L596)</f>
        <v>6448</v>
      </c>
      <c r="N596" s="4">
        <f>D609</f>
        <v>9919</v>
      </c>
      <c r="O596" s="11">
        <f>IF(M596&lt;0,0,M596*N596)</f>
        <v>63957712</v>
      </c>
    </row>
    <row r="597" spans="1:15" x14ac:dyDescent="0.25">
      <c r="A597" t="s">
        <v>10</v>
      </c>
      <c r="C597">
        <v>3</v>
      </c>
      <c r="D597" s="22">
        <f>D560</f>
        <v>1484</v>
      </c>
      <c r="E597">
        <f>E596</f>
        <v>464</v>
      </c>
      <c r="F597" s="12">
        <f t="shared" si="213"/>
        <v>1804544</v>
      </c>
      <c r="G597" s="15">
        <f t="shared" si="214"/>
        <v>1216</v>
      </c>
      <c r="K597" s="10"/>
      <c r="O597" s="4">
        <f>SUM(O588:O596)</f>
        <v>211554581.40000001</v>
      </c>
    </row>
    <row r="598" spans="1:15" ht="17.25" x14ac:dyDescent="0.4">
      <c r="A598" t="s">
        <v>11</v>
      </c>
      <c r="C598">
        <v>1</v>
      </c>
      <c r="D598" s="22">
        <f>D561</f>
        <v>23970</v>
      </c>
      <c r="E598">
        <f>E597</f>
        <v>464</v>
      </c>
      <c r="F598" s="38">
        <f>MAX(E598,_xlfn.CEILING.MATH(ROUNDUP(E598*C598*((1-10%)*(1-2%)*(1-1%)),20)))*D598</f>
        <v>11122080</v>
      </c>
      <c r="G598" s="15">
        <f t="shared" si="214"/>
        <v>464</v>
      </c>
      <c r="M598" s="6"/>
      <c r="O598" s="11">
        <f>F590+F594+F599+F604+F610+F616+F621</f>
        <v>217901218.84200001</v>
      </c>
    </row>
    <row r="599" spans="1:15" x14ac:dyDescent="0.25">
      <c r="D599" s="37"/>
      <c r="E599" s="1" t="str">
        <f>A595</f>
        <v>Ion Thruster</v>
      </c>
      <c r="F599" s="4">
        <f>SUM(F596:F598)*1.03</f>
        <v>14177705.684</v>
      </c>
      <c r="K599" s="10"/>
      <c r="O599" s="4"/>
    </row>
    <row r="600" spans="1:15" x14ac:dyDescent="0.25">
      <c r="A600" t="s">
        <v>246</v>
      </c>
      <c r="D600" s="49"/>
    </row>
    <row r="601" spans="1:15" x14ac:dyDescent="0.25">
      <c r="A601" t="s">
        <v>241</v>
      </c>
      <c r="C601">
        <v>22</v>
      </c>
      <c r="D601" s="22">
        <f>D596</f>
        <v>159.1</v>
      </c>
      <c r="E601">
        <f>'Ship Component Reqs'!F200</f>
        <v>924</v>
      </c>
      <c r="F601" s="12">
        <f t="shared" ref="F601:F602" si="215">MAX(E601,_xlfn.CEILING.MATH(ROUNDUP(E601*C601*((1-10%)*(1-2%)*(1-1%)),20)))*D601</f>
        <v>2824184.1</v>
      </c>
      <c r="G601" s="15">
        <f t="shared" ref="G601:G603" si="216">MAX(E601,_xlfn.CEILING.MATH(ROUNDUP(E601*C601*((1-10%)*(1-2%)*(1-1%)),20)))</f>
        <v>17751</v>
      </c>
    </row>
    <row r="602" spans="1:15" x14ac:dyDescent="0.25">
      <c r="A602" t="s">
        <v>164</v>
      </c>
      <c r="C602">
        <v>1</v>
      </c>
      <c r="D602" s="22">
        <f>D565</f>
        <v>3902</v>
      </c>
      <c r="E602">
        <f>E601</f>
        <v>924</v>
      </c>
      <c r="F602" s="12">
        <f t="shared" si="215"/>
        <v>3605448</v>
      </c>
      <c r="G602" s="15">
        <f t="shared" si="216"/>
        <v>924</v>
      </c>
    </row>
    <row r="603" spans="1:15" ht="17.25" x14ac:dyDescent="0.4">
      <c r="A603" t="s">
        <v>15</v>
      </c>
      <c r="C603">
        <v>2</v>
      </c>
      <c r="D603" s="22">
        <f>D566</f>
        <v>6173</v>
      </c>
      <c r="E603">
        <f>E601</f>
        <v>924</v>
      </c>
      <c r="F603" s="38">
        <f>MAX(E603,_xlfn.CEILING.MATH(ROUNDUP(E603*C603*((1-10%)*(1-2%)*(1-1%)),20)))*D603</f>
        <v>9963222</v>
      </c>
      <c r="G603" s="15">
        <f t="shared" si="216"/>
        <v>1614</v>
      </c>
    </row>
    <row r="604" spans="1:15" x14ac:dyDescent="0.25">
      <c r="E604" s="1" t="str">
        <f>A600</f>
        <v>Magnetometric Sensor Cluster</v>
      </c>
      <c r="F604" s="4">
        <f>SUM(F601:F603)*1.03</f>
        <v>16884639.723000001</v>
      </c>
    </row>
    <row r="605" spans="1:15" ht="17.25" x14ac:dyDescent="0.4">
      <c r="A605" t="s">
        <v>243</v>
      </c>
      <c r="D605" s="37"/>
      <c r="F605" s="38"/>
      <c r="G605" s="15"/>
    </row>
    <row r="606" spans="1:15" x14ac:dyDescent="0.25">
      <c r="A606" t="s">
        <v>241</v>
      </c>
      <c r="C606">
        <v>27</v>
      </c>
      <c r="D606" s="22">
        <f>D596</f>
        <v>159.1</v>
      </c>
      <c r="E606">
        <f>'Ship Component Reqs'!F201</f>
        <v>924</v>
      </c>
      <c r="F606" s="12">
        <f t="shared" ref="F606:F608" si="217">MAX(E606,_xlfn.CEILING.MATH(ROUNDUP(E606*C606*((1-10%)*(1-2%)*(1-1%)),20)))*D606</f>
        <v>3465993.5</v>
      </c>
      <c r="G606" s="15">
        <f t="shared" ref="G606:G609" si="218">MAX(E606,_xlfn.CEILING.MATH(ROUNDUP(E606*C606*((1-10%)*(1-2%)*(1-1%)),20)))</f>
        <v>21785</v>
      </c>
    </row>
    <row r="607" spans="1:15" x14ac:dyDescent="0.25">
      <c r="A607" t="s">
        <v>16</v>
      </c>
      <c r="C607">
        <v>11</v>
      </c>
      <c r="D607" s="22">
        <f>D570</f>
        <v>579.4</v>
      </c>
      <c r="E607">
        <f>E606</f>
        <v>924</v>
      </c>
      <c r="F607" s="12">
        <f t="shared" si="217"/>
        <v>5142754.3999999994</v>
      </c>
      <c r="G607" s="15">
        <f t="shared" si="218"/>
        <v>8876</v>
      </c>
    </row>
    <row r="608" spans="1:15" x14ac:dyDescent="0.25">
      <c r="A608" t="s">
        <v>164</v>
      </c>
      <c r="C608">
        <v>1</v>
      </c>
      <c r="D608" s="22">
        <f>D602</f>
        <v>3902</v>
      </c>
      <c r="E608">
        <f>E607</f>
        <v>924</v>
      </c>
      <c r="F608" s="12">
        <f t="shared" si="217"/>
        <v>3605448</v>
      </c>
      <c r="G608" s="15">
        <f t="shared" si="218"/>
        <v>924</v>
      </c>
    </row>
    <row r="609" spans="1:7" ht="17.25" x14ac:dyDescent="0.4">
      <c r="A609" t="s">
        <v>251</v>
      </c>
      <c r="C609">
        <v>2</v>
      </c>
      <c r="D609" s="22">
        <f>D572</f>
        <v>9919</v>
      </c>
      <c r="E609">
        <f>E608</f>
        <v>924</v>
      </c>
      <c r="F609" s="38">
        <f>MAX(E609,_xlfn.CEILING.MATH(ROUNDUP(E609*C609*((1-10%)*(1-2%)*(1-1%)),20)))*D609</f>
        <v>16009266</v>
      </c>
      <c r="G609" s="15">
        <f t="shared" si="218"/>
        <v>1614</v>
      </c>
    </row>
    <row r="610" spans="1:7" x14ac:dyDescent="0.25">
      <c r="E610" s="1" t="str">
        <f>A605</f>
        <v>Oscillator Capacitor</v>
      </c>
      <c r="F610" s="4">
        <f>SUM(F606:F609)*1.03</f>
        <v>29070165.756999999</v>
      </c>
      <c r="G610" s="15"/>
    </row>
    <row r="611" spans="1:7" x14ac:dyDescent="0.25">
      <c r="A611" t="s">
        <v>244</v>
      </c>
      <c r="E611" s="1"/>
      <c r="F611" s="4"/>
    </row>
    <row r="612" spans="1:7" x14ac:dyDescent="0.25">
      <c r="A612" t="s">
        <v>241</v>
      </c>
      <c r="C612">
        <v>17</v>
      </c>
      <c r="D612" s="22">
        <f>D606</f>
        <v>159.1</v>
      </c>
      <c r="E612">
        <f>'Ship Component Reqs'!F202</f>
        <v>2768</v>
      </c>
      <c r="F612" s="12">
        <f t="shared" ref="F612:F614" si="219">MAX(E612,_xlfn.CEILING.MATH(ROUNDUP(E612*C612*((1-10%)*(1-2%)*(1-1%)),20)))*D612</f>
        <v>6537259.8999999994</v>
      </c>
      <c r="G612" s="15">
        <f t="shared" ref="G612:G615" si="220">MAX(E612,_xlfn.CEILING.MATH(ROUNDUP(E612*C612*((1-10%)*(1-2%)*(1-1%)),20)))</f>
        <v>41089</v>
      </c>
    </row>
    <row r="613" spans="1:7" x14ac:dyDescent="0.25">
      <c r="A613" t="s">
        <v>10</v>
      </c>
      <c r="C613">
        <v>6</v>
      </c>
      <c r="D613" s="22">
        <f>D597</f>
        <v>1484</v>
      </c>
      <c r="E613">
        <f>E612</f>
        <v>2768</v>
      </c>
      <c r="F613" s="12">
        <f t="shared" si="219"/>
        <v>21520968</v>
      </c>
      <c r="G613" s="15">
        <f t="shared" si="220"/>
        <v>14502</v>
      </c>
    </row>
    <row r="614" spans="1:7" x14ac:dyDescent="0.25">
      <c r="A614" t="s">
        <v>164</v>
      </c>
      <c r="C614">
        <v>2</v>
      </c>
      <c r="D614" s="22">
        <f>D608</f>
        <v>3902</v>
      </c>
      <c r="E614">
        <f>E613</f>
        <v>2768</v>
      </c>
      <c r="F614" s="12">
        <f t="shared" si="219"/>
        <v>18862268</v>
      </c>
      <c r="G614" s="15">
        <f t="shared" si="220"/>
        <v>4834</v>
      </c>
    </row>
    <row r="615" spans="1:7" ht="17.25" x14ac:dyDescent="0.4">
      <c r="A615" t="s">
        <v>251</v>
      </c>
      <c r="C615">
        <v>2</v>
      </c>
      <c r="D615" s="22">
        <f>D609</f>
        <v>9919</v>
      </c>
      <c r="E615">
        <f>E614</f>
        <v>2768</v>
      </c>
      <c r="F615" s="38">
        <f>MAX(E615,_xlfn.CEILING.MATH(ROUNDUP(E615*C615*((1-10%)*(1-2%)*(1-1%)),20)))*D615</f>
        <v>47948446</v>
      </c>
      <c r="G615" s="15">
        <f t="shared" si="220"/>
        <v>4834</v>
      </c>
    </row>
    <row r="616" spans="1:7" x14ac:dyDescent="0.25">
      <c r="E616" s="1" t="str">
        <f>A611</f>
        <v>Photon Microprocessor</v>
      </c>
      <c r="F616" s="4">
        <f>SUM(F612:F615)*1.03</f>
        <v>97715010.157000005</v>
      </c>
    </row>
    <row r="617" spans="1:7" x14ac:dyDescent="0.25">
      <c r="A617" t="s">
        <v>245</v>
      </c>
    </row>
    <row r="618" spans="1:7" x14ac:dyDescent="0.25">
      <c r="A618" t="s">
        <v>241</v>
      </c>
      <c r="C618">
        <v>22</v>
      </c>
      <c r="D618" s="22">
        <f>D612</f>
        <v>159.1</v>
      </c>
      <c r="E618">
        <f>'Ship Component Reqs'!F203</f>
        <v>232</v>
      </c>
      <c r="F618" s="12">
        <f t="shared" ref="F618:F619" si="221">MAX(E618,_xlfn.CEILING.MATH(ROUNDUP(E618*C618*((1-10%)*(1-2%)*(1-1%)),20)))*D618</f>
        <v>709108.7</v>
      </c>
      <c r="G618" s="15">
        <f t="shared" ref="G618:G620" si="222">MAX(E618,_xlfn.CEILING.MATH(ROUNDUP(E618*C618*((1-10%)*(1-2%)*(1-1%)),20)))</f>
        <v>4457</v>
      </c>
    </row>
    <row r="619" spans="1:7" x14ac:dyDescent="0.25">
      <c r="A619" t="s">
        <v>12</v>
      </c>
      <c r="C619">
        <v>9</v>
      </c>
      <c r="D619" s="22">
        <f>D589</f>
        <v>332.4</v>
      </c>
      <c r="E619">
        <f>E618</f>
        <v>232</v>
      </c>
      <c r="F619" s="12">
        <f t="shared" si="221"/>
        <v>606297.59999999998</v>
      </c>
      <c r="G619" s="15">
        <f t="shared" si="222"/>
        <v>1824</v>
      </c>
    </row>
    <row r="620" spans="1:7" ht="17.25" x14ac:dyDescent="0.4">
      <c r="A620" t="s">
        <v>11</v>
      </c>
      <c r="C620">
        <v>1</v>
      </c>
      <c r="D620" s="22">
        <f>D598</f>
        <v>23970</v>
      </c>
      <c r="E620">
        <f>E619</f>
        <v>232</v>
      </c>
      <c r="F620" s="38">
        <f>MAX(E620,_xlfn.CEILING.MATH(ROUNDUP(E620*C620*((1-10%)*(1-2%)*(1-1%)),20)))*D620</f>
        <v>5561040</v>
      </c>
      <c r="G620" s="15">
        <f t="shared" si="222"/>
        <v>232</v>
      </c>
    </row>
    <row r="621" spans="1:7" x14ac:dyDescent="0.25">
      <c r="E621" s="1" t="str">
        <f>A617</f>
        <v>Pulse Shield Emitter</v>
      </c>
      <c r="F621" s="4">
        <f>SUM(F618:F620)*1.03</f>
        <v>7082739.6890000002</v>
      </c>
      <c r="G621" s="15"/>
    </row>
  </sheetData>
  <conditionalFormatting sqref="M3:M11">
    <cfRule type="cellIs" dxfId="23" priority="22" operator="lessThan">
      <formula>0</formula>
    </cfRule>
  </conditionalFormatting>
  <conditionalFormatting sqref="M115:M123">
    <cfRule type="cellIs" dxfId="22" priority="21" operator="lessThan">
      <formula>0</formula>
    </cfRule>
  </conditionalFormatting>
  <conditionalFormatting sqref="M190:M198">
    <cfRule type="cellIs" dxfId="21" priority="20" operator="lessThan">
      <formula>0</formula>
    </cfRule>
  </conditionalFormatting>
  <conditionalFormatting sqref="M227:M235">
    <cfRule type="cellIs" dxfId="20" priority="19" operator="lessThan">
      <formula>0</formula>
    </cfRule>
  </conditionalFormatting>
  <conditionalFormatting sqref="M450">
    <cfRule type="cellIs" dxfId="19" priority="18" operator="lessThan">
      <formula>0</formula>
    </cfRule>
  </conditionalFormatting>
  <conditionalFormatting sqref="M440:M448">
    <cfRule type="cellIs" dxfId="18" priority="16" operator="lessThan">
      <formula>0</formula>
    </cfRule>
  </conditionalFormatting>
  <conditionalFormatting sqref="M40:M48">
    <cfRule type="cellIs" dxfId="17" priority="15" operator="lessThan">
      <formula>0</formula>
    </cfRule>
  </conditionalFormatting>
  <conditionalFormatting sqref="M77:M85">
    <cfRule type="cellIs" dxfId="16" priority="14" operator="lessThan">
      <formula>0</formula>
    </cfRule>
  </conditionalFormatting>
  <conditionalFormatting sqref="M524">
    <cfRule type="cellIs" dxfId="15" priority="13" operator="lessThan">
      <formula>0</formula>
    </cfRule>
  </conditionalFormatting>
  <conditionalFormatting sqref="M514:M522">
    <cfRule type="cellIs" dxfId="14" priority="12" operator="lessThan">
      <formula>0</formula>
    </cfRule>
  </conditionalFormatting>
  <conditionalFormatting sqref="M302:M310">
    <cfRule type="cellIs" dxfId="13" priority="11" operator="lessThan">
      <formula>0</formula>
    </cfRule>
  </conditionalFormatting>
  <conditionalFormatting sqref="M339:M347">
    <cfRule type="cellIs" dxfId="12" priority="10" operator="lessThan">
      <formula>0</formula>
    </cfRule>
  </conditionalFormatting>
  <conditionalFormatting sqref="M376:M384">
    <cfRule type="cellIs" dxfId="11" priority="9" operator="lessThan">
      <formula>0</formula>
    </cfRule>
  </conditionalFormatting>
  <conditionalFormatting sqref="M561">
    <cfRule type="cellIs" dxfId="10" priority="8" operator="lessThan">
      <formula>0</formula>
    </cfRule>
  </conditionalFormatting>
  <conditionalFormatting sqref="M551:M559">
    <cfRule type="cellIs" dxfId="9" priority="7" operator="lessThan">
      <formula>0</formula>
    </cfRule>
  </conditionalFormatting>
  <conditionalFormatting sqref="M598">
    <cfRule type="cellIs" dxfId="8" priority="6" operator="lessThan">
      <formula>0</formula>
    </cfRule>
  </conditionalFormatting>
  <conditionalFormatting sqref="M588:M596">
    <cfRule type="cellIs" dxfId="7" priority="5" operator="lessThan">
      <formula>0</formula>
    </cfRule>
  </conditionalFormatting>
  <conditionalFormatting sqref="M487">
    <cfRule type="cellIs" dxfId="6" priority="4" operator="lessThan">
      <formula>0</formula>
    </cfRule>
  </conditionalFormatting>
  <conditionalFormatting sqref="M477:M485">
    <cfRule type="cellIs" dxfId="5" priority="3" operator="lessThan">
      <formula>0</formula>
    </cfRule>
  </conditionalFormatting>
  <conditionalFormatting sqref="M152:M160">
    <cfRule type="cellIs" dxfId="4" priority="2" operator="lessThan">
      <formula>0</formula>
    </cfRule>
  </conditionalFormatting>
  <conditionalFormatting sqref="M264:M272">
    <cfRule type="cellIs" dxfId="3" priority="1" operator="lessThan">
      <formula>0</formula>
    </cfRule>
  </conditionalFormatting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77CB8-8CE0-4D4A-B747-E4DC76E40091}">
  <sheetPr>
    <tabColor rgb="FFFF0000"/>
  </sheetPr>
  <dimension ref="A1:M71"/>
  <sheetViews>
    <sheetView workbookViewId="0">
      <selection activeCell="H46" sqref="H46"/>
    </sheetView>
  </sheetViews>
  <sheetFormatPr defaultRowHeight="15" x14ac:dyDescent="0.25"/>
  <sheetData>
    <row r="1" spans="1:5" x14ac:dyDescent="0.25">
      <c r="A1" t="s">
        <v>28</v>
      </c>
      <c r="C1" t="s">
        <v>29</v>
      </c>
      <c r="E1">
        <f>'Ship Component Reqs'!D2*'Ship Component Reqs'!D4</f>
        <v>36</v>
      </c>
    </row>
    <row r="2" spans="1:5" x14ac:dyDescent="0.25">
      <c r="A2" t="str">
        <f>'Component BP'!A2</f>
        <v>Antimatter Reactor Unit</v>
      </c>
      <c r="D2">
        <f>'Component BP'!E3</f>
        <v>108</v>
      </c>
      <c r="E2" s="23"/>
    </row>
    <row r="3" spans="1:5" x14ac:dyDescent="0.25">
      <c r="A3" t="str">
        <f>'Component BP'!A6</f>
        <v>Fusion Thruster</v>
      </c>
      <c r="D3">
        <f>'Component BP'!E7</f>
        <v>0</v>
      </c>
      <c r="E3" s="23"/>
    </row>
    <row r="4" spans="1:5" x14ac:dyDescent="0.25">
      <c r="A4" t="str">
        <f>'Component BP'!A11</f>
        <v>Linear Shield Emitter</v>
      </c>
      <c r="D4">
        <f>'Component BP'!E12</f>
        <v>522</v>
      </c>
      <c r="E4" s="23"/>
    </row>
    <row r="5" spans="1:5" x14ac:dyDescent="0.25">
      <c r="A5" s="7" t="str">
        <f>'Component BP'!A16</f>
        <v>Nanoelectrical Microprocessor</v>
      </c>
      <c r="D5">
        <f>'Component BP'!E17</f>
        <v>5706</v>
      </c>
      <c r="E5" s="23"/>
    </row>
    <row r="6" spans="1:5" x14ac:dyDescent="0.25">
      <c r="A6" t="str">
        <f>'Component BP'!A22</f>
        <v>Radar Sensor Cluster</v>
      </c>
      <c r="D6">
        <f>'Component BP'!E23</f>
        <v>2358</v>
      </c>
      <c r="E6" s="23"/>
    </row>
    <row r="7" spans="1:5" x14ac:dyDescent="0.25">
      <c r="A7" t="str">
        <f>'Component BP'!A27</f>
        <v>Tesseract Capacitor Unit</v>
      </c>
      <c r="D7">
        <f>'Component BP'!E29</f>
        <v>2079</v>
      </c>
      <c r="E7" s="23"/>
    </row>
    <row r="8" spans="1:5" x14ac:dyDescent="0.25">
      <c r="A8" t="str">
        <f>'Component BP'!A33</f>
        <v>Tungsten Carbide Armor Plate</v>
      </c>
      <c r="D8">
        <f>'Component BP'!E34</f>
        <v>10377</v>
      </c>
      <c r="E8" s="23"/>
    </row>
    <row r="9" spans="1:5" s="17" customFormat="1" x14ac:dyDescent="0.25"/>
    <row r="10" spans="1:5" x14ac:dyDescent="0.25">
      <c r="A10" t="s">
        <v>28</v>
      </c>
      <c r="C10" t="s">
        <v>189</v>
      </c>
      <c r="E10" s="23"/>
    </row>
    <row r="11" spans="1:5" x14ac:dyDescent="0.25">
      <c r="A11" t="s">
        <v>6</v>
      </c>
      <c r="D11">
        <f>'Ship Component Reqs'!F18</f>
        <v>96</v>
      </c>
      <c r="E11" s="23"/>
    </row>
    <row r="12" spans="1:5" x14ac:dyDescent="0.25">
      <c r="A12" t="s">
        <v>1</v>
      </c>
      <c r="D12">
        <f>'Ship Component Reqs'!F19</f>
        <v>464</v>
      </c>
      <c r="E12" s="23"/>
    </row>
    <row r="13" spans="1:5" x14ac:dyDescent="0.25">
      <c r="A13" t="s">
        <v>7</v>
      </c>
      <c r="D13">
        <f>'Ship Component Reqs'!F20</f>
        <v>232</v>
      </c>
      <c r="E13" s="23"/>
    </row>
    <row r="14" spans="1:5" x14ac:dyDescent="0.25">
      <c r="A14" s="7" t="s">
        <v>4</v>
      </c>
      <c r="D14">
        <f>'Ship Component Reqs'!F21</f>
        <v>2768</v>
      </c>
      <c r="E14" s="23"/>
    </row>
    <row r="15" spans="1:5" x14ac:dyDescent="0.25">
      <c r="A15" t="s">
        <v>3</v>
      </c>
      <c r="D15">
        <f>'Ship Component Reqs'!F22</f>
        <v>924</v>
      </c>
      <c r="E15" s="23"/>
    </row>
    <row r="16" spans="1:5" x14ac:dyDescent="0.25">
      <c r="A16" t="s">
        <v>2</v>
      </c>
      <c r="D16">
        <f>'Ship Component Reqs'!F23</f>
        <v>924</v>
      </c>
      <c r="E16" s="23"/>
    </row>
    <row r="17" spans="1:13" x14ac:dyDescent="0.25">
      <c r="A17" t="s">
        <v>5</v>
      </c>
      <c r="D17">
        <f>'Ship Component Reqs'!F24</f>
        <v>4612</v>
      </c>
      <c r="E17" s="23"/>
    </row>
    <row r="18" spans="1:13" s="17" customFormat="1" x14ac:dyDescent="0.25"/>
    <row r="19" spans="1:13" x14ac:dyDescent="0.25">
      <c r="A19" t="s">
        <v>28</v>
      </c>
      <c r="C19" t="s">
        <v>237</v>
      </c>
      <c r="E19">
        <f>'Ship Component Reqs'!D34*'Ship Component Reqs'!D32</f>
        <v>1</v>
      </c>
    </row>
    <row r="20" spans="1:13" x14ac:dyDescent="0.25">
      <c r="A20" t="str">
        <f>'Component BP'!A114</f>
        <v>Antimatter Reactor Unit</v>
      </c>
      <c r="D20">
        <f>D2+D11</f>
        <v>204</v>
      </c>
      <c r="E20" s="23"/>
    </row>
    <row r="21" spans="1:13" x14ac:dyDescent="0.25">
      <c r="A21" t="str">
        <f>'Component BP'!A118</f>
        <v>Fusion Thruster</v>
      </c>
      <c r="D21">
        <f t="shared" ref="D21:D26" si="0">D3+D12</f>
        <v>464</v>
      </c>
      <c r="E21" s="23"/>
    </row>
    <row r="22" spans="1:13" x14ac:dyDescent="0.25">
      <c r="A22" t="str">
        <f>'Component BP'!A123</f>
        <v>Linear Shield Emitter</v>
      </c>
      <c r="D22">
        <f t="shared" si="0"/>
        <v>754</v>
      </c>
      <c r="E22" s="23"/>
      <c r="F22">
        <f>D22-176</f>
        <v>578</v>
      </c>
    </row>
    <row r="23" spans="1:13" x14ac:dyDescent="0.25">
      <c r="A23" s="7" t="str">
        <f>'Component BP'!A128</f>
        <v>Nanoelectrical Microprocessor</v>
      </c>
      <c r="D23">
        <f t="shared" si="0"/>
        <v>8474</v>
      </c>
      <c r="E23" s="23"/>
    </row>
    <row r="24" spans="1:13" x14ac:dyDescent="0.25">
      <c r="A24" t="str">
        <f>'Component BP'!A134</f>
        <v>Radar Sensor Cluster</v>
      </c>
      <c r="D24">
        <f t="shared" si="0"/>
        <v>3282</v>
      </c>
      <c r="E24" s="23"/>
      <c r="H24" s="29"/>
      <c r="I24" s="29"/>
      <c r="J24" s="29"/>
      <c r="K24" s="29"/>
      <c r="L24" s="29"/>
      <c r="M24" s="29"/>
    </row>
    <row r="25" spans="1:13" x14ac:dyDescent="0.25">
      <c r="A25" t="str">
        <f>'Component BP'!A139</f>
        <v>Tesseract Capacitor Unit</v>
      </c>
      <c r="D25">
        <f t="shared" si="0"/>
        <v>3003</v>
      </c>
      <c r="E25" s="23"/>
    </row>
    <row r="26" spans="1:13" x14ac:dyDescent="0.25">
      <c r="A26" t="str">
        <f>'Component BP'!A145</f>
        <v>Tungsten Carbide Armor Plate</v>
      </c>
      <c r="D26">
        <f t="shared" si="0"/>
        <v>14989</v>
      </c>
      <c r="E26" s="23"/>
      <c r="I26" s="8"/>
      <c r="J26" s="8"/>
      <c r="K26" s="8"/>
      <c r="L26" s="8"/>
      <c r="M26" s="8"/>
    </row>
    <row r="27" spans="1:13" s="17" customFormat="1" x14ac:dyDescent="0.25"/>
    <row r="28" spans="1:13" x14ac:dyDescent="0.25">
      <c r="A28" t="s">
        <v>28</v>
      </c>
      <c r="B28" t="s">
        <v>42</v>
      </c>
      <c r="E28">
        <f>'Ship Component Reqs'!D61*'Ship Component Reqs'!D63</f>
        <v>3</v>
      </c>
    </row>
    <row r="29" spans="1:13" x14ac:dyDescent="0.25">
      <c r="A29" t="str">
        <f>'Ship Component Reqs'!A62</f>
        <v>Graviton Reactor Unit</v>
      </c>
      <c r="D29">
        <f>'Ship Component Reqs'!F62</f>
        <v>52</v>
      </c>
      <c r="E29" s="23"/>
      <c r="F29" t="s">
        <v>168</v>
      </c>
    </row>
    <row r="30" spans="1:13" x14ac:dyDescent="0.25">
      <c r="A30" t="str">
        <f>'Ship Component Reqs'!A63</f>
        <v>Sustained Shield Emitter</v>
      </c>
      <c r="D30">
        <f>'Ship Component Reqs'!F63</f>
        <v>110</v>
      </c>
      <c r="E30" s="23"/>
      <c r="F30" t="s">
        <v>168</v>
      </c>
    </row>
    <row r="31" spans="1:13" x14ac:dyDescent="0.25">
      <c r="A31" t="str">
        <f>'Ship Component Reqs'!A64</f>
        <v>Magpulse Thruster</v>
      </c>
      <c r="D31">
        <f>'Ship Component Reqs'!F64</f>
        <v>173</v>
      </c>
      <c r="E31" s="23"/>
      <c r="F31" t="s">
        <v>168</v>
      </c>
    </row>
    <row r="32" spans="1:13" x14ac:dyDescent="0.25">
      <c r="A32" t="str">
        <f>'Ship Component Reqs'!A65</f>
        <v>Gravimetric Sensor Cluster</v>
      </c>
      <c r="D32">
        <f>'Ship Component Reqs'!F65</f>
        <v>228</v>
      </c>
      <c r="E32" s="23"/>
      <c r="F32" t="s">
        <v>168</v>
      </c>
    </row>
    <row r="33" spans="1:6" x14ac:dyDescent="0.25">
      <c r="A33" t="str">
        <f>'Ship Component Reqs'!A66</f>
        <v>Scalar Capacitor Unit</v>
      </c>
      <c r="D33">
        <f>'Ship Component Reqs'!F66</f>
        <v>433</v>
      </c>
      <c r="E33" s="23"/>
      <c r="F33" t="s">
        <v>168</v>
      </c>
    </row>
    <row r="34" spans="1:6" x14ac:dyDescent="0.25">
      <c r="A34" t="str">
        <f>'Ship Component Reqs'!A67</f>
        <v>Quantum Microprocessor</v>
      </c>
      <c r="D34">
        <f>'Ship Component Reqs'!F67</f>
        <v>1066</v>
      </c>
      <c r="E34" s="23"/>
      <c r="F34" t="s">
        <v>168</v>
      </c>
    </row>
    <row r="35" spans="1:6" x14ac:dyDescent="0.25">
      <c r="A35" t="str">
        <f>'Ship Component Reqs'!A68</f>
        <v>Titanium Diborite Armor Plate</v>
      </c>
      <c r="D35">
        <f>'Ship Component Reqs'!F68</f>
        <v>4696</v>
      </c>
      <c r="E35" s="23"/>
    </row>
    <row r="36" spans="1:6" s="17" customFormat="1" x14ac:dyDescent="0.25"/>
    <row r="37" spans="1:6" x14ac:dyDescent="0.25">
      <c r="A37" t="s">
        <v>28</v>
      </c>
      <c r="B37" t="s">
        <v>254</v>
      </c>
    </row>
    <row r="38" spans="1:6" x14ac:dyDescent="0.25">
      <c r="A38" t="s">
        <v>247</v>
      </c>
      <c r="D38">
        <f>'Component BP'!E514</f>
        <v>3845</v>
      </c>
      <c r="E38" s="23" t="s">
        <v>333</v>
      </c>
    </row>
    <row r="39" spans="1:6" x14ac:dyDescent="0.25">
      <c r="A39" t="s">
        <v>242</v>
      </c>
      <c r="D39">
        <f>'Component BP'!E518</f>
        <v>0</v>
      </c>
      <c r="E39" s="23"/>
    </row>
    <row r="40" spans="1:6" x14ac:dyDescent="0.25">
      <c r="A40" t="s">
        <v>240</v>
      </c>
      <c r="D40">
        <f>'Component BP'!E522</f>
        <v>350</v>
      </c>
      <c r="E40" s="23" t="s">
        <v>333</v>
      </c>
    </row>
    <row r="41" spans="1:6" x14ac:dyDescent="0.25">
      <c r="A41" t="s">
        <v>246</v>
      </c>
      <c r="D41">
        <f>'Component BP'!E527</f>
        <v>290</v>
      </c>
      <c r="E41" s="23" t="s">
        <v>333</v>
      </c>
    </row>
    <row r="42" spans="1:6" x14ac:dyDescent="0.25">
      <c r="A42" t="s">
        <v>243</v>
      </c>
      <c r="D42">
        <f>'Component BP'!E532</f>
        <v>810</v>
      </c>
      <c r="E42" s="23" t="s">
        <v>333</v>
      </c>
    </row>
    <row r="43" spans="1:6" x14ac:dyDescent="0.25">
      <c r="A43" t="s">
        <v>244</v>
      </c>
      <c r="D43">
        <f>'Component BP'!E538</f>
        <v>3270</v>
      </c>
      <c r="E43" s="23" t="s">
        <v>333</v>
      </c>
    </row>
    <row r="44" spans="1:6" x14ac:dyDescent="0.25">
      <c r="A44" t="s">
        <v>245</v>
      </c>
      <c r="D44">
        <f>'Component BP'!E544</f>
        <v>425</v>
      </c>
      <c r="E44" s="23" t="s">
        <v>333</v>
      </c>
    </row>
    <row r="45" spans="1:6" s="17" customFormat="1" x14ac:dyDescent="0.25"/>
    <row r="46" spans="1:6" x14ac:dyDescent="0.25">
      <c r="A46" t="s">
        <v>28</v>
      </c>
      <c r="B46" t="s">
        <v>293</v>
      </c>
    </row>
    <row r="47" spans="1:6" x14ac:dyDescent="0.25">
      <c r="A47" t="s">
        <v>153</v>
      </c>
      <c r="D47">
        <f>'Component BP'!E302</f>
        <v>44</v>
      </c>
      <c r="E47" s="23"/>
    </row>
    <row r="48" spans="1:6" x14ac:dyDescent="0.25">
      <c r="A48" t="s">
        <v>154</v>
      </c>
      <c r="D48">
        <f>'Component BP'!E306</f>
        <v>110</v>
      </c>
      <c r="E48" s="23"/>
    </row>
    <row r="49" spans="1:5" x14ac:dyDescent="0.25">
      <c r="A49" t="s">
        <v>155</v>
      </c>
      <c r="D49">
        <f>'Component BP'!E311</f>
        <v>173</v>
      </c>
      <c r="E49" s="23"/>
    </row>
    <row r="50" spans="1:5" x14ac:dyDescent="0.25">
      <c r="A50" t="s">
        <v>156</v>
      </c>
      <c r="D50">
        <f>'Component BP'!E316</f>
        <v>217</v>
      </c>
      <c r="E50" s="23"/>
    </row>
    <row r="51" spans="1:5" x14ac:dyDescent="0.25">
      <c r="A51" t="s">
        <v>157</v>
      </c>
      <c r="D51">
        <f>'Component BP'!E321</f>
        <v>433</v>
      </c>
      <c r="E51" s="23"/>
    </row>
    <row r="52" spans="1:5" x14ac:dyDescent="0.25">
      <c r="A52" t="s">
        <v>158</v>
      </c>
      <c r="D52">
        <f>'Component BP'!E327</f>
        <v>1038</v>
      </c>
      <c r="E52" s="23"/>
    </row>
    <row r="53" spans="1:5" x14ac:dyDescent="0.25">
      <c r="A53" t="s">
        <v>159</v>
      </c>
      <c r="D53">
        <f>'Component BP'!E333</f>
        <v>4322</v>
      </c>
      <c r="E53" s="23"/>
    </row>
    <row r="54" spans="1:5" s="17" customFormat="1" x14ac:dyDescent="0.25"/>
    <row r="55" spans="1:5" x14ac:dyDescent="0.25">
      <c r="A55" t="s">
        <v>28</v>
      </c>
      <c r="B55" t="s">
        <v>294</v>
      </c>
    </row>
    <row r="56" spans="1:5" x14ac:dyDescent="0.25">
      <c r="A56" t="s">
        <v>153</v>
      </c>
      <c r="D56">
        <f>'Component BP'!E339</f>
        <v>5</v>
      </c>
      <c r="E56" s="23"/>
    </row>
    <row r="57" spans="1:5" x14ac:dyDescent="0.25">
      <c r="A57" t="s">
        <v>154</v>
      </c>
      <c r="D57">
        <f>'Component BP'!E343</f>
        <v>23</v>
      </c>
      <c r="E57" s="23"/>
    </row>
    <row r="58" spans="1:5" x14ac:dyDescent="0.25">
      <c r="A58" t="s">
        <v>155</v>
      </c>
      <c r="D58">
        <f>'Component BP'!E348</f>
        <v>45</v>
      </c>
      <c r="E58" s="23"/>
    </row>
    <row r="59" spans="1:5" x14ac:dyDescent="0.25">
      <c r="A59" t="s">
        <v>156</v>
      </c>
      <c r="D59">
        <f>'Component BP'!E353</f>
        <v>30</v>
      </c>
      <c r="E59" s="23"/>
    </row>
    <row r="60" spans="1:5" x14ac:dyDescent="0.25">
      <c r="A60" t="s">
        <v>157</v>
      </c>
      <c r="D60">
        <f>'Component BP'!E358</f>
        <v>75</v>
      </c>
      <c r="E60" s="23"/>
    </row>
    <row r="61" spans="1:5" x14ac:dyDescent="0.25">
      <c r="A61" t="s">
        <v>158</v>
      </c>
      <c r="D61">
        <f>'Component BP'!E364</f>
        <v>120</v>
      </c>
      <c r="E61" s="23"/>
    </row>
    <row r="62" spans="1:5" x14ac:dyDescent="0.25">
      <c r="A62" t="s">
        <v>159</v>
      </c>
      <c r="D62">
        <f>'Component BP'!E370</f>
        <v>450</v>
      </c>
      <c r="E62" s="23"/>
    </row>
    <row r="63" spans="1:5" s="17" customFormat="1" x14ac:dyDescent="0.25"/>
    <row r="64" spans="1:5" x14ac:dyDescent="0.25">
      <c r="A64" t="s">
        <v>28</v>
      </c>
      <c r="B64" t="s">
        <v>295</v>
      </c>
    </row>
    <row r="65" spans="1:5" x14ac:dyDescent="0.25">
      <c r="A65" t="s">
        <v>153</v>
      </c>
      <c r="D65">
        <f>D47+D56</f>
        <v>49</v>
      </c>
      <c r="E65" s="23"/>
    </row>
    <row r="66" spans="1:5" x14ac:dyDescent="0.25">
      <c r="A66" t="s">
        <v>154</v>
      </c>
      <c r="D66">
        <f t="shared" ref="D66:D71" si="1">D48+D57</f>
        <v>133</v>
      </c>
      <c r="E66" s="23"/>
    </row>
    <row r="67" spans="1:5" x14ac:dyDescent="0.25">
      <c r="A67" t="s">
        <v>155</v>
      </c>
      <c r="D67">
        <f t="shared" si="1"/>
        <v>218</v>
      </c>
      <c r="E67" s="23"/>
    </row>
    <row r="68" spans="1:5" x14ac:dyDescent="0.25">
      <c r="A68" t="s">
        <v>156</v>
      </c>
      <c r="D68">
        <f t="shared" si="1"/>
        <v>247</v>
      </c>
      <c r="E68" s="23"/>
    </row>
    <row r="69" spans="1:5" x14ac:dyDescent="0.25">
      <c r="A69" t="s">
        <v>157</v>
      </c>
      <c r="D69">
        <f>D51+D60</f>
        <v>508</v>
      </c>
      <c r="E69" s="23"/>
    </row>
    <row r="70" spans="1:5" x14ac:dyDescent="0.25">
      <c r="A70" t="s">
        <v>158</v>
      </c>
      <c r="D70">
        <f t="shared" si="1"/>
        <v>1158</v>
      </c>
      <c r="E70" s="23"/>
    </row>
    <row r="71" spans="1:5" x14ac:dyDescent="0.25">
      <c r="A71" t="s">
        <v>159</v>
      </c>
      <c r="D71">
        <f t="shared" si="1"/>
        <v>4772</v>
      </c>
      <c r="E71" s="23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1065F-D993-4858-A62E-8E321013D079}">
  <sheetPr>
    <tabColor rgb="FFFF0000"/>
  </sheetPr>
  <dimension ref="A1:V74"/>
  <sheetViews>
    <sheetView zoomScaleNormal="100" workbookViewId="0">
      <selection activeCell="D4" sqref="D4"/>
    </sheetView>
  </sheetViews>
  <sheetFormatPr defaultRowHeight="15" x14ac:dyDescent="0.25"/>
  <cols>
    <col min="1" max="1" width="28.42578125" bestFit="1" customWidth="1"/>
    <col min="11" max="11" width="11.140625" bestFit="1" customWidth="1"/>
    <col min="13" max="13" width="16.140625" bestFit="1" customWidth="1"/>
    <col min="14" max="14" width="19.28515625" bestFit="1" customWidth="1"/>
    <col min="21" max="21" width="11.140625" bestFit="1" customWidth="1"/>
    <col min="22" max="22" width="20.42578125" bestFit="1" customWidth="1"/>
  </cols>
  <sheetData>
    <row r="1" spans="1:22" x14ac:dyDescent="0.25">
      <c r="A1" t="str">
        <f>'Ship Component Reqs'!A2</f>
        <v>Anathema Requirements</v>
      </c>
      <c r="B1" t="str">
        <f>'Ship Component Reqs'!B2</f>
        <v>Base</v>
      </c>
      <c r="C1" s="32" t="str">
        <f>'Ship Component Reqs'!C2</f>
        <v>Runs</v>
      </c>
      <c r="D1" s="35">
        <f>'Ship Component Reqs'!D2</f>
        <v>4</v>
      </c>
      <c r="E1" t="str">
        <f>'Ship Component Reqs'!E2</f>
        <v>Have</v>
      </c>
      <c r="F1" t="str">
        <f>'Ship Component Reqs'!F2</f>
        <v>Need</v>
      </c>
      <c r="H1" t="s">
        <v>236</v>
      </c>
      <c r="K1" s="2"/>
      <c r="L1" s="1"/>
      <c r="M1" s="4"/>
      <c r="Q1" t="s">
        <v>25</v>
      </c>
      <c r="R1" s="3" t="s">
        <v>30</v>
      </c>
      <c r="S1" s="3" t="s">
        <v>27</v>
      </c>
      <c r="T1" s="3" t="s">
        <v>35</v>
      </c>
      <c r="U1" t="s">
        <v>26</v>
      </c>
      <c r="V1" s="3" t="s">
        <v>34</v>
      </c>
    </row>
    <row r="2" spans="1:22" x14ac:dyDescent="0.25">
      <c r="A2" t="str">
        <f>'Ship Component Reqs'!A3</f>
        <v>Antimatter Reactor Unit</v>
      </c>
      <c r="B2">
        <f>'Ship Component Reqs'!B3</f>
        <v>3</v>
      </c>
      <c r="C2">
        <f>'Ship Component Reqs'!C3</f>
        <v>12</v>
      </c>
      <c r="D2" s="33" t="str">
        <f>'Ship Component Reqs'!D3</f>
        <v>Copies</v>
      </c>
      <c r="E2" s="5">
        <f>'Ship Component Reqs'!E3</f>
        <v>0</v>
      </c>
      <c r="F2">
        <f>'Ship Component Reqs'!F3</f>
        <v>108</v>
      </c>
      <c r="H2" t="s">
        <v>6</v>
      </c>
      <c r="K2" s="2" t="s">
        <v>21</v>
      </c>
      <c r="L2" t="s">
        <v>19</v>
      </c>
      <c r="N2" t="s">
        <v>24</v>
      </c>
      <c r="Q2" t="s">
        <v>8</v>
      </c>
      <c r="R2">
        <f ca="1">SUMIF($H$3:$N$35,Q2,$N$3:$N$35)</f>
        <v>856870</v>
      </c>
      <c r="S2" s="20"/>
      <c r="T2" s="6">
        <f t="shared" ref="T2:T7" ca="1" si="0">((R2)-S2)</f>
        <v>856870</v>
      </c>
      <c r="U2" s="4">
        <f>K3</f>
        <v>145.9</v>
      </c>
      <c r="V2" s="13">
        <f t="shared" ref="V2:V10" ca="1" si="1">IF(T2&lt;0,0,T2*U2)</f>
        <v>125017333</v>
      </c>
    </row>
    <row r="3" spans="1:22" x14ac:dyDescent="0.25">
      <c r="A3" t="str">
        <f>'Ship Component Reqs'!A4</f>
        <v>Fusion Thruster</v>
      </c>
      <c r="B3">
        <f>'Ship Component Reqs'!B4</f>
        <v>30</v>
      </c>
      <c r="C3">
        <f>'Ship Component Reqs'!C4</f>
        <v>116</v>
      </c>
      <c r="D3" s="34">
        <v>5</v>
      </c>
      <c r="E3" s="5">
        <f>'Ship Component Reqs'!E4</f>
        <v>1044</v>
      </c>
      <c r="F3">
        <f>'Ship Component Reqs'!F4</f>
        <v>0</v>
      </c>
      <c r="H3" t="s">
        <v>8</v>
      </c>
      <c r="I3">
        <v>9</v>
      </c>
      <c r="J3">
        <v>9</v>
      </c>
      <c r="K3" s="22">
        <f>Pricing!F3</f>
        <v>145.9</v>
      </c>
      <c r="L3">
        <f>F24</f>
        <v>204</v>
      </c>
      <c r="M3" s="12">
        <f>MAX(L3,_xlfn.CEILING.MATH(ROUNDUP(L3*J3*((1-10%)*(1-2%)*(1-1%)),20)))*K3</f>
        <v>234023.6</v>
      </c>
      <c r="N3" s="15">
        <f>MAX(L3,_xlfn.CEILING.MATH(ROUNDUP(L3*J3*((1-10%)*(1-2%)*(1-1%)),20)))</f>
        <v>1604</v>
      </c>
      <c r="Q3" t="s">
        <v>9</v>
      </c>
      <c r="R3">
        <f t="shared" ref="R3:R10" ca="1" si="2">SUMIF($H$3:$N$35,Q3,$N$3:$N$35)</f>
        <v>357</v>
      </c>
      <c r="S3" s="20">
        <v>0</v>
      </c>
      <c r="T3" s="6">
        <f t="shared" ca="1" si="0"/>
        <v>357</v>
      </c>
      <c r="U3" s="2">
        <f>K4</f>
        <v>49950</v>
      </c>
      <c r="V3" s="13">
        <f t="shared" ca="1" si="1"/>
        <v>17832150</v>
      </c>
    </row>
    <row r="4" spans="1:22" ht="17.25" x14ac:dyDescent="0.4">
      <c r="A4" t="str">
        <f>'Ship Component Reqs'!A5</f>
        <v>Linear Shield Emitter</v>
      </c>
      <c r="B4">
        <f>'Ship Component Reqs'!B5</f>
        <v>15</v>
      </c>
      <c r="C4">
        <f>'Ship Component Reqs'!C5</f>
        <v>58</v>
      </c>
      <c r="D4">
        <f>'Ship Component Reqs'!D5</f>
        <v>0</v>
      </c>
      <c r="E4" s="5">
        <f>'Ship Component Reqs'!E5</f>
        <v>0</v>
      </c>
      <c r="F4">
        <f>'Ship Component Reqs'!F5</f>
        <v>522</v>
      </c>
      <c r="H4" t="s">
        <v>9</v>
      </c>
      <c r="I4">
        <v>2</v>
      </c>
      <c r="J4">
        <v>2</v>
      </c>
      <c r="K4" s="22">
        <f>Pricing!F26</f>
        <v>49950</v>
      </c>
      <c r="L4">
        <f>L3</f>
        <v>204</v>
      </c>
      <c r="M4" s="38">
        <f>MAX(L4,_xlfn.CEILING.MATH(ROUNDUP(L4*J4*((1-10%)*(1-2%)*(1-1%)),20)))*K4</f>
        <v>17832150</v>
      </c>
      <c r="N4" s="15">
        <f>MAX(L4,_xlfn.CEILING.MATH(ROUNDUP(L4*J4*((1-10%)*(1-2%)*(1-1%)),20)))</f>
        <v>357</v>
      </c>
      <c r="Q4" t="s">
        <v>10</v>
      </c>
      <c r="R4">
        <f t="shared" ca="1" si="2"/>
        <v>45612</v>
      </c>
      <c r="S4" s="20">
        <v>0</v>
      </c>
      <c r="T4" s="6">
        <f t="shared" ca="1" si="0"/>
        <v>45612</v>
      </c>
      <c r="U4" s="4">
        <f>K8</f>
        <v>1484</v>
      </c>
      <c r="V4" s="13">
        <f t="shared" ca="1" si="1"/>
        <v>67688208</v>
      </c>
    </row>
    <row r="5" spans="1:22" x14ac:dyDescent="0.25">
      <c r="A5" t="str">
        <f>'Ship Component Reqs'!A6</f>
        <v>Nanoelectrical Microprocessor</v>
      </c>
      <c r="B5">
        <f>'Ship Component Reqs'!B6</f>
        <v>165</v>
      </c>
      <c r="C5">
        <f>'Ship Component Reqs'!C6</f>
        <v>634</v>
      </c>
      <c r="D5">
        <f>'Ship Component Reqs'!D6</f>
        <v>36</v>
      </c>
      <c r="E5" s="5">
        <f>'Ship Component Reqs'!E6</f>
        <v>0</v>
      </c>
      <c r="F5">
        <f>'Ship Component Reqs'!F6</f>
        <v>5706</v>
      </c>
      <c r="K5" s="2"/>
      <c r="L5" s="1" t="str">
        <f>H2</f>
        <v>Antimatter Reactor Unit</v>
      </c>
      <c r="M5" s="4">
        <f>SUM(M3:M4)</f>
        <v>18066173.600000001</v>
      </c>
      <c r="Q5" t="s">
        <v>11</v>
      </c>
      <c r="R5">
        <f t="shared" ca="1" si="2"/>
        <v>1218</v>
      </c>
      <c r="S5" s="20">
        <v>0</v>
      </c>
      <c r="T5" s="6">
        <f t="shared" ca="1" si="0"/>
        <v>1218</v>
      </c>
      <c r="U5" s="4">
        <f>K9</f>
        <v>23970</v>
      </c>
      <c r="V5" s="13">
        <f t="shared" ca="1" si="1"/>
        <v>29195460</v>
      </c>
    </row>
    <row r="6" spans="1:22" x14ac:dyDescent="0.25">
      <c r="A6" t="str">
        <f>'Ship Component Reqs'!A7</f>
        <v>Radar Sensor Cluster</v>
      </c>
      <c r="B6">
        <f>'Ship Component Reqs'!B7</f>
        <v>68</v>
      </c>
      <c r="C6">
        <f>'Ship Component Reqs'!C7</f>
        <v>262</v>
      </c>
      <c r="D6">
        <f>'Ship Component Reqs'!D7</f>
        <v>0</v>
      </c>
      <c r="E6" s="5">
        <f>'Ship Component Reqs'!E7</f>
        <v>0</v>
      </c>
      <c r="F6">
        <f>'Ship Component Reqs'!F7</f>
        <v>2358</v>
      </c>
      <c r="H6" t="s">
        <v>1</v>
      </c>
      <c r="K6" s="2"/>
      <c r="M6" s="4"/>
      <c r="Q6" t="s">
        <v>12</v>
      </c>
      <c r="R6">
        <f t="shared" ca="1" si="2"/>
        <v>149896</v>
      </c>
      <c r="S6" s="20"/>
      <c r="T6" s="6">
        <f t="shared" ca="1" si="0"/>
        <v>149896</v>
      </c>
      <c r="U6" s="4">
        <f>K14</f>
        <v>332.4</v>
      </c>
      <c r="V6" s="13">
        <f t="shared" ca="1" si="1"/>
        <v>49825430.399999999</v>
      </c>
    </row>
    <row r="7" spans="1:22" x14ac:dyDescent="0.25">
      <c r="A7" t="str">
        <f>'Ship Component Reqs'!A8</f>
        <v>Tesseract Capacitor Unit</v>
      </c>
      <c r="B7">
        <f>'Ship Component Reqs'!B8</f>
        <v>60</v>
      </c>
      <c r="C7">
        <f>'Ship Component Reqs'!C8</f>
        <v>231</v>
      </c>
      <c r="D7">
        <f>'Ship Component Reqs'!D8</f>
        <v>0</v>
      </c>
      <c r="E7" s="5">
        <f>'Ship Component Reqs'!E8</f>
        <v>0</v>
      </c>
      <c r="F7">
        <f>'Ship Component Reqs'!F8</f>
        <v>2079</v>
      </c>
      <c r="H7" t="str">
        <f>H3</f>
        <v>Tungsten Carbide</v>
      </c>
      <c r="I7">
        <v>12</v>
      </c>
      <c r="J7">
        <v>13</v>
      </c>
      <c r="K7" s="37">
        <f>K3</f>
        <v>145.9</v>
      </c>
      <c r="L7">
        <f>F25</f>
        <v>464</v>
      </c>
      <c r="M7" s="12">
        <f t="shared" ref="M7:M8" si="3">MAX(L7,_xlfn.CEILING.MATH(ROUNDUP(L7*J7*((1-10%)*(1-2%)*(1-1%)),20)))*K7</f>
        <v>768601.20000000007</v>
      </c>
      <c r="N7" s="15">
        <f t="shared" ref="N7:N8" si="4">MAX(L7,_xlfn.CEILING.MATH(ROUNDUP(L7*J7*((1-10%)*(1-2%)*(1-1%)),20)))</f>
        <v>5268</v>
      </c>
      <c r="Q7" t="s">
        <v>13</v>
      </c>
      <c r="R7">
        <f t="shared" ca="1" si="2"/>
        <v>20044</v>
      </c>
      <c r="S7" s="20"/>
      <c r="T7" s="6">
        <f t="shared" ca="1" si="0"/>
        <v>20044</v>
      </c>
      <c r="U7" s="4">
        <f>K19</f>
        <v>11940</v>
      </c>
      <c r="V7" s="13">
        <f t="shared" ca="1" si="1"/>
        <v>239325360</v>
      </c>
    </row>
    <row r="8" spans="1:22" x14ac:dyDescent="0.25">
      <c r="A8" t="str">
        <f>'Ship Component Reqs'!A9</f>
        <v>Tungsten Carbide Armor Plate</v>
      </c>
      <c r="B8">
        <f>'Ship Component Reqs'!B9</f>
        <v>300</v>
      </c>
      <c r="C8">
        <f>'Ship Component Reqs'!C9</f>
        <v>1153</v>
      </c>
      <c r="D8">
        <f>'Ship Component Reqs'!D9</f>
        <v>0</v>
      </c>
      <c r="E8" s="5">
        <f>'Ship Component Reqs'!E9</f>
        <v>0</v>
      </c>
      <c r="F8">
        <f>'Ship Component Reqs'!F9</f>
        <v>10377</v>
      </c>
      <c r="H8" t="s">
        <v>10</v>
      </c>
      <c r="I8">
        <v>3</v>
      </c>
      <c r="J8">
        <v>3</v>
      </c>
      <c r="K8" s="22">
        <f>Pricing!F27</f>
        <v>1484</v>
      </c>
      <c r="L8">
        <f>L7</f>
        <v>464</v>
      </c>
      <c r="M8" s="12">
        <f t="shared" si="3"/>
        <v>1804544</v>
      </c>
      <c r="N8" s="15">
        <f t="shared" si="4"/>
        <v>1216</v>
      </c>
      <c r="Q8" t="s">
        <v>14</v>
      </c>
      <c r="R8">
        <f t="shared" ca="1" si="2"/>
        <v>21084</v>
      </c>
      <c r="S8" s="20">
        <v>29939</v>
      </c>
      <c r="T8" s="6">
        <f ca="1">((R8)-S8)</f>
        <v>-8855</v>
      </c>
      <c r="U8" s="4">
        <f>K20</f>
        <v>3902</v>
      </c>
      <c r="V8" s="13">
        <f t="shared" ca="1" si="1"/>
        <v>0</v>
      </c>
    </row>
    <row r="9" spans="1:22" ht="17.25" x14ac:dyDescent="0.4">
      <c r="A9">
        <f>'Ship Component Reqs'!A10</f>
        <v>0</v>
      </c>
      <c r="B9">
        <f>'Ship Component Reqs'!B10</f>
        <v>0</v>
      </c>
      <c r="C9">
        <f>'Ship Component Reqs'!C10</f>
        <v>0</v>
      </c>
      <c r="D9">
        <f>'Ship Component Reqs'!D10</f>
        <v>0</v>
      </c>
      <c r="E9">
        <f>'Ship Component Reqs'!E10</f>
        <v>0</v>
      </c>
      <c r="F9">
        <f>'Ship Component Reqs'!F10</f>
        <v>0</v>
      </c>
      <c r="H9" t="s">
        <v>11</v>
      </c>
      <c r="I9">
        <v>1</v>
      </c>
      <c r="J9">
        <v>1</v>
      </c>
      <c r="K9" s="22">
        <f>Pricing!F28</f>
        <v>23970</v>
      </c>
      <c r="L9">
        <f>L7</f>
        <v>464</v>
      </c>
      <c r="M9" s="38">
        <f>MAX(L9,_xlfn.CEILING.MATH(ROUNDUP(L9*J9*((1-10%)*(1-2%)*(1-1%)),20)))*K9</f>
        <v>11122080</v>
      </c>
      <c r="N9" s="15">
        <f>MAX(L9,_xlfn.CEILING.MATH(ROUNDUP(L9*J9*((1-10%)*(1-2%)*(1-1%)),20)))</f>
        <v>464</v>
      </c>
      <c r="Q9" t="s">
        <v>15</v>
      </c>
      <c r="R9">
        <f t="shared" ca="1" si="2"/>
        <v>5732</v>
      </c>
      <c r="S9" s="20"/>
      <c r="T9" s="6">
        <f ca="1">((R9)-S9)</f>
        <v>5732</v>
      </c>
      <c r="U9" s="4">
        <f>K25</f>
        <v>6173</v>
      </c>
      <c r="V9" s="13">
        <f t="shared" ca="1" si="1"/>
        <v>35383636</v>
      </c>
    </row>
    <row r="10" spans="1:22" ht="17.25" x14ac:dyDescent="0.4">
      <c r="A10" t="str">
        <f>'Ship Component Reqs'!A11</f>
        <v>Morphite</v>
      </c>
      <c r="B10">
        <f>'Ship Component Reqs'!B11</f>
        <v>15</v>
      </c>
      <c r="C10">
        <f>'Ship Component Reqs'!C11</f>
        <v>58</v>
      </c>
      <c r="D10">
        <f>'Ship Component Reqs'!D11</f>
        <v>0</v>
      </c>
      <c r="E10" s="5">
        <f>'Ship Component Reqs'!E11</f>
        <v>0</v>
      </c>
      <c r="F10">
        <f>'Ship Component Reqs'!F11</f>
        <v>522</v>
      </c>
      <c r="K10" s="2"/>
      <c r="L10" s="1" t="str">
        <f>H6</f>
        <v>Fusion Thruster</v>
      </c>
      <c r="M10" s="4">
        <f>SUM(M7:M9)*1.03</f>
        <v>14106081.956</v>
      </c>
      <c r="Q10" t="s">
        <v>16</v>
      </c>
      <c r="R10">
        <f t="shared" ca="1" si="2"/>
        <v>28844</v>
      </c>
      <c r="S10" s="20">
        <v>0</v>
      </c>
      <c r="T10" s="6">
        <f ca="1">((R10)-S10)</f>
        <v>28844</v>
      </c>
      <c r="U10" s="4">
        <f>K31</f>
        <v>579.4</v>
      </c>
      <c r="V10" s="11">
        <f t="shared" ca="1" si="1"/>
        <v>16712213.6</v>
      </c>
    </row>
    <row r="11" spans="1:22" x14ac:dyDescent="0.25">
      <c r="A11" t="str">
        <f>'Ship Component Reqs'!A12</f>
        <v>Construction Blocks</v>
      </c>
      <c r="B11">
        <f>'Ship Component Reqs'!B12</f>
        <v>23</v>
      </c>
      <c r="C11">
        <f>'Ship Component Reqs'!C12</f>
        <v>89</v>
      </c>
      <c r="D11">
        <f>'Ship Component Reqs'!D12</f>
        <v>0</v>
      </c>
      <c r="E11" s="5">
        <f>'Ship Component Reqs'!E12</f>
        <v>0</v>
      </c>
      <c r="F11">
        <f>'Ship Component Reqs'!F12</f>
        <v>89</v>
      </c>
      <c r="H11" t="s">
        <v>7</v>
      </c>
      <c r="K11" s="2"/>
      <c r="M11" s="4"/>
      <c r="P11">
        <f>4*4</f>
        <v>16</v>
      </c>
      <c r="R11" s="10"/>
      <c r="S11" s="3"/>
      <c r="T11" s="3"/>
      <c r="V11" s="4">
        <f ca="1">SUM(V2:V10)</f>
        <v>580979791</v>
      </c>
    </row>
    <row r="12" spans="1:22" x14ac:dyDescent="0.25">
      <c r="A12" t="str">
        <f>'Ship Component Reqs'!A13</f>
        <v>BP ME</v>
      </c>
      <c r="B12" s="31">
        <f>'Ship Component Reqs'!B13</f>
        <v>0.03</v>
      </c>
      <c r="C12" s="29">
        <f>'Ship Component Reqs'!C13</f>
        <v>0</v>
      </c>
      <c r="D12">
        <f>'Ship Component Reqs'!D13</f>
        <v>0</v>
      </c>
      <c r="E12">
        <f>'Ship Component Reqs'!E13</f>
        <v>0</v>
      </c>
      <c r="F12">
        <f>'Ship Component Reqs'!F13</f>
        <v>0</v>
      </c>
      <c r="H12" t="str">
        <f>H7</f>
        <v>Tungsten Carbide</v>
      </c>
      <c r="I12">
        <v>20</v>
      </c>
      <c r="J12">
        <v>22</v>
      </c>
      <c r="K12" s="37">
        <f>K7</f>
        <v>145.9</v>
      </c>
      <c r="L12">
        <f>F26</f>
        <v>754</v>
      </c>
      <c r="M12" s="12">
        <f t="shared" ref="M12:M13" si="5">MAX(L12,_xlfn.CEILING.MATH(ROUNDUP(L12*J12*((1-10%)*(1-2%)*(1-1%)),20)))*K12</f>
        <v>2113361.5</v>
      </c>
      <c r="N12" s="15">
        <f t="shared" ref="N12:N13" si="6">MAX(L12,_xlfn.CEILING.MATH(ROUNDUP(L12*J12*((1-10%)*(1-2%)*(1-1%)),20)))</f>
        <v>14485</v>
      </c>
      <c r="P12">
        <v>-4</v>
      </c>
    </row>
    <row r="13" spans="1:22" x14ac:dyDescent="0.25">
      <c r="H13" t="str">
        <f>H9</f>
        <v>Ferrogel</v>
      </c>
      <c r="I13">
        <v>1</v>
      </c>
      <c r="J13">
        <v>1</v>
      </c>
      <c r="K13" s="37">
        <f>K9</f>
        <v>23970</v>
      </c>
      <c r="L13">
        <f>L12</f>
        <v>754</v>
      </c>
      <c r="M13" s="12">
        <f t="shared" si="5"/>
        <v>18073380</v>
      </c>
      <c r="N13" s="15">
        <f t="shared" si="6"/>
        <v>754</v>
      </c>
      <c r="P13">
        <f>P11+P12</f>
        <v>12</v>
      </c>
    </row>
    <row r="14" spans="1:22" ht="17.25" x14ac:dyDescent="0.4">
      <c r="A14" t="s">
        <v>193</v>
      </c>
      <c r="B14" t="str">
        <f>'Ship Component Reqs'!B46</f>
        <v>Base</v>
      </c>
      <c r="C14" s="32" t="str">
        <f>'Ship Component Reqs'!C46</f>
        <v>Runs</v>
      </c>
      <c r="D14" s="35">
        <f>'Ship Component Reqs'!D46</f>
        <v>4</v>
      </c>
      <c r="E14" t="str">
        <f>'Ship Component Reqs'!E46</f>
        <v>Have</v>
      </c>
      <c r="F14" t="str">
        <f>'Ship Component Reqs'!F46</f>
        <v>Need</v>
      </c>
      <c r="H14" t="s">
        <v>12</v>
      </c>
      <c r="I14">
        <v>9</v>
      </c>
      <c r="J14">
        <v>9</v>
      </c>
      <c r="K14" s="22">
        <f>Pricing!F29</f>
        <v>332.4</v>
      </c>
      <c r="L14">
        <f>L12</f>
        <v>754</v>
      </c>
      <c r="M14" s="38">
        <f>MAX(L14,_xlfn.CEILING.MATH(ROUNDUP(L14*J14*((1-10%)*(1-2%)*(1-1%)),20)))*K14</f>
        <v>1969802.4</v>
      </c>
      <c r="N14" s="15">
        <f>MAX(L14,_xlfn.CEILING.MATH(ROUNDUP(L14*J14*((1-10%)*(1-2%)*(1-1%)),20)))</f>
        <v>5926</v>
      </c>
    </row>
    <row r="15" spans="1:22" x14ac:dyDescent="0.25">
      <c r="A15" t="s">
        <v>6</v>
      </c>
      <c r="B15">
        <v>6</v>
      </c>
      <c r="C15">
        <v>24</v>
      </c>
      <c r="D15" s="33" t="s">
        <v>97</v>
      </c>
      <c r="E15" s="5">
        <v>0</v>
      </c>
      <c r="F15">
        <v>96</v>
      </c>
      <c r="K15" s="2"/>
      <c r="L15" s="1" t="str">
        <f>H11</f>
        <v>Linear Shield Emitter</v>
      </c>
      <c r="M15" s="4">
        <f>SUM(M12:M14)*1.03</f>
        <v>22821240.217</v>
      </c>
    </row>
    <row r="16" spans="1:22" x14ac:dyDescent="0.25">
      <c r="A16" t="s">
        <v>1</v>
      </c>
      <c r="B16">
        <v>30</v>
      </c>
      <c r="C16">
        <v>116</v>
      </c>
      <c r="D16" s="34">
        <v>4</v>
      </c>
      <c r="E16" s="5">
        <v>0</v>
      </c>
      <c r="F16">
        <v>464</v>
      </c>
      <c r="H16" t="s">
        <v>4</v>
      </c>
      <c r="K16" s="2"/>
      <c r="M16" s="4"/>
    </row>
    <row r="17" spans="1:14" x14ac:dyDescent="0.25">
      <c r="A17" t="s">
        <v>7</v>
      </c>
      <c r="B17">
        <v>15</v>
      </c>
      <c r="C17">
        <v>58</v>
      </c>
      <c r="E17" s="5">
        <v>0</v>
      </c>
      <c r="F17">
        <v>232</v>
      </c>
      <c r="H17" t="str">
        <f>H12</f>
        <v>Tungsten Carbide</v>
      </c>
      <c r="I17">
        <v>16</v>
      </c>
      <c r="J17">
        <v>17</v>
      </c>
      <c r="K17" s="2">
        <f>K12</f>
        <v>145.9</v>
      </c>
      <c r="L17">
        <f>F27</f>
        <v>8474</v>
      </c>
      <c r="M17" s="12">
        <f t="shared" ref="M17:M19" si="7">MAX(L17,_xlfn.CEILING.MATH(ROUNDUP(L17*J17*((1-10%)*(1-2%)*(1-1%)),20)))*K17</f>
        <v>18352615.100000001</v>
      </c>
      <c r="N17" s="15">
        <f t="shared" ref="N17:N19" si="8">MAX(L17,_xlfn.CEILING.MATH(ROUNDUP(L17*J17*((1-10%)*(1-2%)*(1-1%)),20)))</f>
        <v>125789</v>
      </c>
    </row>
    <row r="18" spans="1:14" x14ac:dyDescent="0.25">
      <c r="A18" t="s">
        <v>4</v>
      </c>
      <c r="B18">
        <v>180</v>
      </c>
      <c r="C18">
        <v>692</v>
      </c>
      <c r="E18" s="5">
        <v>0</v>
      </c>
      <c r="F18">
        <v>2768</v>
      </c>
      <c r="H18" t="str">
        <f>H8</f>
        <v>Phenolic Composites</v>
      </c>
      <c r="I18">
        <v>6</v>
      </c>
      <c r="J18">
        <v>6</v>
      </c>
      <c r="K18" s="2">
        <f>K8</f>
        <v>1484</v>
      </c>
      <c r="L18">
        <f>L17</f>
        <v>8474</v>
      </c>
      <c r="M18" s="12">
        <f t="shared" si="7"/>
        <v>65883664</v>
      </c>
      <c r="N18" s="15">
        <f t="shared" si="8"/>
        <v>44396</v>
      </c>
    </row>
    <row r="19" spans="1:14" x14ac:dyDescent="0.25">
      <c r="A19" t="s">
        <v>3</v>
      </c>
      <c r="B19">
        <v>60</v>
      </c>
      <c r="C19">
        <v>231</v>
      </c>
      <c r="E19" s="5">
        <v>0</v>
      </c>
      <c r="F19">
        <v>924</v>
      </c>
      <c r="H19" t="s">
        <v>13</v>
      </c>
      <c r="I19">
        <v>2</v>
      </c>
      <c r="J19">
        <v>2</v>
      </c>
      <c r="K19" s="22">
        <f>Pricing!F5</f>
        <v>11940</v>
      </c>
      <c r="L19">
        <f>L17</f>
        <v>8474</v>
      </c>
      <c r="M19" s="12">
        <f t="shared" si="7"/>
        <v>176700060</v>
      </c>
      <c r="N19" s="15">
        <f t="shared" si="8"/>
        <v>14799</v>
      </c>
    </row>
    <row r="20" spans="1:14" ht="17.25" x14ac:dyDescent="0.4">
      <c r="A20" t="s">
        <v>2</v>
      </c>
      <c r="B20">
        <v>60</v>
      </c>
      <c r="C20">
        <v>231</v>
      </c>
      <c r="E20" s="5">
        <v>0</v>
      </c>
      <c r="F20">
        <v>924</v>
      </c>
      <c r="H20" t="s">
        <v>14</v>
      </c>
      <c r="I20">
        <v>2</v>
      </c>
      <c r="J20">
        <v>2</v>
      </c>
      <c r="K20" s="22">
        <f>Pricing!F30</f>
        <v>3902</v>
      </c>
      <c r="L20">
        <f>L18</f>
        <v>8474</v>
      </c>
      <c r="M20" s="38">
        <f>MAX(L20,_xlfn.CEILING.MATH(ROUNDUP(L20*J20*((1-10%)*(1-2%)*(1-1%)),20)))*K20</f>
        <v>57745698</v>
      </c>
      <c r="N20" s="15">
        <f>MAX(L20,_xlfn.CEILING.MATH(ROUNDUP(L20*J20*((1-10%)*(1-2%)*(1-1%)),20)))</f>
        <v>14799</v>
      </c>
    </row>
    <row r="21" spans="1:14" x14ac:dyDescent="0.25">
      <c r="A21" t="s">
        <v>5</v>
      </c>
      <c r="B21">
        <v>300</v>
      </c>
      <c r="C21">
        <v>1153</v>
      </c>
      <c r="E21" s="5">
        <v>0</v>
      </c>
      <c r="F21">
        <v>4612</v>
      </c>
      <c r="K21" s="2"/>
      <c r="L21" s="1" t="str">
        <f>H16</f>
        <v>Nanoelectrical Microprocessor</v>
      </c>
      <c r="M21" s="4">
        <f>SUM(M17:M20)*1.03</f>
        <v>328242498.21300006</v>
      </c>
    </row>
    <row r="22" spans="1:14" x14ac:dyDescent="0.25">
      <c r="H22" t="s">
        <v>3</v>
      </c>
      <c r="K22" s="2"/>
      <c r="M22" s="4"/>
    </row>
    <row r="23" spans="1:14" x14ac:dyDescent="0.25">
      <c r="A23" t="s">
        <v>353</v>
      </c>
      <c r="H23" t="str">
        <f>H17</f>
        <v>Tungsten Carbide</v>
      </c>
      <c r="I23">
        <v>20</v>
      </c>
      <c r="J23">
        <v>22</v>
      </c>
      <c r="K23" s="2">
        <f>K17</f>
        <v>145.9</v>
      </c>
      <c r="L23">
        <f>F28</f>
        <v>3282</v>
      </c>
      <c r="M23" s="12">
        <f t="shared" ref="M23:M24" si="9">MAX(L23,_xlfn.CEILING.MATH(ROUNDUP(L23*J23*((1-10%)*(1-2%)*(1-1%)),20)))*K23</f>
        <v>9198703.2000000011</v>
      </c>
      <c r="N23" s="15">
        <f t="shared" ref="N23:N24" si="10">MAX(L23,_xlfn.CEILING.MATH(ROUNDUP(L23*J23*((1-10%)*(1-2%)*(1-1%)),20)))</f>
        <v>63048</v>
      </c>
    </row>
    <row r="24" spans="1:14" x14ac:dyDescent="0.25">
      <c r="A24" t="s">
        <v>6</v>
      </c>
      <c r="F24">
        <f>F2+F15</f>
        <v>204</v>
      </c>
      <c r="H24" t="s">
        <v>14</v>
      </c>
      <c r="I24">
        <v>1</v>
      </c>
      <c r="J24">
        <v>1</v>
      </c>
      <c r="K24" s="2">
        <f>K20</f>
        <v>3902</v>
      </c>
      <c r="L24">
        <f>L23</f>
        <v>3282</v>
      </c>
      <c r="M24" s="12">
        <f t="shared" si="9"/>
        <v>12806364</v>
      </c>
      <c r="N24" s="15">
        <f t="shared" si="10"/>
        <v>3282</v>
      </c>
    </row>
    <row r="25" spans="1:14" ht="17.25" x14ac:dyDescent="0.4">
      <c r="A25" t="s">
        <v>1</v>
      </c>
      <c r="F25">
        <f t="shared" ref="F25:F30" si="11">F3+F16</f>
        <v>464</v>
      </c>
      <c r="H25" t="s">
        <v>15</v>
      </c>
      <c r="I25">
        <v>2</v>
      </c>
      <c r="J25">
        <v>2</v>
      </c>
      <c r="K25" s="22">
        <f>Pricing!F31</f>
        <v>6173</v>
      </c>
      <c r="L25">
        <f>L24</f>
        <v>3282</v>
      </c>
      <c r="M25" s="38">
        <f>MAX(L25,_xlfn.CEILING.MATH(ROUNDUP(L25*J25*((1-10%)*(1-2%)*(1-1%)),20)))*K25</f>
        <v>35383636</v>
      </c>
      <c r="N25" s="15">
        <f>MAX(L25,_xlfn.CEILING.MATH(ROUNDUP(L25*J25*((1-10%)*(1-2%)*(1-1%)),20)))</f>
        <v>5732</v>
      </c>
    </row>
    <row r="26" spans="1:14" x14ac:dyDescent="0.25">
      <c r="A26" t="s">
        <v>7</v>
      </c>
      <c r="F26">
        <f t="shared" si="11"/>
        <v>754</v>
      </c>
      <c r="K26" s="2"/>
      <c r="L26" s="1" t="str">
        <f>H22</f>
        <v>Radar Sensor Cluster</v>
      </c>
      <c r="M26" s="4">
        <f>SUM(M23:M25)*1.03</f>
        <v>59110364.296000004</v>
      </c>
    </row>
    <row r="27" spans="1:14" x14ac:dyDescent="0.25">
      <c r="A27" t="s">
        <v>4</v>
      </c>
      <c r="F27">
        <f t="shared" si="11"/>
        <v>8474</v>
      </c>
      <c r="H27" t="s">
        <v>2</v>
      </c>
      <c r="K27" s="2"/>
      <c r="M27" s="4"/>
    </row>
    <row r="28" spans="1:14" x14ac:dyDescent="0.25">
      <c r="A28" t="s">
        <v>3</v>
      </c>
      <c r="F28">
        <f t="shared" si="11"/>
        <v>3282</v>
      </c>
      <c r="H28" t="str">
        <f>H23</f>
        <v>Tungsten Carbide</v>
      </c>
      <c r="I28">
        <v>25</v>
      </c>
      <c r="J28">
        <v>27</v>
      </c>
      <c r="K28" s="2">
        <f>K17</f>
        <v>145.9</v>
      </c>
      <c r="L28">
        <f>F29</f>
        <v>3003</v>
      </c>
      <c r="M28" s="12">
        <f t="shared" ref="M28:M30" si="12">MAX(L28,_xlfn.CEILING.MATH(ROUNDUP(L28*J28*((1-10%)*(1-2%)*(1-1%)),20)))*K28</f>
        <v>10329574.1</v>
      </c>
      <c r="N28" s="15">
        <f t="shared" ref="N28:N30" si="13">MAX(L28,_xlfn.CEILING.MATH(ROUNDUP(L28*J28*((1-10%)*(1-2%)*(1-1%)),20)))</f>
        <v>70799</v>
      </c>
    </row>
    <row r="29" spans="1:14" x14ac:dyDescent="0.25">
      <c r="A29" t="s">
        <v>2</v>
      </c>
      <c r="F29" s="64">
        <f t="shared" si="11"/>
        <v>3003</v>
      </c>
      <c r="H29" t="str">
        <f>H24</f>
        <v>Nano Transistors</v>
      </c>
      <c r="I29">
        <v>1</v>
      </c>
      <c r="J29">
        <v>1</v>
      </c>
      <c r="K29" s="2">
        <f>K20</f>
        <v>3902</v>
      </c>
      <c r="L29">
        <f>L28</f>
        <v>3003</v>
      </c>
      <c r="M29" s="12">
        <f t="shared" si="12"/>
        <v>11717706</v>
      </c>
      <c r="N29" s="15">
        <f t="shared" si="13"/>
        <v>3003</v>
      </c>
    </row>
    <row r="30" spans="1:14" x14ac:dyDescent="0.25">
      <c r="A30" t="s">
        <v>5</v>
      </c>
      <c r="F30" s="64">
        <f t="shared" si="11"/>
        <v>14989</v>
      </c>
      <c r="H30" t="str">
        <f>H19</f>
        <v>Terahertz Meta Materials</v>
      </c>
      <c r="I30">
        <v>2</v>
      </c>
      <c r="J30">
        <v>2</v>
      </c>
      <c r="K30" s="2">
        <f>K19</f>
        <v>11940</v>
      </c>
      <c r="L30">
        <f>L28</f>
        <v>3003</v>
      </c>
      <c r="M30" s="12">
        <f t="shared" si="12"/>
        <v>62625300</v>
      </c>
      <c r="N30" s="15">
        <f t="shared" si="13"/>
        <v>5245</v>
      </c>
    </row>
    <row r="31" spans="1:14" ht="17.25" x14ac:dyDescent="0.4">
      <c r="H31" t="s">
        <v>16</v>
      </c>
      <c r="I31">
        <v>10</v>
      </c>
      <c r="J31">
        <v>11</v>
      </c>
      <c r="K31" s="22">
        <f>Pricing!F32</f>
        <v>579.4</v>
      </c>
      <c r="L31">
        <f>L29</f>
        <v>3003</v>
      </c>
      <c r="M31" s="38">
        <f>MAX(L31,_xlfn.CEILING.MATH(ROUNDUP(L31*J31*((1-10%)*(1-2%)*(1-1%)),20)))*K31</f>
        <v>16712213.6</v>
      </c>
      <c r="N31" s="15">
        <f>MAX(L31,_xlfn.CEILING.MATH(ROUNDUP(L31*J31*((1-10%)*(1-2%)*(1-1%)),20)))</f>
        <v>28844</v>
      </c>
    </row>
    <row r="32" spans="1:14" x14ac:dyDescent="0.25">
      <c r="K32" s="2"/>
      <c r="L32" s="1" t="str">
        <f>H27</f>
        <v>Tesseract Capacitor Unit</v>
      </c>
      <c r="M32" s="4">
        <f>SUM(M28:M31)*1.03</f>
        <v>104426337.51099999</v>
      </c>
    </row>
    <row r="33" spans="1:22" x14ac:dyDescent="0.25">
      <c r="H33" t="s">
        <v>5</v>
      </c>
      <c r="K33" s="2"/>
      <c r="M33" s="4"/>
    </row>
    <row r="34" spans="1:22" x14ac:dyDescent="0.25">
      <c r="H34" t="str">
        <f>H28</f>
        <v>Tungsten Carbide</v>
      </c>
      <c r="I34">
        <v>40</v>
      </c>
      <c r="J34">
        <v>44</v>
      </c>
      <c r="K34" s="2">
        <f>K28</f>
        <v>145.9</v>
      </c>
      <c r="L34">
        <f>F30</f>
        <v>14989</v>
      </c>
      <c r="M34" s="12">
        <f>MAX(L34,_xlfn.CEILING.MATH(ROUNDUP(L34*J34*((1-10%)*(1-2%)*(1-1%)),20)))*K34</f>
        <v>84020454.299999997</v>
      </c>
      <c r="N34" s="15">
        <f>MAX(L34,_xlfn.CEILING.MATH(ROUNDUP(L34*J34*((1-10%)*(1-2%)*(1-1%)),20)))</f>
        <v>575877</v>
      </c>
    </row>
    <row r="35" spans="1:22" ht="17.25" x14ac:dyDescent="0.4">
      <c r="H35" t="str">
        <f>H14</f>
        <v>Sylramic Fibers</v>
      </c>
      <c r="I35">
        <v>10</v>
      </c>
      <c r="J35">
        <v>11</v>
      </c>
      <c r="K35" s="2">
        <f>Pricing!F29</f>
        <v>332.4</v>
      </c>
      <c r="L35">
        <f>L34</f>
        <v>14989</v>
      </c>
      <c r="M35" s="38">
        <f>MAX(L35,_xlfn.CEILING.MATH(ROUNDUP(L35*J35*((1-10%)*(1-2%)*(1-1%)),20)))*K35</f>
        <v>47855628</v>
      </c>
      <c r="N35" s="15">
        <f>MAX(L35,_xlfn.CEILING.MATH(ROUNDUP(L35*J35*((1-10%)*(1-2%)*(1-1%)),20)))</f>
        <v>143970</v>
      </c>
    </row>
    <row r="36" spans="1:22" x14ac:dyDescent="0.25">
      <c r="K36" s="2"/>
      <c r="L36" s="1" t="str">
        <f>H33</f>
        <v>Tungsten Carbide Armor Plate</v>
      </c>
      <c r="M36" s="4">
        <f>SUM(M34:M35)*1.03</f>
        <v>135832364.76899999</v>
      </c>
    </row>
    <row r="37" spans="1:22" x14ac:dyDescent="0.25">
      <c r="A37" t="s">
        <v>354</v>
      </c>
    </row>
    <row r="38" spans="1:22" s="17" customFormat="1" x14ac:dyDescent="0.25">
      <c r="A38" s="48" t="s">
        <v>355</v>
      </c>
    </row>
    <row r="39" spans="1:22" x14ac:dyDescent="0.25">
      <c r="A39" t="s">
        <v>300</v>
      </c>
      <c r="C39" s="32" t="s">
        <v>19</v>
      </c>
      <c r="D39" s="35">
        <v>4</v>
      </c>
      <c r="E39" t="s">
        <v>17</v>
      </c>
      <c r="F39" t="s">
        <v>18</v>
      </c>
      <c r="H39" t="s">
        <v>299</v>
      </c>
      <c r="K39" s="2"/>
      <c r="R39" s="3"/>
      <c r="S39" s="3"/>
      <c r="T39" s="3"/>
    </row>
    <row r="40" spans="1:22" x14ac:dyDescent="0.25">
      <c r="A40" t="s">
        <v>247</v>
      </c>
      <c r="B40">
        <v>300</v>
      </c>
      <c r="C40">
        <v>1153</v>
      </c>
      <c r="D40" s="33" t="s">
        <v>97</v>
      </c>
      <c r="E40" s="5">
        <v>0</v>
      </c>
      <c r="F40">
        <v>4612</v>
      </c>
      <c r="H40" t="s">
        <v>247</v>
      </c>
      <c r="K40" s="2" t="s">
        <v>21</v>
      </c>
      <c r="L40" t="s">
        <v>19</v>
      </c>
      <c r="Q40" t="s">
        <v>25</v>
      </c>
      <c r="R40" s="3" t="s">
        <v>30</v>
      </c>
      <c r="S40" s="3" t="s">
        <v>27</v>
      </c>
      <c r="T40" s="3" t="s">
        <v>35</v>
      </c>
      <c r="U40" t="s">
        <v>26</v>
      </c>
      <c r="V40" s="3" t="s">
        <v>34</v>
      </c>
    </row>
    <row r="41" spans="1:22" x14ac:dyDescent="0.25">
      <c r="A41" t="s">
        <v>242</v>
      </c>
      <c r="B41">
        <v>6</v>
      </c>
      <c r="C41">
        <v>24</v>
      </c>
      <c r="D41" s="34">
        <v>4</v>
      </c>
      <c r="E41" s="5">
        <v>0</v>
      </c>
      <c r="F41">
        <v>96</v>
      </c>
      <c r="H41" t="s">
        <v>241</v>
      </c>
      <c r="J41">
        <v>44</v>
      </c>
      <c r="K41" s="22">
        <f>'Component BP'!D551</f>
        <v>159.1</v>
      </c>
      <c r="L41">
        <f>F40+F55</f>
        <v>8457</v>
      </c>
      <c r="M41" s="12">
        <f>MAX(L41,_xlfn.CEILING.MATH(ROUNDUP(L41*J41*((1-10%)*(1-2%)*(1-1%)),20)))*K41</f>
        <v>51694453.799999997</v>
      </c>
      <c r="N41" s="15">
        <f>MAX(L41,_xlfn.CEILING.MATH(ROUNDUP(L41*J41*((1-10%)*(1-2%)*(1-1%)),20)))</f>
        <v>324918</v>
      </c>
      <c r="O41" s="4"/>
      <c r="P41" s="15"/>
      <c r="Q41" t="str">
        <f>H41</f>
        <v>Crystalline Carbonide</v>
      </c>
      <c r="R41" s="3">
        <f>N41+N45+N49+N54+N59+N65+N71</f>
        <v>501836</v>
      </c>
      <c r="S41" s="3">
        <v>0</v>
      </c>
      <c r="T41" s="71">
        <f>((R41*'Ship Component Reqs'!$D$32)-S41)</f>
        <v>501836</v>
      </c>
      <c r="U41" s="4">
        <f>K41</f>
        <v>159.1</v>
      </c>
      <c r="V41" s="13">
        <f t="shared" ref="V41:V49" si="14">IF(T41&lt;0,0,T41*U41)</f>
        <v>79842107.599999994</v>
      </c>
    </row>
    <row r="42" spans="1:22" ht="17.25" x14ac:dyDescent="0.4">
      <c r="A42" t="s">
        <v>240</v>
      </c>
      <c r="B42">
        <v>30</v>
      </c>
      <c r="C42">
        <v>116</v>
      </c>
      <c r="E42" s="5">
        <v>0</v>
      </c>
      <c r="F42">
        <v>464</v>
      </c>
      <c r="H42" t="s">
        <v>12</v>
      </c>
      <c r="J42">
        <v>11</v>
      </c>
      <c r="K42" s="22">
        <f>'Component BP'!D552</f>
        <v>332.4</v>
      </c>
      <c r="L42">
        <f>L41</f>
        <v>8457</v>
      </c>
      <c r="M42" s="38">
        <f>MAX(L42,_xlfn.CEILING.MATH(ROUNDUP(L42*J42*((1-10%)*(1-2%)*(1-1%)),20)))*K42</f>
        <v>27000852</v>
      </c>
      <c r="N42" s="15">
        <f>MAX(L42,_xlfn.CEILING.MATH(ROUNDUP(L42*J42*((1-10%)*(1-2%)*(1-1%)),20)))</f>
        <v>81230</v>
      </c>
      <c r="O42" s="4"/>
      <c r="P42" s="15"/>
      <c r="Q42" t="str">
        <f>H42</f>
        <v>Sylramic Fibers</v>
      </c>
      <c r="R42" s="3">
        <f>N42+N72</f>
        <v>86394</v>
      </c>
      <c r="S42" s="3">
        <v>677</v>
      </c>
      <c r="T42" s="71">
        <f>((R42*'Ship Component Reqs'!$D$32)-S42)</f>
        <v>85717</v>
      </c>
      <c r="U42" s="4">
        <f>K42</f>
        <v>332.4</v>
      </c>
      <c r="V42" s="13">
        <f t="shared" si="14"/>
        <v>28492330.799999997</v>
      </c>
    </row>
    <row r="43" spans="1:22" x14ac:dyDescent="0.25">
      <c r="A43" t="s">
        <v>246</v>
      </c>
      <c r="B43">
        <v>60</v>
      </c>
      <c r="C43">
        <v>231</v>
      </c>
      <c r="E43" s="5">
        <v>0</v>
      </c>
      <c r="F43">
        <v>924</v>
      </c>
      <c r="K43" s="37"/>
      <c r="L43" s="1" t="str">
        <f>H40</f>
        <v>Crystalline Carbonide Armor Plate</v>
      </c>
      <c r="M43" s="4">
        <f>SUM(M41:M42)*1.03</f>
        <v>81056164.973999992</v>
      </c>
      <c r="N43" s="15"/>
      <c r="O43" s="4"/>
      <c r="P43" s="15"/>
      <c r="Q43" t="str">
        <f>H46</f>
        <v>Fermionic Condensates</v>
      </c>
      <c r="R43" s="3">
        <f>N46</f>
        <v>273</v>
      </c>
      <c r="S43" s="3">
        <v>0</v>
      </c>
      <c r="T43" s="71">
        <f>((R43*'Ship Component Reqs'!$D$32)-S43)</f>
        <v>273</v>
      </c>
      <c r="U43" s="4">
        <f>K46</f>
        <v>49950</v>
      </c>
      <c r="V43" s="13">
        <f t="shared" si="14"/>
        <v>13636350</v>
      </c>
    </row>
    <row r="44" spans="1:22" x14ac:dyDescent="0.25">
      <c r="A44" t="s">
        <v>243</v>
      </c>
      <c r="B44">
        <v>60</v>
      </c>
      <c r="C44">
        <v>231</v>
      </c>
      <c r="E44" s="5">
        <v>0</v>
      </c>
      <c r="F44">
        <v>924</v>
      </c>
      <c r="H44" t="s">
        <v>242</v>
      </c>
      <c r="K44" s="2"/>
      <c r="P44" s="15"/>
      <c r="Q44" t="str">
        <f>H50</f>
        <v>Phenolic Composites</v>
      </c>
      <c r="R44" s="3">
        <f>N50+N66</f>
        <v>33767</v>
      </c>
      <c r="S44" s="3">
        <v>0</v>
      </c>
      <c r="T44" s="71">
        <f>((R44*'Ship Component Reqs'!$D$32)-S44)</f>
        <v>33767</v>
      </c>
      <c r="U44" s="4">
        <f>K50</f>
        <v>1484</v>
      </c>
      <c r="V44" s="13">
        <f t="shared" si="14"/>
        <v>50110228</v>
      </c>
    </row>
    <row r="45" spans="1:22" x14ac:dyDescent="0.25">
      <c r="A45" t="s">
        <v>244</v>
      </c>
      <c r="B45">
        <v>180</v>
      </c>
      <c r="C45">
        <v>692</v>
      </c>
      <c r="E45" s="5">
        <v>0</v>
      </c>
      <c r="F45">
        <v>2768</v>
      </c>
      <c r="H45" t="s">
        <v>241</v>
      </c>
      <c r="J45">
        <v>9</v>
      </c>
      <c r="K45" s="22">
        <f>K41</f>
        <v>159.1</v>
      </c>
      <c r="L45">
        <f>F41+F56</f>
        <v>156</v>
      </c>
      <c r="M45" s="12">
        <f>MAX(L45,_xlfn.CEILING.MATH(ROUNDUP(L45*J45*((1-10%)*(1-2%)*(1-1%)),20)))*K45</f>
        <v>195056.6</v>
      </c>
      <c r="N45" s="15">
        <f>MAX(L45,_xlfn.CEILING.MATH(ROUNDUP(L45*J45*((1-10%)*(1-2%)*(1-1%)),20)))</f>
        <v>1226</v>
      </c>
      <c r="O45" s="4"/>
      <c r="P45" s="15"/>
      <c r="Q45" t="str">
        <f>H51</f>
        <v>Ferrogel</v>
      </c>
      <c r="R45" s="3">
        <f>N51+N73</f>
        <v>1471</v>
      </c>
      <c r="S45" s="3">
        <v>0</v>
      </c>
      <c r="T45" s="71">
        <f>((R45*'Ship Component Reqs'!$D$32)-S45)</f>
        <v>1471</v>
      </c>
      <c r="U45" s="4">
        <f>K51</f>
        <v>23970</v>
      </c>
      <c r="V45" s="13">
        <f t="shared" si="14"/>
        <v>35259870</v>
      </c>
    </row>
    <row r="46" spans="1:22" ht="17.25" x14ac:dyDescent="0.4">
      <c r="A46" t="s">
        <v>245</v>
      </c>
      <c r="B46">
        <v>15</v>
      </c>
      <c r="C46">
        <v>58</v>
      </c>
      <c r="E46" s="5">
        <v>0</v>
      </c>
      <c r="F46">
        <v>232</v>
      </c>
      <c r="H46" t="s">
        <v>9</v>
      </c>
      <c r="J46">
        <v>2</v>
      </c>
      <c r="K46" s="22">
        <f>'Component BP'!D556</f>
        <v>49950</v>
      </c>
      <c r="L46">
        <f>L45</f>
        <v>156</v>
      </c>
      <c r="M46" s="38">
        <f>MAX(L46,_xlfn.CEILING.MATH(ROUNDUP(L46*J46*((1-10%)*(1-2%)*(1-1%)),20)))*K46</f>
        <v>13636350</v>
      </c>
      <c r="N46" s="15">
        <f>MAX(L46,_xlfn.CEILING.MATH(ROUNDUP(L46*J46*((1-10%)*(1-2%)*(1-1%)),20)))</f>
        <v>273</v>
      </c>
      <c r="O46" s="4"/>
      <c r="P46" s="15"/>
      <c r="Q46" t="str">
        <f>H55</f>
        <v>Nanotransistors</v>
      </c>
      <c r="R46" s="3">
        <f>N55+N61+N67</f>
        <v>13493</v>
      </c>
      <c r="S46" s="3">
        <v>18</v>
      </c>
      <c r="T46" s="71">
        <f>((R46*'Ship Component Reqs'!$D$32)-S46)</f>
        <v>13475</v>
      </c>
      <c r="U46" s="4">
        <f>K55</f>
        <v>3902</v>
      </c>
      <c r="V46" s="13">
        <f t="shared" si="14"/>
        <v>52579450</v>
      </c>
    </row>
    <row r="47" spans="1:22" x14ac:dyDescent="0.25">
      <c r="K47" s="37"/>
      <c r="L47" s="1" t="str">
        <f>H44</f>
        <v>Fusion Reactor Unit</v>
      </c>
      <c r="M47" s="4">
        <f>SUM(M45:M46)*1.03</f>
        <v>14246348.798</v>
      </c>
      <c r="N47" s="15"/>
      <c r="O47" s="4"/>
      <c r="Q47" t="str">
        <f>H56</f>
        <v>Hypersynaptic Fibers</v>
      </c>
      <c r="R47" s="3">
        <f>N56</f>
        <v>2121</v>
      </c>
      <c r="S47" s="3">
        <v>4</v>
      </c>
      <c r="T47" s="71">
        <f>((R47*'Ship Component Reqs'!$D$32)-S47)</f>
        <v>2117</v>
      </c>
      <c r="U47" s="4">
        <f>K56</f>
        <v>6173</v>
      </c>
      <c r="V47" s="13">
        <f t="shared" si="14"/>
        <v>13068241</v>
      </c>
    </row>
    <row r="48" spans="1:22" x14ac:dyDescent="0.25">
      <c r="A48" t="s">
        <v>43</v>
      </c>
      <c r="B48">
        <v>38</v>
      </c>
      <c r="C48">
        <v>146</v>
      </c>
      <c r="E48" s="5">
        <v>0</v>
      </c>
      <c r="F48">
        <v>584</v>
      </c>
      <c r="H48" t="s">
        <v>240</v>
      </c>
      <c r="K48" s="2"/>
      <c r="P48" s="15"/>
      <c r="Q48" t="str">
        <f>H60</f>
        <v>Fullerides</v>
      </c>
      <c r="R48" s="3">
        <f>N60</f>
        <v>16656</v>
      </c>
      <c r="S48" s="3"/>
      <c r="T48" s="71">
        <f>((R48*'Ship Component Reqs'!$D$32)-S48)</f>
        <v>16656</v>
      </c>
      <c r="U48" s="4">
        <f>K60</f>
        <v>579.4</v>
      </c>
      <c r="V48" s="13">
        <f t="shared" si="14"/>
        <v>9650486.4000000004</v>
      </c>
    </row>
    <row r="49" spans="1:22" ht="17.25" x14ac:dyDescent="0.4">
      <c r="A49" t="s">
        <v>44</v>
      </c>
      <c r="B49" s="61"/>
      <c r="C49" s="61"/>
      <c r="E49" s="5">
        <v>0</v>
      </c>
      <c r="F49">
        <v>0</v>
      </c>
      <c r="H49" t="s">
        <v>241</v>
      </c>
      <c r="J49">
        <v>13</v>
      </c>
      <c r="K49" s="22">
        <f>K41</f>
        <v>159.1</v>
      </c>
      <c r="L49">
        <f>F42+F57-E57</f>
        <v>814</v>
      </c>
      <c r="M49" s="12">
        <f>MAX(L49,_xlfn.CEILING.MATH(ROUNDUP(L49*J49*((1-10%)*(1-2%)*(1-1%)),20)))*K49</f>
        <v>1470084</v>
      </c>
      <c r="N49" s="15">
        <f>MAX(L49,_xlfn.CEILING.MATH(ROUNDUP(L49*J49*((1-10%)*(1-2%)*(1-1%)),20)))</f>
        <v>9240</v>
      </c>
      <c r="O49" s="4"/>
      <c r="P49" s="15"/>
      <c r="Q49" t="str">
        <f>H62</f>
        <v>Photonic Metamaterials</v>
      </c>
      <c r="R49" s="3">
        <f>N62+N68</f>
        <v>13574</v>
      </c>
      <c r="S49" s="3"/>
      <c r="T49" s="71">
        <f>((R49*'Ship Component Reqs'!$D$32)-S49)</f>
        <v>13574</v>
      </c>
      <c r="U49" s="4">
        <f>K62</f>
        <v>9919</v>
      </c>
      <c r="V49" s="11">
        <f t="shared" si="14"/>
        <v>134640506</v>
      </c>
    </row>
    <row r="50" spans="1:22" x14ac:dyDescent="0.25">
      <c r="A50" t="s">
        <v>104</v>
      </c>
      <c r="B50" s="31">
        <v>0.03</v>
      </c>
      <c r="C50" s="10" t="s">
        <v>199</v>
      </c>
      <c r="H50" t="s">
        <v>10</v>
      </c>
      <c r="J50">
        <v>3</v>
      </c>
      <c r="K50" s="22">
        <f>'Component BP'!D560</f>
        <v>1484</v>
      </c>
      <c r="L50">
        <f>L49</f>
        <v>814</v>
      </c>
      <c r="M50" s="12">
        <f>MAX(L50,_xlfn.CEILING.MATH(ROUNDUP(L50*J50*((1-10%)*(1-2%)*(1-1%)),20)))*K50</f>
        <v>3165372</v>
      </c>
      <c r="N50" s="15">
        <f>MAX(L50,_xlfn.CEILING.MATH(ROUNDUP(L50*J50*((1-10%)*(1-2%)*(1-1%)),20)))</f>
        <v>2133</v>
      </c>
      <c r="O50" s="4"/>
      <c r="R50" s="10"/>
      <c r="S50" s="3"/>
      <c r="T50" s="3"/>
      <c r="V50" s="4">
        <f>SUM(V41:V49)</f>
        <v>417279569.79999995</v>
      </c>
    </row>
    <row r="51" spans="1:22" ht="17.25" x14ac:dyDescent="0.4">
      <c r="H51" t="s">
        <v>11</v>
      </c>
      <c r="J51">
        <v>1</v>
      </c>
      <c r="K51" s="22">
        <f>'Component BP'!D561</f>
        <v>23970</v>
      </c>
      <c r="L51">
        <f>L50</f>
        <v>814</v>
      </c>
      <c r="M51" s="38">
        <f>MAX(L51,_xlfn.CEILING.MATH(ROUNDUP(L51*J51*((1-10%)*(1-2%)*(1-1%)),20)))*K51</f>
        <v>19511580</v>
      </c>
      <c r="N51" s="15">
        <f>MAX(L51,_xlfn.CEILING.MATH(ROUNDUP(L51*J51*((1-10%)*(1-2%)*(1-1%)),20)))</f>
        <v>814</v>
      </c>
      <c r="O51" s="4"/>
      <c r="R51" s="3"/>
      <c r="S51" s="3"/>
      <c r="T51" s="6"/>
      <c r="V51" s="11"/>
    </row>
    <row r="52" spans="1:22" x14ac:dyDescent="0.25">
      <c r="K52" s="37"/>
      <c r="L52" s="1" t="str">
        <f>H48</f>
        <v>Ion Thruster</v>
      </c>
      <c r="M52" s="4">
        <f>SUM(M49:M51)*1.03</f>
        <v>24871447.080000002</v>
      </c>
      <c r="O52" s="4"/>
      <c r="R52" s="10"/>
      <c r="S52" s="3"/>
      <c r="T52" s="3"/>
      <c r="V52" s="4"/>
    </row>
    <row r="53" spans="1:22" x14ac:dyDescent="0.25">
      <c r="C53" s="32"/>
      <c r="H53" t="s">
        <v>246</v>
      </c>
      <c r="K53" s="49"/>
      <c r="R53" s="3"/>
      <c r="S53" s="3"/>
      <c r="T53" s="3"/>
    </row>
    <row r="54" spans="1:22" x14ac:dyDescent="0.25">
      <c r="A54" t="s">
        <v>239</v>
      </c>
      <c r="C54" t="s">
        <v>19</v>
      </c>
      <c r="D54" s="35">
        <v>4</v>
      </c>
      <c r="E54" s="5" t="s">
        <v>17</v>
      </c>
      <c r="F54" t="s">
        <v>18</v>
      </c>
      <c r="H54" t="s">
        <v>241</v>
      </c>
      <c r="J54">
        <v>22</v>
      </c>
      <c r="K54" s="22">
        <f>K49</f>
        <v>159.1</v>
      </c>
      <c r="L54">
        <f>F43+F58</f>
        <v>1214</v>
      </c>
      <c r="M54" s="12">
        <f>MAX(L54,_xlfn.CEILING.MATH(ROUNDUP(L54*J54*((1-10%)*(1-2%)*(1-1%)),20)))*K54</f>
        <v>3710371.1</v>
      </c>
      <c r="N54" s="15">
        <f>MAX(L54,_xlfn.CEILING.MATH(ROUNDUP(L54*J54*((1-10%)*(1-2%)*(1-1%)),20)))</f>
        <v>23321</v>
      </c>
      <c r="O54" s="4"/>
      <c r="R54" s="3"/>
      <c r="S54" s="3"/>
      <c r="T54" s="3"/>
    </row>
    <row r="55" spans="1:22" x14ac:dyDescent="0.25">
      <c r="A55" t="s">
        <v>247</v>
      </c>
      <c r="B55">
        <v>200</v>
      </c>
      <c r="C55">
        <v>769</v>
      </c>
      <c r="D55" s="33" t="s">
        <v>97</v>
      </c>
      <c r="E55" s="5"/>
      <c r="F55">
        <v>3845</v>
      </c>
      <c r="G55" s="57">
        <f>F55+F40</f>
        <v>8457</v>
      </c>
      <c r="H55" t="s">
        <v>164</v>
      </c>
      <c r="J55">
        <v>1</v>
      </c>
      <c r="K55" s="22">
        <f>'Component BP'!D565</f>
        <v>3902</v>
      </c>
      <c r="L55">
        <f>L54</f>
        <v>1214</v>
      </c>
      <c r="M55" s="12">
        <f>MAX(L55,_xlfn.CEILING.MATH(ROUNDUP(L55*J55*((1-10%)*(1-2%)*(1-1%)),20)))*K55</f>
        <v>4737028</v>
      </c>
      <c r="N55" s="15">
        <f>MAX(L55,_xlfn.CEILING.MATH(ROUNDUP(L55*J55*((1-10%)*(1-2%)*(1-1%)),20)))</f>
        <v>1214</v>
      </c>
      <c r="O55" s="4"/>
      <c r="R55" s="3"/>
      <c r="S55" s="3"/>
      <c r="T55" s="3"/>
    </row>
    <row r="56" spans="1:22" ht="17.25" x14ac:dyDescent="0.4">
      <c r="A56" t="s">
        <v>242</v>
      </c>
      <c r="B56">
        <v>3</v>
      </c>
      <c r="C56">
        <v>12</v>
      </c>
      <c r="D56" s="34">
        <v>5</v>
      </c>
      <c r="E56" s="5"/>
      <c r="F56">
        <v>60</v>
      </c>
      <c r="G56" s="57">
        <f t="shared" ref="G56:G61" si="15">F56+F41</f>
        <v>156</v>
      </c>
      <c r="H56" t="s">
        <v>15</v>
      </c>
      <c r="J56">
        <v>2</v>
      </c>
      <c r="K56" s="22">
        <f>'Component BP'!D566</f>
        <v>6173</v>
      </c>
      <c r="L56">
        <f>L54</f>
        <v>1214</v>
      </c>
      <c r="M56" s="38">
        <f>MAX(L56,_xlfn.CEILING.MATH(ROUNDUP(L56*J56*((1-10%)*(1-2%)*(1-1%)),20)))*K56</f>
        <v>13092933</v>
      </c>
      <c r="N56" s="15">
        <f>MAX(L56,_xlfn.CEILING.MATH(ROUNDUP(L56*J56*((1-10%)*(1-2%)*(1-1%)),20)))</f>
        <v>2121</v>
      </c>
      <c r="O56" s="4"/>
      <c r="R56" s="3"/>
      <c r="S56" s="3"/>
      <c r="T56" s="3"/>
    </row>
    <row r="57" spans="1:22" x14ac:dyDescent="0.25">
      <c r="A57" t="s">
        <v>240</v>
      </c>
      <c r="B57">
        <v>18</v>
      </c>
      <c r="C57">
        <v>70</v>
      </c>
      <c r="E57" s="5"/>
      <c r="F57">
        <v>350</v>
      </c>
      <c r="G57" s="57">
        <f>F57+F42-E57</f>
        <v>814</v>
      </c>
      <c r="K57" s="2"/>
      <c r="L57" s="1" t="str">
        <f>H53</f>
        <v>Magnetometric Sensor Cluster</v>
      </c>
      <c r="M57" s="4">
        <f>SUM(M54:M56)*1.03</f>
        <v>22186542.063000001</v>
      </c>
      <c r="O57" s="4"/>
      <c r="R57" s="3"/>
      <c r="S57" s="3"/>
      <c r="T57" s="3"/>
    </row>
    <row r="58" spans="1:22" ht="17.25" x14ac:dyDescent="0.4">
      <c r="A58" t="s">
        <v>246</v>
      </c>
      <c r="B58">
        <v>15</v>
      </c>
      <c r="C58">
        <v>58</v>
      </c>
      <c r="E58" s="5"/>
      <c r="F58">
        <v>290</v>
      </c>
      <c r="G58" s="57">
        <f t="shared" si="15"/>
        <v>1214</v>
      </c>
      <c r="H58" t="s">
        <v>243</v>
      </c>
      <c r="K58" s="37"/>
      <c r="M58" s="38"/>
      <c r="N58" s="15"/>
      <c r="R58" s="3"/>
      <c r="S58" s="3"/>
      <c r="T58" s="3"/>
    </row>
    <row r="59" spans="1:22" x14ac:dyDescent="0.25">
      <c r="A59" t="s">
        <v>243</v>
      </c>
      <c r="B59">
        <v>42</v>
      </c>
      <c r="C59">
        <v>162</v>
      </c>
      <c r="E59" s="5"/>
      <c r="F59">
        <v>810</v>
      </c>
      <c r="G59" s="57">
        <f t="shared" si="15"/>
        <v>1734</v>
      </c>
      <c r="H59" t="s">
        <v>241</v>
      </c>
      <c r="J59">
        <v>27</v>
      </c>
      <c r="K59" s="22">
        <f>K49</f>
        <v>159.1</v>
      </c>
      <c r="L59">
        <f>F44+F59</f>
        <v>1734</v>
      </c>
      <c r="M59" s="12">
        <f t="shared" ref="M59:M61" si="16">MAX(L59,_xlfn.CEILING.MATH(ROUNDUP(L59*J59*((1-10%)*(1-2%)*(1-1%)),20)))*K59</f>
        <v>6504167.0999999996</v>
      </c>
      <c r="N59" s="15">
        <f t="shared" ref="N59:N61" si="17">MAX(L59,_xlfn.CEILING.MATH(ROUNDUP(L59*J59*((1-10%)*(1-2%)*(1-1%)),20)))</f>
        <v>40881</v>
      </c>
      <c r="R59" s="3"/>
      <c r="S59" s="3"/>
      <c r="T59" s="3"/>
    </row>
    <row r="60" spans="1:22" x14ac:dyDescent="0.25">
      <c r="A60" t="s">
        <v>244</v>
      </c>
      <c r="B60">
        <v>170</v>
      </c>
      <c r="C60">
        <v>654</v>
      </c>
      <c r="E60" s="5"/>
      <c r="F60">
        <v>3270</v>
      </c>
      <c r="G60" s="57">
        <f t="shared" si="15"/>
        <v>6038</v>
      </c>
      <c r="H60" t="s">
        <v>16</v>
      </c>
      <c r="J60">
        <v>11</v>
      </c>
      <c r="K60" s="22">
        <f>'Component BP'!D570</f>
        <v>579.4</v>
      </c>
      <c r="L60">
        <f>L59</f>
        <v>1734</v>
      </c>
      <c r="M60" s="12">
        <f t="shared" si="16"/>
        <v>9650486.4000000004</v>
      </c>
      <c r="N60" s="15">
        <f t="shared" si="17"/>
        <v>16656</v>
      </c>
      <c r="R60" s="3"/>
      <c r="S60" s="3"/>
      <c r="T60" s="3"/>
    </row>
    <row r="61" spans="1:22" x14ac:dyDescent="0.25">
      <c r="A61" t="s">
        <v>245</v>
      </c>
      <c r="B61">
        <v>22</v>
      </c>
      <c r="C61">
        <v>85</v>
      </c>
      <c r="F61">
        <v>425</v>
      </c>
      <c r="G61">
        <f t="shared" si="15"/>
        <v>657</v>
      </c>
      <c r="H61" t="s">
        <v>164</v>
      </c>
      <c r="J61">
        <v>1</v>
      </c>
      <c r="K61" s="22">
        <f>'Component BP'!D571</f>
        <v>3902</v>
      </c>
      <c r="L61">
        <f>L60</f>
        <v>1734</v>
      </c>
      <c r="M61" s="12">
        <f t="shared" si="16"/>
        <v>6766068</v>
      </c>
      <c r="N61" s="15">
        <f t="shared" si="17"/>
        <v>1734</v>
      </c>
      <c r="R61" s="3"/>
      <c r="S61" s="3"/>
      <c r="T61" s="3"/>
    </row>
    <row r="62" spans="1:22" ht="17.25" x14ac:dyDescent="0.4">
      <c r="E62" s="5"/>
      <c r="H62" t="s">
        <v>251</v>
      </c>
      <c r="J62">
        <v>2</v>
      </c>
      <c r="K62" s="22">
        <f>'Component BP'!D572</f>
        <v>9919</v>
      </c>
      <c r="L62">
        <f>L61</f>
        <v>1734</v>
      </c>
      <c r="M62" s="38">
        <f>MAX(L62,_xlfn.CEILING.MATH(ROUNDUP(L62*J62*((1-10%)*(1-2%)*(1-1%)),20)))*K62</f>
        <v>30044651</v>
      </c>
      <c r="N62" s="15">
        <f>MAX(L62,_xlfn.CEILING.MATH(ROUNDUP(L62*J62*((1-10%)*(1-2%)*(1-1%)),20)))</f>
        <v>3029</v>
      </c>
      <c r="R62" s="3"/>
      <c r="S62" s="3"/>
      <c r="T62" s="3"/>
    </row>
    <row r="63" spans="1:22" x14ac:dyDescent="0.25">
      <c r="A63" t="s">
        <v>43</v>
      </c>
      <c r="B63">
        <v>35</v>
      </c>
      <c r="C63">
        <v>135</v>
      </c>
      <c r="E63" s="5">
        <v>0</v>
      </c>
      <c r="F63">
        <v>675</v>
      </c>
      <c r="G63">
        <f>F63+F48</f>
        <v>1259</v>
      </c>
      <c r="K63" s="2"/>
      <c r="L63" s="1" t="str">
        <f>H58</f>
        <v>Oscillator Capacitor</v>
      </c>
      <c r="M63" s="4">
        <f>SUM(M59:M62)*1.03</f>
        <v>54554333.675000004</v>
      </c>
      <c r="N63" s="15"/>
      <c r="R63" s="3"/>
      <c r="S63" s="3"/>
      <c r="T63" s="3"/>
    </row>
    <row r="64" spans="1:22" x14ac:dyDescent="0.25">
      <c r="A64" t="s">
        <v>44</v>
      </c>
      <c r="B64" s="31"/>
      <c r="C64" s="10"/>
      <c r="E64">
        <v>0</v>
      </c>
      <c r="F64">
        <v>0</v>
      </c>
      <c r="H64" t="s">
        <v>244</v>
      </c>
      <c r="K64" s="2"/>
      <c r="L64" s="1"/>
      <c r="M64" s="4"/>
      <c r="R64" s="3"/>
      <c r="S64" s="3"/>
      <c r="T64" s="3"/>
    </row>
    <row r="65" spans="1:20" x14ac:dyDescent="0.25">
      <c r="A65" t="s">
        <v>104</v>
      </c>
      <c r="B65">
        <v>0.03</v>
      </c>
      <c r="C65" t="s">
        <v>199</v>
      </c>
      <c r="H65" t="s">
        <v>241</v>
      </c>
      <c r="J65">
        <v>17</v>
      </c>
      <c r="K65" s="22">
        <f>K59</f>
        <v>159.1</v>
      </c>
      <c r="L65">
        <f>F45+F60</f>
        <v>6038</v>
      </c>
      <c r="M65" s="12">
        <f t="shared" ref="M65:M67" si="18">MAX(L65,_xlfn.CEILING.MATH(ROUNDUP(L65*J65*((1-10%)*(1-2%)*(1-1%)),20)))*K65</f>
        <v>14259973.9</v>
      </c>
      <c r="N65" s="15">
        <f t="shared" ref="N65:N67" si="19">MAX(L65,_xlfn.CEILING.MATH(ROUNDUP(L65*J65*((1-10%)*(1-2%)*(1-1%)),20)))</f>
        <v>89629</v>
      </c>
      <c r="R65" s="3"/>
      <c r="S65" s="3"/>
      <c r="T65" s="3"/>
    </row>
    <row r="66" spans="1:20" x14ac:dyDescent="0.25">
      <c r="H66" t="s">
        <v>10</v>
      </c>
      <c r="J66">
        <v>6</v>
      </c>
      <c r="K66" s="22">
        <f>K50</f>
        <v>1484</v>
      </c>
      <c r="L66">
        <f>L65</f>
        <v>6038</v>
      </c>
      <c r="M66" s="12">
        <f t="shared" si="18"/>
        <v>46944856</v>
      </c>
      <c r="N66" s="15">
        <f t="shared" si="19"/>
        <v>31634</v>
      </c>
      <c r="R66" s="3"/>
      <c r="S66" s="3"/>
      <c r="T66" s="3"/>
    </row>
    <row r="67" spans="1:20" x14ac:dyDescent="0.25">
      <c r="F67" s="61"/>
      <c r="H67" t="s">
        <v>164</v>
      </c>
      <c r="J67">
        <v>2</v>
      </c>
      <c r="K67" s="22">
        <f>K61</f>
        <v>3902</v>
      </c>
      <c r="L67">
        <f>L66</f>
        <v>6038</v>
      </c>
      <c r="M67" s="12">
        <f t="shared" si="18"/>
        <v>41146590</v>
      </c>
      <c r="N67" s="15">
        <f t="shared" si="19"/>
        <v>10545</v>
      </c>
      <c r="R67" s="3"/>
      <c r="S67" s="3"/>
      <c r="T67" s="3"/>
    </row>
    <row r="68" spans="1:20" ht="17.25" x14ac:dyDescent="0.4">
      <c r="F68" s="61"/>
      <c r="H68" t="s">
        <v>251</v>
      </c>
      <c r="J68">
        <v>2</v>
      </c>
      <c r="K68" s="22">
        <f>K62</f>
        <v>9919</v>
      </c>
      <c r="L68">
        <f>L67</f>
        <v>6038</v>
      </c>
      <c r="M68" s="38">
        <f>MAX(L68,_xlfn.CEILING.MATH(ROUNDUP(L68*J68*((1-10%)*(1-2%)*(1-1%)),20)))*K68</f>
        <v>104595855</v>
      </c>
      <c r="N68" s="15">
        <f>MAX(L68,_xlfn.CEILING.MATH(ROUNDUP(L68*J68*((1-10%)*(1-2%)*(1-1%)),20)))</f>
        <v>10545</v>
      </c>
      <c r="R68" s="3"/>
      <c r="S68" s="3"/>
      <c r="T68" s="3"/>
    </row>
    <row r="69" spans="1:20" x14ac:dyDescent="0.25">
      <c r="K69" s="2"/>
      <c r="L69" s="1" t="str">
        <f>H64</f>
        <v>Photon Microprocessor</v>
      </c>
      <c r="M69" s="4">
        <f>SUM(M65:M68)*1.03</f>
        <v>213155693.14700001</v>
      </c>
      <c r="R69" s="3"/>
      <c r="S69" s="3"/>
      <c r="T69" s="3"/>
    </row>
    <row r="70" spans="1:20" x14ac:dyDescent="0.25">
      <c r="H70" t="s">
        <v>245</v>
      </c>
      <c r="K70" s="2"/>
      <c r="R70" s="3"/>
      <c r="S70" s="3"/>
      <c r="T70" s="3"/>
    </row>
    <row r="71" spans="1:20" x14ac:dyDescent="0.25">
      <c r="H71" t="s">
        <v>241</v>
      </c>
      <c r="J71">
        <v>22</v>
      </c>
      <c r="K71" s="22">
        <f>K65</f>
        <v>159.1</v>
      </c>
      <c r="L71">
        <f>F46+F61-E61</f>
        <v>657</v>
      </c>
      <c r="M71" s="12">
        <f t="shared" ref="M71:M72" si="20">MAX(L71,_xlfn.CEILING.MATH(ROUNDUP(L71*J71*((1-10%)*(1-2%)*(1-1%)),20)))*K71</f>
        <v>2008001.0999999999</v>
      </c>
      <c r="N71" s="15">
        <f t="shared" ref="N71:N72" si="21">MAX(L71,_xlfn.CEILING.MATH(ROUNDUP(L71*J71*((1-10%)*(1-2%)*(1-1%)),20)))</f>
        <v>12621</v>
      </c>
      <c r="R71" s="3"/>
      <c r="S71" s="3"/>
      <c r="T71" s="3"/>
    </row>
    <row r="72" spans="1:20" x14ac:dyDescent="0.25">
      <c r="H72" t="s">
        <v>12</v>
      </c>
      <c r="J72">
        <v>9</v>
      </c>
      <c r="K72" s="22">
        <f>K42</f>
        <v>332.4</v>
      </c>
      <c r="L72">
        <f>L71</f>
        <v>657</v>
      </c>
      <c r="M72" s="12">
        <f t="shared" si="20"/>
        <v>1716513.5999999999</v>
      </c>
      <c r="N72" s="15">
        <f t="shared" si="21"/>
        <v>5164</v>
      </c>
      <c r="R72" s="3"/>
      <c r="S72" s="3"/>
      <c r="T72" s="3"/>
    </row>
    <row r="73" spans="1:20" ht="17.25" x14ac:dyDescent="0.4">
      <c r="H73" t="s">
        <v>11</v>
      </c>
      <c r="J73">
        <v>1</v>
      </c>
      <c r="K73" s="22">
        <f>K51</f>
        <v>23970</v>
      </c>
      <c r="L73">
        <f>L72</f>
        <v>657</v>
      </c>
      <c r="M73" s="38">
        <f>MAX(L73,_xlfn.CEILING.MATH(ROUNDUP(L73*J73*((1-10%)*(1-2%)*(1-1%)),20)))*K73</f>
        <v>15748290</v>
      </c>
      <c r="N73" s="15">
        <f>MAX(L73,_xlfn.CEILING.MATH(ROUNDUP(L73*J73*((1-10%)*(1-2%)*(1-1%)),20)))</f>
        <v>657</v>
      </c>
      <c r="R73" s="3"/>
      <c r="S73" s="3"/>
      <c r="T73" s="3"/>
    </row>
    <row r="74" spans="1:20" x14ac:dyDescent="0.25">
      <c r="K74" s="2"/>
      <c r="L74" s="1" t="str">
        <f>H70</f>
        <v>Pulse Shield Emitter</v>
      </c>
      <c r="M74" s="4">
        <f>SUM(M71:M73)*1.03</f>
        <v>20056988.840999998</v>
      </c>
      <c r="N74" s="15"/>
      <c r="R74" s="3"/>
      <c r="S74" s="3"/>
      <c r="T74" s="3"/>
    </row>
  </sheetData>
  <conditionalFormatting sqref="T2:T10">
    <cfRule type="cellIs" dxfId="2" priority="4" operator="lessThan">
      <formula>0</formula>
    </cfRule>
  </conditionalFormatting>
  <conditionalFormatting sqref="T51">
    <cfRule type="cellIs" dxfId="1" priority="2" operator="lessThan">
      <formula>0</formula>
    </cfRule>
  </conditionalFormatting>
  <conditionalFormatting sqref="T41:T49">
    <cfRule type="cellIs" dxfId="0" priority="1" operator="lessThan">
      <formula>0</formula>
    </cfRule>
  </conditionalFormatting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D06C7-3EB5-4486-9272-3A61867AEB4D}">
  <dimension ref="A1:AF108"/>
  <sheetViews>
    <sheetView zoomScale="80" zoomScaleNormal="80" workbookViewId="0">
      <selection activeCell="A70" sqref="A70"/>
    </sheetView>
  </sheetViews>
  <sheetFormatPr defaultRowHeight="15" x14ac:dyDescent="0.25"/>
  <cols>
    <col min="1" max="1" width="23.85546875" bestFit="1" customWidth="1"/>
    <col min="2" max="2" width="13.5703125" bestFit="1" customWidth="1"/>
    <col min="3" max="3" width="19.85546875" bestFit="1" customWidth="1"/>
    <col min="4" max="4" width="8.140625" bestFit="1" customWidth="1"/>
    <col min="5" max="5" width="17.42578125" bestFit="1" customWidth="1"/>
    <col min="6" max="6" width="23.85546875" bestFit="1" customWidth="1"/>
    <col min="7" max="7" width="15.140625" bestFit="1" customWidth="1"/>
    <col min="8" max="8" width="17" bestFit="1" customWidth="1"/>
    <col min="9" max="10" width="20.7109375" bestFit="1" customWidth="1"/>
    <col min="11" max="11" width="20.7109375" customWidth="1"/>
    <col min="12" max="12" width="23.85546875" bestFit="1" customWidth="1"/>
    <col min="13" max="23" width="16.28515625" customWidth="1"/>
    <col min="25" max="25" width="21.7109375" bestFit="1" customWidth="1"/>
    <col min="26" max="32" width="15.7109375" customWidth="1"/>
  </cols>
  <sheetData>
    <row r="1" spans="1:32" x14ac:dyDescent="0.25">
      <c r="A1" t="s">
        <v>118</v>
      </c>
      <c r="B1" t="s">
        <v>21</v>
      </c>
      <c r="C1" t="s">
        <v>137</v>
      </c>
      <c r="D1" s="21" t="s">
        <v>138</v>
      </c>
      <c r="E1" t="s">
        <v>144</v>
      </c>
      <c r="G1" t="s">
        <v>140</v>
      </c>
      <c r="H1" t="s">
        <v>139</v>
      </c>
      <c r="I1" t="s">
        <v>145</v>
      </c>
      <c r="L1" t="s">
        <v>142</v>
      </c>
      <c r="M1" t="s">
        <v>143</v>
      </c>
      <c r="N1" s="25">
        <v>0.752</v>
      </c>
      <c r="O1" t="s">
        <v>146</v>
      </c>
      <c r="P1" s="29">
        <v>0.02</v>
      </c>
    </row>
    <row r="2" spans="1:32" x14ac:dyDescent="0.25">
      <c r="A2" t="s">
        <v>119</v>
      </c>
      <c r="B2" s="2">
        <f>Pricing!M2</f>
        <v>8.68</v>
      </c>
      <c r="C2" s="2">
        <f>Pricing!N2</f>
        <v>1063</v>
      </c>
      <c r="D2" s="39">
        <v>642039</v>
      </c>
      <c r="E2" s="24">
        <f>ROUNDDOWN(D2/100,0)</f>
        <v>6420</v>
      </c>
      <c r="F2" t="s">
        <v>119</v>
      </c>
      <c r="G2" s="2">
        <f t="shared" ref="G2:H4" si="0">D2*B2</f>
        <v>5572898.5199999996</v>
      </c>
      <c r="H2" s="2">
        <f t="shared" si="0"/>
        <v>6824460</v>
      </c>
      <c r="I2" s="2">
        <f>($B$29*(ROUNDDOWN(E2*M3*$N$1,0)))*(1-$P$1)</f>
        <v>8973112.4658000004</v>
      </c>
      <c r="J2" t="str">
        <f>IF(SUM(G2:I2)=0,"",IF(MAX(G2:I2)=G2,$G$1,IF(MAX(G2:I2)=H2,$H$1,IF(MAX(G2:I2)=I2,$I$1,"Check Data"))))</f>
        <v>Reprocess to Minerals</v>
      </c>
      <c r="L2" t="s">
        <v>147</v>
      </c>
      <c r="M2" t="s">
        <v>107</v>
      </c>
      <c r="N2" t="s">
        <v>109</v>
      </c>
      <c r="O2" t="s">
        <v>110</v>
      </c>
      <c r="P2" t="s">
        <v>111</v>
      </c>
      <c r="Q2" t="s">
        <v>112</v>
      </c>
      <c r="R2" t="s">
        <v>114</v>
      </c>
      <c r="S2" t="s">
        <v>113</v>
      </c>
      <c r="T2" t="s">
        <v>55</v>
      </c>
      <c r="U2" t="s">
        <v>59</v>
      </c>
      <c r="V2" t="s">
        <v>60</v>
      </c>
      <c r="W2" t="s">
        <v>151</v>
      </c>
      <c r="Y2" t="s">
        <v>147</v>
      </c>
      <c r="Z2" t="s">
        <v>107</v>
      </c>
      <c r="AA2" t="s">
        <v>109</v>
      </c>
      <c r="AB2" t="s">
        <v>110</v>
      </c>
      <c r="AC2" t="s">
        <v>111</v>
      </c>
      <c r="AD2" t="s">
        <v>112</v>
      </c>
      <c r="AE2" t="s">
        <v>114</v>
      </c>
      <c r="AF2" t="s">
        <v>113</v>
      </c>
    </row>
    <row r="3" spans="1:32" x14ac:dyDescent="0.25">
      <c r="A3" t="s">
        <v>120</v>
      </c>
      <c r="B3" s="2">
        <f>Pricing!M3</f>
        <v>9.7100000000000009</v>
      </c>
      <c r="C3" s="2">
        <f>Pricing!N3</f>
        <v>1089</v>
      </c>
      <c r="D3" s="39">
        <v>413865</v>
      </c>
      <c r="E3" s="24">
        <f>ROUNDDOWN(D3/100,0)</f>
        <v>4138</v>
      </c>
      <c r="F3" t="s">
        <v>120</v>
      </c>
      <c r="G3" s="2">
        <f t="shared" si="0"/>
        <v>4018629.1500000004</v>
      </c>
      <c r="H3" s="2">
        <f t="shared" si="0"/>
        <v>4506282</v>
      </c>
      <c r="I3" s="2">
        <f>($B$29*(ROUNDDOWN(E3*M4*$N$1,0)))*(1-$P$1)</f>
        <v>6076268.8924000002</v>
      </c>
      <c r="J3" t="str">
        <f>IF(SUM(G3:I3)=0,"",IF(MAX(G3:I3)=G3,$G$1,IF(MAX(G3:I3)=H3,$H$1,IF(MAX(G3:I3)=I3,$I$1,"Check Data"))))</f>
        <v>Reprocess to Minerals</v>
      </c>
      <c r="L3" t="s">
        <v>119</v>
      </c>
      <c r="M3">
        <v>415</v>
      </c>
      <c r="Y3" t="s">
        <v>119</v>
      </c>
      <c r="Z3" s="14">
        <f>M3/SUM(M3:S3)</f>
        <v>1</v>
      </c>
      <c r="AA3" s="14" t="str">
        <f>IF(SUM(Z3)&lt;&gt;100%,(N3/SUM(M3:S3)),"")</f>
        <v/>
      </c>
      <c r="AB3" s="14"/>
      <c r="AC3" s="14"/>
      <c r="AD3" s="14"/>
      <c r="AE3" s="14"/>
      <c r="AF3" s="14"/>
    </row>
    <row r="4" spans="1:32" x14ac:dyDescent="0.25">
      <c r="A4" t="s">
        <v>121</v>
      </c>
      <c r="B4" s="2">
        <f>Pricing!M4</f>
        <v>11.15</v>
      </c>
      <c r="C4" s="2">
        <f>Pricing!N4</f>
        <v>1205</v>
      </c>
      <c r="D4" s="39">
        <v>0</v>
      </c>
      <c r="E4" s="24">
        <f>ROUNDDOWN(D4/100,0)</f>
        <v>0</v>
      </c>
      <c r="F4" t="s">
        <v>121</v>
      </c>
      <c r="G4" s="2">
        <f t="shared" si="0"/>
        <v>0</v>
      </c>
      <c r="H4" s="2">
        <f t="shared" si="0"/>
        <v>0</v>
      </c>
      <c r="I4" s="2">
        <f>($B$29*(ROUNDDOWN(E4*M5*$N$1,0)))*(1-$P$1)</f>
        <v>0</v>
      </c>
      <c r="J4" t="str">
        <f>IF(SUM(G4:I4)=0,"",IF(MAX(G4:I4)=G4,$G$1,IF(MAX(G4:I4)=H4,$H$1,IF(MAX(G4:I4)=I4,$I$1,"Check Data"))))</f>
        <v/>
      </c>
      <c r="L4" t="s">
        <v>120</v>
      </c>
      <c r="M4">
        <v>436</v>
      </c>
      <c r="Y4" t="s">
        <v>120</v>
      </c>
      <c r="Z4" s="14">
        <f t="shared" ref="Z4:Z20" si="1">M4/SUM(M4:S4)</f>
        <v>1</v>
      </c>
      <c r="AA4" s="14" t="str">
        <f t="shared" ref="AA4:AA17" si="2">IF(SUM(Z4)&lt;&gt;100%,(N4/SUM(M4:S4)),"")</f>
        <v/>
      </c>
      <c r="AB4" s="14"/>
      <c r="AC4" s="14"/>
      <c r="AD4" s="14"/>
      <c r="AE4" s="14"/>
      <c r="AF4" s="14"/>
    </row>
    <row r="5" spans="1:32" x14ac:dyDescent="0.25">
      <c r="B5" s="2"/>
      <c r="C5" s="2"/>
      <c r="G5" s="2"/>
      <c r="H5" s="2"/>
      <c r="I5" s="2"/>
      <c r="L5" t="s">
        <v>121</v>
      </c>
      <c r="M5">
        <v>457</v>
      </c>
      <c r="Y5" t="s">
        <v>121</v>
      </c>
      <c r="Z5" s="14">
        <f t="shared" si="1"/>
        <v>1</v>
      </c>
      <c r="AA5" s="14" t="str">
        <f t="shared" si="2"/>
        <v/>
      </c>
      <c r="AB5" s="14"/>
      <c r="AC5" s="14"/>
      <c r="AD5" s="14"/>
      <c r="AE5" s="14"/>
      <c r="AF5" s="14"/>
    </row>
    <row r="6" spans="1:32" x14ac:dyDescent="0.25">
      <c r="A6" t="s">
        <v>122</v>
      </c>
      <c r="B6" s="2">
        <f>Pricing!M6</f>
        <v>14.19</v>
      </c>
      <c r="C6" s="2">
        <f>Pricing!N6</f>
        <v>1971</v>
      </c>
      <c r="D6" s="39">
        <v>81837</v>
      </c>
      <c r="E6" s="24">
        <f>ROUNDDOWN(D6/100,0)</f>
        <v>818</v>
      </c>
      <c r="F6" t="s">
        <v>122</v>
      </c>
      <c r="G6" s="2">
        <f t="shared" ref="G6:H8" si="3">D6*B6</f>
        <v>1161267.03</v>
      </c>
      <c r="H6" s="2">
        <f t="shared" si="3"/>
        <v>1612278</v>
      </c>
      <c r="I6" s="2">
        <f>(($B$29*ROUNDDOWN(E6*M6*$N$1,0))+($B$30*ROUNDDOWN(E6*N6*$N$1,0)))*(1-$P$1)</f>
        <v>2831468.2046000003</v>
      </c>
      <c r="J6" t="str">
        <f>IF(SUM(G6:I6)=0,"",IF(MAX(G6:I6)=G6,$G$1,IF(MAX(G6:I6)=H6,$H$1,IF(MAX(G6:I6)=I6,$I$1,"Check Data"))))</f>
        <v>Reprocess to Minerals</v>
      </c>
      <c r="L6" t="s">
        <v>122</v>
      </c>
      <c r="M6">
        <v>346</v>
      </c>
      <c r="N6">
        <v>173</v>
      </c>
      <c r="Y6" t="s">
        <v>122</v>
      </c>
      <c r="Z6" s="14">
        <f>M6/SUM(M6:S6)</f>
        <v>0.66666666666666663</v>
      </c>
      <c r="AA6" s="14">
        <f t="shared" si="2"/>
        <v>0.33333333333333331</v>
      </c>
      <c r="AB6" s="14" t="str">
        <f>IF(SUM(Z6:AA6)&lt;&gt;100%,(O6/SUM(M6:S6)),"")</f>
        <v/>
      </c>
      <c r="AC6" s="14"/>
      <c r="AD6" s="14"/>
      <c r="AE6" s="14"/>
      <c r="AF6" s="14"/>
    </row>
    <row r="7" spans="1:32" x14ac:dyDescent="0.25">
      <c r="A7" t="s">
        <v>123</v>
      </c>
      <c r="B7" s="2">
        <f>Pricing!M7</f>
        <v>18.989999999999998</v>
      </c>
      <c r="C7" s="2">
        <f>Pricing!N7</f>
        <v>2091</v>
      </c>
      <c r="D7" s="39">
        <v>94522</v>
      </c>
      <c r="E7" s="24">
        <f>ROUNDDOWN(D7/100,0)</f>
        <v>945</v>
      </c>
      <c r="F7" t="s">
        <v>123</v>
      </c>
      <c r="G7" s="2">
        <f t="shared" si="3"/>
        <v>1794972.7799999998</v>
      </c>
      <c r="H7" s="2">
        <f t="shared" si="3"/>
        <v>1975995</v>
      </c>
      <c r="I7" s="2">
        <f>(($B$29*ROUNDDOWN(E7*M7*$N$1,0))+($B$30*ROUNDDOWN(E7*N7*$N$1,0)))*(1-$P$1)</f>
        <v>3441242.9520000005</v>
      </c>
      <c r="J7" t="str">
        <f>IF(SUM(G7:I7)=0,"",IF(MAX(G7:I7)=G7,$G$1,IF(MAX(G7:I7)=H7,$H$1,IF(MAX(G7:I7)=I7,$I$1,"Check Data"))))</f>
        <v>Reprocess to Minerals</v>
      </c>
      <c r="L7" t="s">
        <v>123</v>
      </c>
      <c r="M7">
        <v>364</v>
      </c>
      <c r="N7">
        <v>182</v>
      </c>
      <c r="Y7" t="s">
        <v>123</v>
      </c>
      <c r="Z7" s="14">
        <f t="shared" si="1"/>
        <v>0.66666666666666663</v>
      </c>
      <c r="AA7" s="14">
        <f t="shared" si="2"/>
        <v>0.33333333333333331</v>
      </c>
      <c r="AB7" s="14" t="str">
        <f t="shared" ref="AB7:AB20" si="4">IF(SUM(Z7:AA7)&lt;&gt;100%,(O7/SUM(M7:S7)),"")</f>
        <v/>
      </c>
      <c r="AC7" s="14"/>
      <c r="AD7" s="14"/>
      <c r="AE7" s="14"/>
      <c r="AF7" s="14"/>
    </row>
    <row r="8" spans="1:32" x14ac:dyDescent="0.25">
      <c r="A8" t="s">
        <v>124</v>
      </c>
      <c r="B8" s="2">
        <f>Pricing!M8</f>
        <v>15.32</v>
      </c>
      <c r="C8" s="2">
        <f>Pricing!N8</f>
        <v>2490</v>
      </c>
      <c r="D8" s="39">
        <v>0</v>
      </c>
      <c r="E8" s="24">
        <f>ROUNDDOWN(D8/100,0)</f>
        <v>0</v>
      </c>
      <c r="F8" t="s">
        <v>124</v>
      </c>
      <c r="G8" s="2">
        <f t="shared" si="3"/>
        <v>0</v>
      </c>
      <c r="H8" s="2">
        <f t="shared" si="3"/>
        <v>0</v>
      </c>
      <c r="I8" s="2">
        <f>(($B$29*ROUNDDOWN(E8*M8*$N$1,0))+($B$30*ROUNDDOWN(E8*N8*$N$1,0)))*(1-$P$1)</f>
        <v>0</v>
      </c>
      <c r="J8" t="str">
        <f>IF(SUM(G8:I8)=0,"",IF(MAX(G8:I8)=G8,$G$1,IF(MAX(G8:I8)=H8,$H$1,IF(MAX(G8:I8)=I8,$I$1,"Check Data"))))</f>
        <v/>
      </c>
      <c r="L8" t="s">
        <v>124</v>
      </c>
      <c r="M8">
        <v>381</v>
      </c>
      <c r="N8">
        <v>190</v>
      </c>
      <c r="Y8" t="s">
        <v>124</v>
      </c>
      <c r="Z8" s="14">
        <f t="shared" si="1"/>
        <v>0.66725043782837123</v>
      </c>
      <c r="AA8" s="14">
        <f t="shared" si="2"/>
        <v>0.33274956217162871</v>
      </c>
      <c r="AB8" s="14" t="str">
        <f t="shared" si="4"/>
        <v/>
      </c>
      <c r="AC8" s="14"/>
      <c r="AD8" s="14"/>
      <c r="AE8" s="14"/>
      <c r="AF8" s="14"/>
    </row>
    <row r="9" spans="1:32" x14ac:dyDescent="0.25">
      <c r="B9" s="2"/>
      <c r="C9" s="2"/>
      <c r="G9" s="2"/>
      <c r="H9" s="2"/>
      <c r="I9" s="2"/>
      <c r="L9" t="s">
        <v>125</v>
      </c>
      <c r="M9">
        <v>351</v>
      </c>
      <c r="N9">
        <v>25</v>
      </c>
      <c r="O9">
        <v>50</v>
      </c>
      <c r="Q9">
        <v>5</v>
      </c>
      <c r="Y9" t="s">
        <v>125</v>
      </c>
      <c r="Z9" s="14">
        <f t="shared" si="1"/>
        <v>0.81438515081206497</v>
      </c>
      <c r="AA9" s="14">
        <f t="shared" si="2"/>
        <v>5.8004640371229696E-2</v>
      </c>
      <c r="AB9" s="14">
        <f t="shared" si="4"/>
        <v>0.11600928074245939</v>
      </c>
      <c r="AC9" s="14"/>
      <c r="AD9" s="14">
        <f>Q9/SUM(M9:Q9)</f>
        <v>1.1600928074245939E-2</v>
      </c>
      <c r="AE9" s="14"/>
      <c r="AF9" s="14"/>
    </row>
    <row r="10" spans="1:32" x14ac:dyDescent="0.25">
      <c r="A10" t="s">
        <v>125</v>
      </c>
      <c r="B10" s="2">
        <f>Pricing!M10</f>
        <v>22.45</v>
      </c>
      <c r="C10" s="2">
        <f>Pricing!N10</f>
        <v>3279</v>
      </c>
      <c r="D10" s="39">
        <v>7328</v>
      </c>
      <c r="E10" s="24">
        <f>ROUNDDOWN(D10/100,0)</f>
        <v>73</v>
      </c>
      <c r="F10" t="s">
        <v>125</v>
      </c>
      <c r="G10" s="2">
        <f t="shared" ref="G10:H12" si="5">D10*B10</f>
        <v>164513.60000000001</v>
      </c>
      <c r="H10" s="2">
        <f t="shared" si="5"/>
        <v>239367</v>
      </c>
      <c r="I10" s="2">
        <f>(($B$29*ROUNDDOWN(E10*M9*$N$1,0))+($B$30*ROUNDDOWN(E10*N9*$N$1,0))+($B$31*ROUNDDOWN(E10*O9*$N$1,0))+($B$33*ROUNDDOWN(E10*Q9*$N$1,0)))*(1-$P$1)</f>
        <v>640977.15360000008</v>
      </c>
      <c r="J10" t="str">
        <f>IF(SUM(G10:I10)=0,"",IF(MAX(G10:I10)=G10,$G$1,IF(MAX(G10:I10)=H10,$H$1,IF(MAX(G10:I10)=I10,$I$1,"Check Data"))))</f>
        <v>Reprocess to Minerals</v>
      </c>
      <c r="L10" t="s">
        <v>126</v>
      </c>
      <c r="M10">
        <v>369</v>
      </c>
      <c r="N10">
        <v>26</v>
      </c>
      <c r="O10">
        <v>53</v>
      </c>
      <c r="Q10">
        <v>5</v>
      </c>
      <c r="Y10" t="s">
        <v>126</v>
      </c>
      <c r="Z10" s="14">
        <f t="shared" si="1"/>
        <v>0.81456953642384111</v>
      </c>
      <c r="AA10" s="14">
        <f t="shared" si="2"/>
        <v>5.7395143487858721E-2</v>
      </c>
      <c r="AB10" s="14">
        <f t="shared" si="4"/>
        <v>0.11699779249448124</v>
      </c>
      <c r="AC10" s="14"/>
      <c r="AD10" s="14">
        <f>Q10/SUM(M10:Q10)</f>
        <v>1.1037527593818985E-2</v>
      </c>
      <c r="AE10" s="14"/>
      <c r="AF10" s="14"/>
    </row>
    <row r="11" spans="1:32" x14ac:dyDescent="0.25">
      <c r="A11" t="s">
        <v>126</v>
      </c>
      <c r="B11" s="2">
        <f>Pricing!M11</f>
        <v>25.48</v>
      </c>
      <c r="C11" s="2">
        <f>Pricing!N11</f>
        <v>3100</v>
      </c>
      <c r="D11" s="39">
        <v>31817</v>
      </c>
      <c r="E11" s="24">
        <f>ROUNDDOWN(D11/100,0)</f>
        <v>318</v>
      </c>
      <c r="F11" t="s">
        <v>126</v>
      </c>
      <c r="G11" s="2">
        <f t="shared" si="5"/>
        <v>810697.16</v>
      </c>
      <c r="H11" s="2">
        <f t="shared" si="5"/>
        <v>985800</v>
      </c>
      <c r="I11" s="2">
        <f>(($B$29*ROUNDDOWN(E11*M10*$N$1,0))+($B$30*ROUNDDOWN(E11*N10*$N$1,0))+($B$31*ROUNDDOWN(E11*O10*$N$1,0))+($B$33*ROUNDDOWN(E11*Q10*$N$1,0)))*(1-$P$1)</f>
        <v>2862334.1964000002</v>
      </c>
      <c r="J11" t="str">
        <f>IF(SUM(G11:I11)=0,"",IF(MAX(G11:I11)=G11,$G$1,IF(MAX(G11:I11)=H11,$H$1,IF(MAX(G11:I11)=I11,$I$1,"Check Data"))))</f>
        <v>Reprocess to Minerals</v>
      </c>
      <c r="L11" t="s">
        <v>127</v>
      </c>
      <c r="M11">
        <v>387</v>
      </c>
      <c r="N11">
        <v>27</v>
      </c>
      <c r="O11">
        <v>55</v>
      </c>
      <c r="Q11">
        <v>5</v>
      </c>
      <c r="Y11" t="s">
        <v>127</v>
      </c>
      <c r="Z11" s="14">
        <f t="shared" si="1"/>
        <v>0.81645569620253167</v>
      </c>
      <c r="AA11" s="14">
        <f t="shared" si="2"/>
        <v>5.6962025316455694E-2</v>
      </c>
      <c r="AB11" s="14">
        <f t="shared" si="4"/>
        <v>0.1160337552742616</v>
      </c>
      <c r="AC11" s="14"/>
      <c r="AD11" s="14">
        <f>Q11/SUM(M11:Q11)</f>
        <v>1.0548523206751054E-2</v>
      </c>
      <c r="AE11" s="14"/>
      <c r="AF11" s="14"/>
    </row>
    <row r="12" spans="1:32" x14ac:dyDescent="0.25">
      <c r="A12" t="s">
        <v>127</v>
      </c>
      <c r="B12" s="2">
        <f>Pricing!M12</f>
        <v>37.28</v>
      </c>
      <c r="C12" s="2">
        <f>Pricing!N12</f>
        <v>3025</v>
      </c>
      <c r="D12" s="39">
        <v>0</v>
      </c>
      <c r="E12" s="24">
        <f>ROUNDDOWN(D12/100,0)</f>
        <v>0</v>
      </c>
      <c r="F12" t="s">
        <v>127</v>
      </c>
      <c r="G12" s="2">
        <f t="shared" si="5"/>
        <v>0</v>
      </c>
      <c r="H12" s="2">
        <f t="shared" si="5"/>
        <v>0</v>
      </c>
      <c r="I12" s="2">
        <f>(($B$29*ROUNDDOWN(E12*M11*$N$1,0))+($B$30*ROUNDDOWN(E12*N11*$N$1,0))+($B$31*ROUNDDOWN(E12*O11*$N$1,0))+($B$33*ROUNDDOWN(E12*Q11*$N$1,0)))*(1-$P$1)</f>
        <v>0</v>
      </c>
      <c r="J12" t="str">
        <f>IF(SUM(G12:I12)=0,"",IF(MAX(G12:I12)=G12,$G$1,IF(MAX(G12:I12)=H12,$H$1,IF(MAX(G12:I12)=I12,$I$1,"Check Data"))))</f>
        <v/>
      </c>
      <c r="L12" t="s">
        <v>128</v>
      </c>
      <c r="M12">
        <v>107</v>
      </c>
      <c r="N12">
        <v>213</v>
      </c>
      <c r="O12">
        <v>107</v>
      </c>
      <c r="Y12" t="s">
        <v>128</v>
      </c>
      <c r="Z12" s="14">
        <f t="shared" si="1"/>
        <v>0.25058548009367682</v>
      </c>
      <c r="AA12" s="14">
        <f t="shared" si="2"/>
        <v>0.49882903981264637</v>
      </c>
      <c r="AB12" s="14">
        <f t="shared" si="4"/>
        <v>0.25058548009367682</v>
      </c>
      <c r="AC12" s="14"/>
      <c r="AD12" s="14"/>
      <c r="AE12" s="14"/>
      <c r="AF12" s="14"/>
    </row>
    <row r="13" spans="1:32" x14ac:dyDescent="0.25">
      <c r="B13" s="2"/>
      <c r="C13" s="2"/>
      <c r="G13" s="2"/>
      <c r="H13" s="2"/>
      <c r="I13" s="2"/>
      <c r="L13" t="s">
        <v>130</v>
      </c>
      <c r="M13">
        <v>113</v>
      </c>
      <c r="N13">
        <v>224</v>
      </c>
      <c r="O13">
        <v>113</v>
      </c>
      <c r="Y13" t="s">
        <v>130</v>
      </c>
      <c r="Z13" s="14">
        <f t="shared" si="1"/>
        <v>0.25111111111111112</v>
      </c>
      <c r="AA13" s="14">
        <f t="shared" si="2"/>
        <v>0.49777777777777776</v>
      </c>
      <c r="AB13" s="14">
        <f t="shared" si="4"/>
        <v>0.25111111111111112</v>
      </c>
      <c r="AC13" s="14"/>
      <c r="AD13" s="14"/>
      <c r="AE13" s="14"/>
      <c r="AF13" s="14"/>
    </row>
    <row r="14" spans="1:32" x14ac:dyDescent="0.25">
      <c r="A14" t="s">
        <v>128</v>
      </c>
      <c r="B14" s="2">
        <f>Pricing!M14</f>
        <v>72.62</v>
      </c>
      <c r="C14" s="2">
        <f>Pricing!N14</f>
        <v>8528</v>
      </c>
      <c r="D14" s="39">
        <v>0</v>
      </c>
      <c r="E14" s="24">
        <f>ROUNDDOWN(D14/100,0)</f>
        <v>0</v>
      </c>
      <c r="F14" t="s">
        <v>128</v>
      </c>
      <c r="G14" s="2">
        <f t="shared" ref="G14:H16" si="6">D14*B14</f>
        <v>0</v>
      </c>
      <c r="H14" s="2">
        <f t="shared" si="6"/>
        <v>0</v>
      </c>
      <c r="I14" s="2">
        <f>(($B$29*ROUNDDOWN(E14*M12*$N$1,0))+($B$30*ROUNDDOWN(E14*N12*$N$1,0))+($B$31*ROUNDDOWN(E14*O12*$N$1,0)))*(1-$P$1)</f>
        <v>0</v>
      </c>
      <c r="J14" t="str">
        <f>IF(SUM(G14:I14)=0,"",IF(MAX(G14:I14)=G14,$G$1,IF(MAX(G14:I14)=H14,$H$1,IF(MAX(G14:I14)=I14,$I$1,"Check Data"))))</f>
        <v/>
      </c>
      <c r="L14" t="s">
        <v>129</v>
      </c>
      <c r="M14">
        <v>118</v>
      </c>
      <c r="N14">
        <v>235</v>
      </c>
      <c r="O14">
        <v>118</v>
      </c>
      <c r="Y14" t="s">
        <v>129</v>
      </c>
      <c r="Z14" s="14">
        <f t="shared" si="1"/>
        <v>0.2505307855626327</v>
      </c>
      <c r="AA14" s="14">
        <f t="shared" si="2"/>
        <v>0.49893842887473461</v>
      </c>
      <c r="AB14" s="14">
        <f t="shared" si="4"/>
        <v>0.2505307855626327</v>
      </c>
      <c r="AC14" s="14"/>
      <c r="AD14" s="14"/>
      <c r="AE14" s="14"/>
      <c r="AF14" s="14"/>
    </row>
    <row r="15" spans="1:32" x14ac:dyDescent="0.25">
      <c r="A15" t="s">
        <v>130</v>
      </c>
      <c r="B15" s="2">
        <f>Pricing!M15</f>
        <v>93</v>
      </c>
      <c r="C15" s="2">
        <f>Pricing!N15</f>
        <v>9600</v>
      </c>
      <c r="D15" s="39">
        <v>0</v>
      </c>
      <c r="E15" s="24">
        <f>ROUNDDOWN(D15/100,0)</f>
        <v>0</v>
      </c>
      <c r="F15" t="s">
        <v>130</v>
      </c>
      <c r="G15" s="2">
        <f t="shared" si="6"/>
        <v>0</v>
      </c>
      <c r="H15" s="2">
        <f t="shared" si="6"/>
        <v>0</v>
      </c>
      <c r="I15" s="2">
        <f>(($B$29*ROUNDDOWN(E15*M13*$N$1,0))+($B$30*ROUNDDOWN(E15*N13*$N$1,0))+($B$31*ROUNDDOWN(E15*O13*$N$1,0)))*(1-$P$1)</f>
        <v>0</v>
      </c>
      <c r="J15" t="str">
        <f>IF(SUM(G15:I15)=0,"",IF(MAX(G15:I15)=G15,$G$1,IF(MAX(G15:I15)=H15,$H$1,IF(MAX(G15:I15)=I15,$I$1,"Check Data"))))</f>
        <v/>
      </c>
      <c r="L15" t="s">
        <v>134</v>
      </c>
      <c r="M15">
        <v>800</v>
      </c>
      <c r="N15">
        <v>100</v>
      </c>
      <c r="P15">
        <v>85</v>
      </c>
      <c r="Y15" t="s">
        <v>134</v>
      </c>
      <c r="Z15" s="14">
        <f t="shared" si="1"/>
        <v>0.81218274111675126</v>
      </c>
      <c r="AA15" s="14">
        <f t="shared" si="2"/>
        <v>0.10152284263959391</v>
      </c>
      <c r="AB15" s="14"/>
      <c r="AC15" s="14">
        <f t="shared" ref="AC15:AC20" si="7">P15/SUM(M15:P15)</f>
        <v>8.6294416243654817E-2</v>
      </c>
      <c r="AD15" s="14"/>
      <c r="AE15" s="14"/>
      <c r="AF15" s="14"/>
    </row>
    <row r="16" spans="1:32" x14ac:dyDescent="0.25">
      <c r="A16" t="s">
        <v>129</v>
      </c>
      <c r="B16" s="2">
        <f>Pricing!M16</f>
        <v>72.62</v>
      </c>
      <c r="C16" s="2">
        <f>Pricing!N16</f>
        <v>9426</v>
      </c>
      <c r="D16" s="39">
        <v>0</v>
      </c>
      <c r="E16" s="24">
        <f>ROUNDDOWN(D16/100,0)</f>
        <v>0</v>
      </c>
      <c r="F16" t="s">
        <v>129</v>
      </c>
      <c r="G16" s="2">
        <f t="shared" si="6"/>
        <v>0</v>
      </c>
      <c r="H16" s="2">
        <f t="shared" si="6"/>
        <v>0</v>
      </c>
      <c r="I16" s="2">
        <f>(($B$29*ROUNDDOWN(E16*M14*$N$1,0))+($B$30*ROUNDDOWN(E16*N14*$N$1,0))+($B$31*ROUNDDOWN(E16*O14*$N$1,0)))*(1-$P$1)</f>
        <v>0</v>
      </c>
      <c r="J16" t="str">
        <f>IF(SUM(G16:I16)=0,"",IF(MAX(G16:I16)=G16,$G$1,IF(MAX(G16:I16)=H16,$H$1,IF(MAX(G16:I16)=I16,$I$1,"Check Data"))))</f>
        <v/>
      </c>
      <c r="L16" t="s">
        <v>135</v>
      </c>
      <c r="M16">
        <v>840</v>
      </c>
      <c r="N16">
        <v>105</v>
      </c>
      <c r="P16">
        <v>90</v>
      </c>
      <c r="Y16" t="s">
        <v>135</v>
      </c>
      <c r="Z16" s="14">
        <f t="shared" si="1"/>
        <v>0.81159420289855078</v>
      </c>
      <c r="AA16" s="14">
        <f t="shared" si="2"/>
        <v>0.10144927536231885</v>
      </c>
      <c r="AB16" s="14"/>
      <c r="AC16" s="14">
        <f t="shared" si="7"/>
        <v>8.6956521739130432E-2</v>
      </c>
      <c r="AD16" s="14"/>
      <c r="AE16" s="14"/>
      <c r="AF16" s="14"/>
    </row>
    <row r="17" spans="1:32" x14ac:dyDescent="0.25">
      <c r="B17" s="2"/>
      <c r="C17" s="2"/>
      <c r="E17" s="24"/>
      <c r="G17" s="2"/>
      <c r="H17" s="2"/>
      <c r="I17" s="2"/>
      <c r="L17" t="s">
        <v>136</v>
      </c>
      <c r="M17">
        <v>880</v>
      </c>
      <c r="N17">
        <v>110</v>
      </c>
      <c r="P17">
        <v>94</v>
      </c>
      <c r="Y17" t="s">
        <v>136</v>
      </c>
      <c r="Z17" s="14">
        <f t="shared" si="1"/>
        <v>0.81180811808118081</v>
      </c>
      <c r="AA17" s="14">
        <f t="shared" si="2"/>
        <v>0.1014760147601476</v>
      </c>
      <c r="AB17" s="14"/>
      <c r="AC17" s="14">
        <f t="shared" si="7"/>
        <v>8.6715867158671592E-2</v>
      </c>
      <c r="AD17" s="14"/>
      <c r="AE17" s="14"/>
      <c r="AF17" s="14"/>
    </row>
    <row r="18" spans="1:32" x14ac:dyDescent="0.25">
      <c r="A18" t="s">
        <v>134</v>
      </c>
      <c r="B18" s="2">
        <f>Pricing!M18</f>
        <v>64.09</v>
      </c>
      <c r="C18" s="2">
        <f>Pricing!N18</f>
        <v>9006</v>
      </c>
      <c r="D18" s="39">
        <v>0</v>
      </c>
      <c r="E18" s="24">
        <f>ROUNDDOWN(D18/100,0)</f>
        <v>0</v>
      </c>
      <c r="F18" t="s">
        <v>134</v>
      </c>
      <c r="G18" s="2">
        <f t="shared" ref="G18:H20" si="8">D18*B18</f>
        <v>0</v>
      </c>
      <c r="H18" s="2">
        <f t="shared" si="8"/>
        <v>0</v>
      </c>
      <c r="I18" s="2">
        <f>(($B$29*ROUNDDOWN(E18*M15*$N$1,0))+($B$30*ROUNDDOWN(E18*N15*$N$1,0))+($B$32*ROUNDDOWN(E18*P15*$N$1,0)))*(1-$P$1)</f>
        <v>0</v>
      </c>
      <c r="J18" t="str">
        <f>IF(SUM(G18:I18)=0,"",IF(MAX(G18:I18)=G18,$G$1,IF(MAX(G18:I18)=H18,$H$1,IF(MAX(G18:I18)=I18,$I$1,"Check Data"))))</f>
        <v/>
      </c>
      <c r="L18" t="s">
        <v>131</v>
      </c>
      <c r="M18">
        <v>134</v>
      </c>
      <c r="O18">
        <v>267</v>
      </c>
      <c r="P18">
        <v>134</v>
      </c>
      <c r="Y18" t="s">
        <v>131</v>
      </c>
      <c r="Z18" s="14">
        <f t="shared" si="1"/>
        <v>0.25046728971962617</v>
      </c>
      <c r="AA18" s="14"/>
      <c r="AB18" s="14">
        <f t="shared" si="4"/>
        <v>0.49906542056074765</v>
      </c>
      <c r="AC18" s="14">
        <f t="shared" si="7"/>
        <v>0.25046728971962617</v>
      </c>
      <c r="AD18" s="14"/>
      <c r="AE18" s="14"/>
      <c r="AF18" s="14"/>
    </row>
    <row r="19" spans="1:32" x14ac:dyDescent="0.25">
      <c r="A19" t="s">
        <v>135</v>
      </c>
      <c r="B19" s="2">
        <f>Pricing!M19</f>
        <v>62.3</v>
      </c>
      <c r="C19" s="2">
        <f>Pricing!N19</f>
        <v>7721</v>
      </c>
      <c r="D19" s="39">
        <v>0</v>
      </c>
      <c r="E19" s="24">
        <f>ROUNDDOWN(D19/100,0)</f>
        <v>0</v>
      </c>
      <c r="F19" t="s">
        <v>135</v>
      </c>
      <c r="G19" s="2">
        <f t="shared" si="8"/>
        <v>0</v>
      </c>
      <c r="H19" s="2">
        <f t="shared" si="8"/>
        <v>0</v>
      </c>
      <c r="I19" s="2">
        <f>(($B$29*ROUNDDOWN(E19*M16*$N$1,0))+($B$30*ROUNDDOWN(E19*N16*$N$1,0))+($B$32*ROUNDDOWN(E19*P16*$N$1,0)))*(1-$P$1)</f>
        <v>0</v>
      </c>
      <c r="J19" t="str">
        <f>IF(SUM(G19:I19)=0,"",IF(MAX(G19:I19)=G19,$G$1,IF(MAX(G19:I19)=H19,$H$1,IF(MAX(G19:I19)=I19,$I$1,"Check Data"))))</f>
        <v/>
      </c>
      <c r="L19" t="s">
        <v>132</v>
      </c>
      <c r="M19">
        <v>141</v>
      </c>
      <c r="O19">
        <v>281</v>
      </c>
      <c r="P19">
        <v>141</v>
      </c>
      <c r="Y19" t="s">
        <v>132</v>
      </c>
      <c r="Z19" s="14">
        <f t="shared" si="1"/>
        <v>0.25044404973357015</v>
      </c>
      <c r="AA19" s="14"/>
      <c r="AB19" s="14">
        <f t="shared" si="4"/>
        <v>0.4991119005328597</v>
      </c>
      <c r="AC19" s="14">
        <f t="shared" si="7"/>
        <v>0.25044404973357015</v>
      </c>
      <c r="AD19" s="14"/>
      <c r="AE19" s="14"/>
      <c r="AF19" s="14"/>
    </row>
    <row r="20" spans="1:32" x14ac:dyDescent="0.25">
      <c r="A20" t="s">
        <v>136</v>
      </c>
      <c r="B20" s="2">
        <f>Pricing!M20</f>
        <v>62.99</v>
      </c>
      <c r="C20" s="2">
        <f>Pricing!N20</f>
        <v>8367</v>
      </c>
      <c r="D20" s="39">
        <v>0</v>
      </c>
      <c r="E20" s="24">
        <f>ROUNDDOWN(D20/100,0)</f>
        <v>0</v>
      </c>
      <c r="F20" t="s">
        <v>136</v>
      </c>
      <c r="G20" s="2">
        <f t="shared" si="8"/>
        <v>0</v>
      </c>
      <c r="H20" s="2">
        <f t="shared" si="8"/>
        <v>0</v>
      </c>
      <c r="I20" s="2">
        <f>(($B$29*ROUNDDOWN(E20*M17*$N$1,0))+($B$30*ROUNDDOWN(E20*N17*$N$1,0))+($B$32*ROUNDDOWN(E20*P17*$N$1,0)))*(1-$P$1)</f>
        <v>0</v>
      </c>
      <c r="J20" t="str">
        <f>IF(SUM(G20:I20)=0,"",IF(MAX(G20:I20)=G20,$G$1,IF(MAX(G20:I20)=H20,$H$1,IF(MAX(G20:I20)=I20,$I$1,"Check Data"))))</f>
        <v/>
      </c>
      <c r="L20" t="s">
        <v>133</v>
      </c>
      <c r="M20">
        <v>148</v>
      </c>
      <c r="O20">
        <v>294</v>
      </c>
      <c r="P20">
        <v>148</v>
      </c>
      <c r="Y20" t="s">
        <v>133</v>
      </c>
      <c r="Z20" s="14">
        <f t="shared" si="1"/>
        <v>0.25084745762711863</v>
      </c>
      <c r="AA20" s="14"/>
      <c r="AB20" s="14">
        <f t="shared" si="4"/>
        <v>0.49830508474576274</v>
      </c>
      <c r="AC20" s="14">
        <f t="shared" si="7"/>
        <v>0.25084745762711863</v>
      </c>
      <c r="AD20" s="14"/>
      <c r="AE20" s="14"/>
      <c r="AF20" s="14"/>
    </row>
    <row r="21" spans="1:32" x14ac:dyDescent="0.25">
      <c r="B21" s="2"/>
      <c r="C21" s="2"/>
      <c r="E21" s="24"/>
      <c r="G21" s="2"/>
      <c r="H21" s="2"/>
      <c r="I21" s="2"/>
      <c r="L21" t="s">
        <v>148</v>
      </c>
      <c r="T21">
        <v>69</v>
      </c>
      <c r="U21">
        <v>35</v>
      </c>
      <c r="V21">
        <v>414</v>
      </c>
      <c r="W21">
        <v>1</v>
      </c>
    </row>
    <row r="22" spans="1:32" x14ac:dyDescent="0.25">
      <c r="A22" t="s">
        <v>131</v>
      </c>
      <c r="B22" s="2">
        <f>Pricing!M22</f>
        <v>409.5</v>
      </c>
      <c r="C22" s="2">
        <f>Pricing!N22</f>
        <v>20000</v>
      </c>
      <c r="D22" s="39">
        <v>0</v>
      </c>
      <c r="E22" s="24">
        <f>ROUNDDOWN(D22/100,0)</f>
        <v>0</v>
      </c>
      <c r="F22" t="s">
        <v>131</v>
      </c>
      <c r="G22" s="2">
        <f t="shared" ref="G22:H24" si="9">D22*B22</f>
        <v>0</v>
      </c>
      <c r="H22" s="2">
        <f t="shared" si="9"/>
        <v>0</v>
      </c>
      <c r="I22" s="2">
        <f>(($B$29*ROUNDDOWN(E22*M18*$N$1,0))+($B$32*ROUNDDOWN(E22*O18*$N$1,0))+($B$31*ROUNDDOWN(E22*P18*$N$1,0)))*(1-$P$1)</f>
        <v>0</v>
      </c>
      <c r="J22" t="str">
        <f>IF(SUM(G22:I22)=0,"",IF(MAX(G22:I22)=G22,$G$1,IF(MAX(G22:I22)=H22,$H$1,IF(MAX(G22:I22)=I22,$I$1,"Check Data"))))</f>
        <v/>
      </c>
    </row>
    <row r="23" spans="1:32" x14ac:dyDescent="0.25">
      <c r="A23" t="s">
        <v>132</v>
      </c>
      <c r="B23" s="2">
        <f>Pricing!M23</f>
        <v>160</v>
      </c>
      <c r="C23" s="2">
        <f>Pricing!N23</f>
        <v>20600</v>
      </c>
      <c r="D23" s="39">
        <v>0</v>
      </c>
      <c r="E23" s="24">
        <f>ROUNDDOWN(D23/100,0)</f>
        <v>0</v>
      </c>
      <c r="F23" t="s">
        <v>132</v>
      </c>
      <c r="G23" s="2">
        <f t="shared" si="9"/>
        <v>0</v>
      </c>
      <c r="H23" s="2">
        <f t="shared" si="9"/>
        <v>0</v>
      </c>
      <c r="I23" s="2">
        <f>(($B$29*ROUNDDOWN(E23*M19*$N$1,0))+($B$32*ROUNDDOWN(E23*O19*$N$1,0))+($B$31*ROUNDDOWN(E23*P19*$N$1,0)))*(1-$P$1)</f>
        <v>0</v>
      </c>
      <c r="J23" t="str">
        <f>IF(SUM(G23:I23)=0,"",IF(MAX(G23:I23)=G23,$G$1,IF(MAX(G23:I23)=H23,$H$1,IF(MAX(G23:I23)=I23,$I$1,"Check Data"))))</f>
        <v/>
      </c>
    </row>
    <row r="24" spans="1:32" x14ac:dyDescent="0.25">
      <c r="A24" t="s">
        <v>133</v>
      </c>
      <c r="B24" s="2">
        <f>Pricing!M24</f>
        <v>178.1</v>
      </c>
      <c r="C24" s="2">
        <f>Pricing!N24</f>
        <v>21290</v>
      </c>
      <c r="D24" s="39">
        <v>0</v>
      </c>
      <c r="E24" s="24">
        <f>ROUNDDOWN(D24/100,0)</f>
        <v>0</v>
      </c>
      <c r="F24" t="s">
        <v>133</v>
      </c>
      <c r="G24" s="2">
        <f t="shared" si="9"/>
        <v>0</v>
      </c>
      <c r="H24" s="2">
        <f t="shared" si="9"/>
        <v>0</v>
      </c>
      <c r="I24" s="2">
        <f>(($B$29*ROUNDDOWN(E24*M20*$N$1,0))+($B$32*ROUNDDOWN(E24*O20*$N$1,0))+($B$31*ROUNDDOWN(E24*P20*$N$1,0)))*(1-$P$1)</f>
        <v>0</v>
      </c>
      <c r="J24" t="str">
        <f>IF(SUM(G24:I24)=0,"",IF(MAX(G24:I24)=G24,$G$1,IF(MAX(G24:I24)=H24,$H$1,IF(MAX(G24:I24)=I24,$I$1,"Check Data"))))</f>
        <v/>
      </c>
    </row>
    <row r="25" spans="1:32" x14ac:dyDescent="0.25">
      <c r="B25" s="2"/>
      <c r="C25" s="2"/>
    </row>
    <row r="26" spans="1:32" x14ac:dyDescent="0.25">
      <c r="A26" t="s">
        <v>148</v>
      </c>
      <c r="B26" s="2">
        <f>Pricing!M26</f>
        <v>152000</v>
      </c>
      <c r="C26" s="2">
        <f>Pricing!N26</f>
        <v>167100</v>
      </c>
      <c r="D26" s="39">
        <v>126</v>
      </c>
      <c r="E26" s="24">
        <f>D26</f>
        <v>126</v>
      </c>
      <c r="F26" t="str">
        <f>A26</f>
        <v>White Glaze</v>
      </c>
      <c r="G26" s="4">
        <f>D26*B26</f>
        <v>19152000</v>
      </c>
      <c r="H26" s="4">
        <f>D26*C26</f>
        <v>21054600</v>
      </c>
      <c r="I26" s="2">
        <f>(($B$37*ROUNDDOWN(E26*T21*$N$1,0))+($B$38*ROUNDDOWN(E26*U21*$N$1,0))+($B$39*ROUNDDOWN(B4*V21*$N$1,0))+($B$40*ROUNDDOWN(W21*E26*$N$1,0)))*(1-$P$1)</f>
        <v>4445688.0720000006</v>
      </c>
      <c r="J26" t="str">
        <f>IF(MAX(G26:I26)=G26,$G$1,IF(MAX(G26:I26)=H26,$H$1,IF(MAX(G26:I26)=I26,$I$1,"Check Data")))</f>
        <v>Price Compressed</v>
      </c>
    </row>
    <row r="27" spans="1:32" x14ac:dyDescent="0.25">
      <c r="C27" s="2"/>
    </row>
    <row r="28" spans="1:32" x14ac:dyDescent="0.25">
      <c r="A28" s="36" t="s">
        <v>141</v>
      </c>
      <c r="B28" s="2"/>
      <c r="C28" s="2"/>
    </row>
    <row r="29" spans="1:32" x14ac:dyDescent="0.25">
      <c r="A29" t="s">
        <v>107</v>
      </c>
      <c r="B29" s="2">
        <f>Pricing!J2</f>
        <v>4.57</v>
      </c>
      <c r="C29" s="2"/>
    </row>
    <row r="30" spans="1:32" x14ac:dyDescent="0.25">
      <c r="A30" t="s">
        <v>109</v>
      </c>
      <c r="B30" s="2">
        <f>Pricing!J3</f>
        <v>18.010000000000002</v>
      </c>
      <c r="C30" s="2"/>
    </row>
    <row r="31" spans="1:32" x14ac:dyDescent="0.25">
      <c r="A31" t="s">
        <v>110</v>
      </c>
      <c r="B31" s="2">
        <f>Pricing!J4</f>
        <v>63.36</v>
      </c>
      <c r="C31" s="2"/>
    </row>
    <row r="32" spans="1:32" x14ac:dyDescent="0.25">
      <c r="A32" t="s">
        <v>111</v>
      </c>
      <c r="B32" s="2">
        <f>Pricing!J5</f>
        <v>55.98</v>
      </c>
      <c r="C32" s="2"/>
    </row>
    <row r="33" spans="1:6" x14ac:dyDescent="0.25">
      <c r="A33" t="s">
        <v>112</v>
      </c>
      <c r="B33" s="2">
        <f>Pricing!J6</f>
        <v>1341</v>
      </c>
      <c r="C33" s="2"/>
    </row>
    <row r="34" spans="1:6" x14ac:dyDescent="0.25">
      <c r="A34" t="s">
        <v>114</v>
      </c>
      <c r="B34" s="2">
        <f>Pricing!J7</f>
        <v>598</v>
      </c>
      <c r="C34" s="2"/>
    </row>
    <row r="35" spans="1:6" x14ac:dyDescent="0.25">
      <c r="A35" t="s">
        <v>113</v>
      </c>
      <c r="B35" s="2">
        <f>Pricing!J8</f>
        <v>868.3</v>
      </c>
      <c r="C35" s="25"/>
    </row>
    <row r="36" spans="1:6" x14ac:dyDescent="0.25">
      <c r="A36" t="s">
        <v>43</v>
      </c>
      <c r="B36" s="2">
        <f>Pricing!J9</f>
        <v>41900</v>
      </c>
      <c r="C36" s="25"/>
    </row>
    <row r="37" spans="1:6" x14ac:dyDescent="0.25">
      <c r="A37" t="s">
        <v>55</v>
      </c>
      <c r="B37" s="2">
        <f>Pricing!J14</f>
        <v>167.4</v>
      </c>
      <c r="C37" s="25"/>
    </row>
    <row r="38" spans="1:6" x14ac:dyDescent="0.25">
      <c r="A38" t="s">
        <v>59</v>
      </c>
      <c r="B38" s="2">
        <f>Pricing!J15</f>
        <v>85</v>
      </c>
      <c r="C38" s="25"/>
    </row>
    <row r="39" spans="1:6" x14ac:dyDescent="0.25">
      <c r="A39" t="s">
        <v>60</v>
      </c>
      <c r="B39" s="2">
        <f>Pricing!J16</f>
        <v>864.6</v>
      </c>
    </row>
    <row r="40" spans="1:6" x14ac:dyDescent="0.25">
      <c r="A40" t="s">
        <v>151</v>
      </c>
      <c r="B40" s="2">
        <f>Pricing!J18</f>
        <v>1694</v>
      </c>
    </row>
    <row r="42" spans="1:6" x14ac:dyDescent="0.25">
      <c r="A42" s="57" t="s">
        <v>368</v>
      </c>
    </row>
    <row r="43" spans="1:6" x14ac:dyDescent="0.25">
      <c r="A43" t="s">
        <v>369</v>
      </c>
      <c r="B43" t="s">
        <v>370</v>
      </c>
      <c r="C43" t="s">
        <v>371</v>
      </c>
      <c r="D43" s="29">
        <v>0.21</v>
      </c>
      <c r="E43" t="s">
        <v>146</v>
      </c>
      <c r="F43" s="29">
        <v>0.09</v>
      </c>
    </row>
    <row r="44" spans="1:6" x14ac:dyDescent="0.25">
      <c r="C44" t="s">
        <v>372</v>
      </c>
      <c r="D44" s="29">
        <v>0.16</v>
      </c>
    </row>
    <row r="45" spans="1:6" x14ac:dyDescent="0.25">
      <c r="D45" s="29"/>
    </row>
    <row r="46" spans="1:6" x14ac:dyDescent="0.25">
      <c r="A46" t="s">
        <v>373</v>
      </c>
      <c r="B46" t="s">
        <v>374</v>
      </c>
      <c r="C46" t="s">
        <v>375</v>
      </c>
      <c r="D46" s="29">
        <v>0.2</v>
      </c>
      <c r="E46" t="s">
        <v>146</v>
      </c>
      <c r="F46" s="29">
        <v>0.1</v>
      </c>
    </row>
    <row r="47" spans="1:6" x14ac:dyDescent="0.25">
      <c r="C47" t="s">
        <v>376</v>
      </c>
      <c r="D47" s="29">
        <v>0.08</v>
      </c>
    </row>
    <row r="49" spans="1:6" x14ac:dyDescent="0.25">
      <c r="A49" t="s">
        <v>373</v>
      </c>
      <c r="B49" t="s">
        <v>377</v>
      </c>
      <c r="C49" t="s">
        <v>378</v>
      </c>
      <c r="D49" s="29">
        <v>0.33</v>
      </c>
      <c r="E49" t="s">
        <v>146</v>
      </c>
      <c r="F49" s="29">
        <v>0.1</v>
      </c>
    </row>
    <row r="50" spans="1:6" x14ac:dyDescent="0.25">
      <c r="B50" s="2"/>
      <c r="C50" t="s">
        <v>372</v>
      </c>
      <c r="D50" s="29">
        <v>0.14000000000000001</v>
      </c>
    </row>
    <row r="52" spans="1:6" x14ac:dyDescent="0.25">
      <c r="A52" t="s">
        <v>379</v>
      </c>
      <c r="B52" t="s">
        <v>374</v>
      </c>
      <c r="C52" t="s">
        <v>371</v>
      </c>
      <c r="D52" s="29">
        <v>0.45</v>
      </c>
      <c r="E52" t="s">
        <v>146</v>
      </c>
      <c r="F52" s="29">
        <v>0.1</v>
      </c>
    </row>
    <row r="53" spans="1:6" x14ac:dyDescent="0.25">
      <c r="C53" t="s">
        <v>375</v>
      </c>
      <c r="D53" s="29">
        <v>0.22</v>
      </c>
    </row>
    <row r="55" spans="1:6" x14ac:dyDescent="0.25">
      <c r="A55" t="s">
        <v>379</v>
      </c>
      <c r="B55" t="s">
        <v>380</v>
      </c>
      <c r="C55" t="s">
        <v>381</v>
      </c>
      <c r="D55" s="29">
        <v>0.33</v>
      </c>
      <c r="E55" t="s">
        <v>146</v>
      </c>
      <c r="F55" s="29">
        <v>0.1</v>
      </c>
    </row>
    <row r="56" spans="1:6" x14ac:dyDescent="0.25">
      <c r="C56" t="s">
        <v>382</v>
      </c>
      <c r="D56" s="29">
        <v>0.16</v>
      </c>
    </row>
    <row r="57" spans="1:6" x14ac:dyDescent="0.25">
      <c r="C57" t="s">
        <v>383</v>
      </c>
      <c r="D57" s="29">
        <v>0.32</v>
      </c>
    </row>
    <row r="59" spans="1:6" x14ac:dyDescent="0.25">
      <c r="A59" t="s">
        <v>379</v>
      </c>
      <c r="B59" t="s">
        <v>374</v>
      </c>
      <c r="C59" t="s">
        <v>371</v>
      </c>
      <c r="D59" s="29">
        <v>0.45</v>
      </c>
      <c r="E59" t="s">
        <v>146</v>
      </c>
      <c r="F59" s="29">
        <v>0.1</v>
      </c>
    </row>
    <row r="60" spans="1:6" x14ac:dyDescent="0.25">
      <c r="C60" t="s">
        <v>378</v>
      </c>
      <c r="D60" s="29">
        <v>0.2</v>
      </c>
    </row>
    <row r="62" spans="1:6" x14ac:dyDescent="0.25">
      <c r="A62" s="57" t="s">
        <v>384</v>
      </c>
    </row>
    <row r="63" spans="1:6" x14ac:dyDescent="0.25">
      <c r="A63" s="27" t="s">
        <v>404</v>
      </c>
      <c r="B63" s="69" t="s">
        <v>374</v>
      </c>
      <c r="C63" s="27" t="s">
        <v>378</v>
      </c>
      <c r="D63" s="70">
        <v>0.31</v>
      </c>
      <c r="E63" t="s">
        <v>146</v>
      </c>
      <c r="F63" s="29">
        <v>0.1</v>
      </c>
    </row>
    <row r="64" spans="1:6" x14ac:dyDescent="0.25">
      <c r="A64" s="27"/>
      <c r="B64" s="27"/>
      <c r="C64" s="27" t="s">
        <v>371</v>
      </c>
      <c r="D64" s="70">
        <v>0.63</v>
      </c>
    </row>
    <row r="65" spans="1:6" x14ac:dyDescent="0.25">
      <c r="A65" s="27"/>
      <c r="B65" s="27"/>
      <c r="C65" s="27" t="s">
        <v>376</v>
      </c>
      <c r="D65" s="70">
        <v>0.28000000000000003</v>
      </c>
    </row>
    <row r="66" spans="1:6" x14ac:dyDescent="0.25">
      <c r="A66" s="27"/>
      <c r="B66" s="27"/>
      <c r="C66" s="27"/>
      <c r="D66" s="27"/>
    </row>
    <row r="67" spans="1:6" x14ac:dyDescent="0.25">
      <c r="A67" s="27" t="s">
        <v>400</v>
      </c>
      <c r="B67" s="69" t="s">
        <v>377</v>
      </c>
      <c r="C67" s="27" t="s">
        <v>389</v>
      </c>
      <c r="D67" s="70">
        <v>0.59</v>
      </c>
      <c r="E67" t="s">
        <v>146</v>
      </c>
      <c r="F67" s="29">
        <v>0.1</v>
      </c>
    </row>
    <row r="68" spans="1:6" x14ac:dyDescent="0.25">
      <c r="A68" s="27"/>
      <c r="B68" s="27"/>
      <c r="C68" s="27" t="s">
        <v>372</v>
      </c>
      <c r="D68" s="70">
        <v>0.34</v>
      </c>
    </row>
    <row r="69" spans="1:6" x14ac:dyDescent="0.25">
      <c r="A69" s="27"/>
      <c r="B69" s="27"/>
      <c r="C69" s="27"/>
      <c r="D69" s="27"/>
    </row>
    <row r="70" spans="1:6" x14ac:dyDescent="0.25">
      <c r="A70" s="27" t="s">
        <v>399</v>
      </c>
      <c r="B70" s="27" t="s">
        <v>380</v>
      </c>
      <c r="C70" s="27" t="s">
        <v>390</v>
      </c>
      <c r="D70" s="70">
        <v>0.32</v>
      </c>
      <c r="E70" t="s">
        <v>146</v>
      </c>
      <c r="F70" s="29">
        <v>0.1</v>
      </c>
    </row>
    <row r="71" spans="1:6" x14ac:dyDescent="0.25">
      <c r="A71" s="27"/>
      <c r="B71" s="27"/>
      <c r="C71" s="27" t="s">
        <v>391</v>
      </c>
      <c r="D71" s="70">
        <v>0.5</v>
      </c>
    </row>
    <row r="72" spans="1:6" x14ac:dyDescent="0.25">
      <c r="A72" s="27"/>
      <c r="B72" s="27"/>
      <c r="C72" s="27"/>
      <c r="D72" s="27"/>
    </row>
    <row r="73" spans="1:6" x14ac:dyDescent="0.25">
      <c r="A73" s="27" t="s">
        <v>402</v>
      </c>
      <c r="B73" s="69" t="s">
        <v>392</v>
      </c>
      <c r="C73" s="27" t="s">
        <v>393</v>
      </c>
      <c r="D73" s="70">
        <v>0.23</v>
      </c>
      <c r="E73" t="s">
        <v>146</v>
      </c>
      <c r="F73" s="29">
        <v>0.1</v>
      </c>
    </row>
    <row r="74" spans="1:6" x14ac:dyDescent="0.25">
      <c r="A74" s="27"/>
      <c r="B74" s="27"/>
      <c r="C74" s="27" t="s">
        <v>381</v>
      </c>
      <c r="D74" s="70">
        <v>0.53</v>
      </c>
    </row>
    <row r="75" spans="1:6" x14ac:dyDescent="0.25">
      <c r="A75" s="27"/>
      <c r="B75" s="27"/>
      <c r="C75" s="27"/>
      <c r="D75" s="27"/>
    </row>
    <row r="76" spans="1:6" x14ac:dyDescent="0.25">
      <c r="A76" s="27" t="s">
        <v>403</v>
      </c>
      <c r="B76" s="69" t="s">
        <v>394</v>
      </c>
      <c r="C76" s="27" t="s">
        <v>395</v>
      </c>
      <c r="D76" s="70">
        <v>0.39</v>
      </c>
      <c r="E76" t="s">
        <v>146</v>
      </c>
      <c r="F76" s="29">
        <v>0.1</v>
      </c>
    </row>
    <row r="77" spans="1:6" x14ac:dyDescent="0.25">
      <c r="A77" s="27"/>
      <c r="B77" s="27"/>
      <c r="C77" s="27" t="s">
        <v>381</v>
      </c>
      <c r="D77" s="70">
        <v>0.33</v>
      </c>
    </row>
    <row r="78" spans="1:6" x14ac:dyDescent="0.25">
      <c r="A78" s="27"/>
      <c r="B78" s="27"/>
      <c r="C78" s="27"/>
      <c r="D78" s="27"/>
    </row>
    <row r="79" spans="1:6" x14ac:dyDescent="0.25">
      <c r="A79" s="27" t="s">
        <v>401</v>
      </c>
      <c r="B79" s="69" t="s">
        <v>396</v>
      </c>
      <c r="C79" s="27" t="s">
        <v>397</v>
      </c>
      <c r="D79" s="70">
        <v>0.46</v>
      </c>
      <c r="E79" t="s">
        <v>146</v>
      </c>
      <c r="F79" s="29">
        <v>0.1</v>
      </c>
    </row>
    <row r="80" spans="1:6" x14ac:dyDescent="0.25">
      <c r="A80" s="27"/>
      <c r="B80" s="27"/>
      <c r="C80" s="27" t="s">
        <v>398</v>
      </c>
      <c r="D80" s="27"/>
    </row>
    <row r="86" spans="1:6" x14ac:dyDescent="0.25">
      <c r="A86" t="s">
        <v>385</v>
      </c>
      <c r="B86" t="s">
        <v>386</v>
      </c>
      <c r="C86" t="s">
        <v>387</v>
      </c>
      <c r="D86" t="s">
        <v>388</v>
      </c>
    </row>
    <row r="87" spans="1:6" x14ac:dyDescent="0.25">
      <c r="F87" s="29"/>
    </row>
    <row r="88" spans="1:6" x14ac:dyDescent="0.25">
      <c r="D88" s="29"/>
    </row>
    <row r="89" spans="1:6" x14ac:dyDescent="0.25">
      <c r="A89" t="s">
        <v>402</v>
      </c>
      <c r="B89" t="s">
        <v>392</v>
      </c>
      <c r="C89" t="s">
        <v>393</v>
      </c>
      <c r="D89">
        <v>23</v>
      </c>
      <c r="E89" t="s">
        <v>146</v>
      </c>
      <c r="F89" s="29">
        <v>0.1</v>
      </c>
    </row>
    <row r="90" spans="1:6" x14ac:dyDescent="0.25">
      <c r="C90" t="s">
        <v>381</v>
      </c>
      <c r="D90">
        <v>53</v>
      </c>
    </row>
    <row r="91" spans="1:6" x14ac:dyDescent="0.25">
      <c r="D91" s="29"/>
    </row>
    <row r="93" spans="1:6" x14ac:dyDescent="0.25">
      <c r="D93" s="29"/>
      <c r="F93" s="29"/>
    </row>
    <row r="94" spans="1:6" x14ac:dyDescent="0.25">
      <c r="D94" s="29"/>
    </row>
    <row r="99" spans="4:6" x14ac:dyDescent="0.25">
      <c r="D99" s="29"/>
      <c r="F99" s="29"/>
    </row>
    <row r="100" spans="4:6" x14ac:dyDescent="0.25">
      <c r="D100" s="29"/>
    </row>
    <row r="102" spans="4:6" x14ac:dyDescent="0.25">
      <c r="F102" s="29"/>
    </row>
    <row r="108" spans="4:6" x14ac:dyDescent="0.25">
      <c r="F108" s="29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AF8E8-DE3B-4467-9FF4-DE3E629A15AE}">
  <dimension ref="A1:K22"/>
  <sheetViews>
    <sheetView workbookViewId="0">
      <selection activeCell="J10" sqref="J10"/>
    </sheetView>
  </sheetViews>
  <sheetFormatPr defaultRowHeight="15" x14ac:dyDescent="0.25"/>
  <cols>
    <col min="1" max="1" width="23.85546875" bestFit="1" customWidth="1"/>
    <col min="2" max="2" width="19.85546875" bestFit="1" customWidth="1"/>
    <col min="3" max="3" width="10.42578125" customWidth="1"/>
    <col min="4" max="4" width="17.28515625" customWidth="1"/>
    <col min="5" max="5" width="16.85546875" customWidth="1"/>
    <col min="6" max="6" width="13.28515625" bestFit="1" customWidth="1"/>
    <col min="7" max="7" width="14.28515625" bestFit="1" customWidth="1"/>
    <col min="8" max="8" width="10.140625" bestFit="1" customWidth="1"/>
    <col min="9" max="11" width="14.28515625" bestFit="1" customWidth="1"/>
  </cols>
  <sheetData>
    <row r="1" spans="1:11" x14ac:dyDescent="0.25">
      <c r="A1" t="s">
        <v>84</v>
      </c>
      <c r="B1" t="s">
        <v>26</v>
      </c>
      <c r="C1" t="s">
        <v>85</v>
      </c>
      <c r="D1" t="s">
        <v>19</v>
      </c>
      <c r="E1" t="s">
        <v>86</v>
      </c>
      <c r="F1" t="s">
        <v>87</v>
      </c>
    </row>
    <row r="2" spans="1:11" x14ac:dyDescent="0.25">
      <c r="A2" t="s">
        <v>91</v>
      </c>
      <c r="B2" s="2">
        <v>4163000</v>
      </c>
      <c r="C2">
        <v>90</v>
      </c>
      <c r="D2">
        <v>2</v>
      </c>
      <c r="E2">
        <v>1</v>
      </c>
      <c r="F2">
        <v>-2</v>
      </c>
    </row>
    <row r="3" spans="1:11" x14ac:dyDescent="0.25">
      <c r="A3" t="s">
        <v>89</v>
      </c>
      <c r="B3" s="2">
        <v>2630000</v>
      </c>
      <c r="C3">
        <v>80</v>
      </c>
      <c r="D3">
        <v>4</v>
      </c>
      <c r="E3">
        <v>-1</v>
      </c>
      <c r="F3">
        <v>4</v>
      </c>
      <c r="J3">
        <v>30</v>
      </c>
    </row>
    <row r="4" spans="1:11" x14ac:dyDescent="0.25">
      <c r="A4" t="s">
        <v>93</v>
      </c>
      <c r="B4" s="2">
        <v>1051000</v>
      </c>
      <c r="C4">
        <v>50</v>
      </c>
      <c r="D4">
        <v>3</v>
      </c>
      <c r="E4">
        <v>1</v>
      </c>
      <c r="F4">
        <v>-2</v>
      </c>
      <c r="I4" s="24"/>
      <c r="J4" s="25">
        <v>0.61499999999999999</v>
      </c>
      <c r="K4" s="25">
        <v>0.49199999999999999</v>
      </c>
    </row>
    <row r="5" spans="1:11" x14ac:dyDescent="0.25">
      <c r="A5" t="s">
        <v>88</v>
      </c>
      <c r="B5" s="2">
        <v>360600</v>
      </c>
      <c r="C5">
        <v>20</v>
      </c>
      <c r="D5">
        <v>1</v>
      </c>
      <c r="E5">
        <v>2</v>
      </c>
      <c r="F5">
        <v>10</v>
      </c>
      <c r="I5" s="24"/>
      <c r="J5">
        <f>ROUNDDOWN(J3*J4,0)*1</f>
        <v>18</v>
      </c>
      <c r="K5">
        <f>ROUNDDOWN(J3*K4,0)*1</f>
        <v>14</v>
      </c>
    </row>
    <row r="6" spans="1:11" x14ac:dyDescent="0.25">
      <c r="A6" t="s">
        <v>94</v>
      </c>
      <c r="B6" s="2">
        <v>450000</v>
      </c>
      <c r="C6">
        <v>10</v>
      </c>
      <c r="D6">
        <v>0</v>
      </c>
      <c r="E6">
        <v>3</v>
      </c>
      <c r="F6">
        <v>6</v>
      </c>
      <c r="G6" t="s">
        <v>96</v>
      </c>
      <c r="I6" s="24"/>
      <c r="J6" s="4">
        <f>G17</f>
        <v>47185200</v>
      </c>
      <c r="K6" s="4">
        <f>G22</f>
        <v>22186200</v>
      </c>
    </row>
    <row r="7" spans="1:11" x14ac:dyDescent="0.25">
      <c r="A7" t="s">
        <v>95</v>
      </c>
      <c r="B7" s="2">
        <v>254500</v>
      </c>
      <c r="C7">
        <v>0</v>
      </c>
      <c r="D7">
        <v>2</v>
      </c>
      <c r="E7">
        <v>-1</v>
      </c>
      <c r="F7">
        <v>8</v>
      </c>
      <c r="J7" s="4">
        <f>J6/J5</f>
        <v>2621400</v>
      </c>
      <c r="K7" s="4">
        <f>K6/K5</f>
        <v>1584728.5714285714</v>
      </c>
    </row>
    <row r="8" spans="1:11" x14ac:dyDescent="0.25">
      <c r="A8" t="s">
        <v>92</v>
      </c>
      <c r="B8" s="2">
        <v>798000</v>
      </c>
      <c r="C8">
        <v>-10</v>
      </c>
      <c r="D8">
        <v>7</v>
      </c>
      <c r="E8">
        <v>2</v>
      </c>
      <c r="F8">
        <v>0</v>
      </c>
      <c r="I8" t="s">
        <v>106</v>
      </c>
      <c r="J8" s="4">
        <v>4</v>
      </c>
      <c r="K8" s="4">
        <f>ROUNDUP(1.03*K7,0)</f>
        <v>1632271</v>
      </c>
    </row>
    <row r="9" spans="1:11" x14ac:dyDescent="0.25">
      <c r="A9" t="s">
        <v>90</v>
      </c>
      <c r="B9" s="2">
        <v>3977000</v>
      </c>
      <c r="C9">
        <v>-40</v>
      </c>
      <c r="D9">
        <v>9</v>
      </c>
      <c r="E9">
        <v>-1</v>
      </c>
      <c r="F9">
        <v>-2</v>
      </c>
      <c r="J9">
        <f>J7/J8</f>
        <v>655350</v>
      </c>
    </row>
    <row r="10" spans="1:11" x14ac:dyDescent="0.25">
      <c r="J10">
        <f>ROUNDUP(J9,-5)</f>
        <v>700000</v>
      </c>
    </row>
    <row r="12" spans="1:11" x14ac:dyDescent="0.25">
      <c r="A12" t="s">
        <v>97</v>
      </c>
      <c r="B12">
        <v>30</v>
      </c>
    </row>
    <row r="13" spans="1:11" x14ac:dyDescent="0.25">
      <c r="A13" t="s">
        <v>39</v>
      </c>
      <c r="C13" t="s">
        <v>102</v>
      </c>
      <c r="D13" t="s">
        <v>27</v>
      </c>
      <c r="E13" t="s">
        <v>30</v>
      </c>
      <c r="F13" t="s">
        <v>26</v>
      </c>
    </row>
    <row r="14" spans="1:11" x14ac:dyDescent="0.25">
      <c r="A14" t="s">
        <v>98</v>
      </c>
      <c r="B14" t="s">
        <v>188</v>
      </c>
      <c r="C14">
        <v>2</v>
      </c>
      <c r="D14">
        <v>0</v>
      </c>
      <c r="E14">
        <f>($B$12*C14)-D14</f>
        <v>60</v>
      </c>
      <c r="F14" s="2">
        <v>72930</v>
      </c>
      <c r="G14" s="2">
        <f>E14*F14</f>
        <v>4375800</v>
      </c>
    </row>
    <row r="15" spans="1:11" x14ac:dyDescent="0.25">
      <c r="B15" t="s">
        <v>100</v>
      </c>
      <c r="C15">
        <v>2</v>
      </c>
      <c r="D15">
        <v>0</v>
      </c>
      <c r="E15">
        <f>($B$12*C15)-D15</f>
        <v>60</v>
      </c>
      <c r="F15" s="2">
        <v>96990</v>
      </c>
      <c r="G15" s="2">
        <f>E15*F15</f>
        <v>5819400</v>
      </c>
    </row>
    <row r="16" spans="1:11" x14ac:dyDescent="0.25">
      <c r="A16" t="s">
        <v>99</v>
      </c>
      <c r="B16" t="s">
        <v>93</v>
      </c>
      <c r="C16">
        <v>1</v>
      </c>
      <c r="D16">
        <v>0</v>
      </c>
      <c r="E16">
        <f>($B$12*C16)-D16</f>
        <v>30</v>
      </c>
      <c r="F16" s="2">
        <v>1233000</v>
      </c>
      <c r="G16" s="28">
        <f>E16*F16</f>
        <v>36990000</v>
      </c>
    </row>
    <row r="17" spans="1:7" x14ac:dyDescent="0.25">
      <c r="F17" s="2"/>
      <c r="G17" s="2">
        <f>SUM(G14:G16)</f>
        <v>47185200</v>
      </c>
    </row>
    <row r="18" spans="1:7" x14ac:dyDescent="0.25">
      <c r="F18" s="2"/>
    </row>
    <row r="19" spans="1:7" x14ac:dyDescent="0.25">
      <c r="A19" t="s">
        <v>98</v>
      </c>
      <c r="B19" t="s">
        <v>188</v>
      </c>
      <c r="C19">
        <v>2</v>
      </c>
      <c r="D19">
        <v>0</v>
      </c>
      <c r="E19">
        <f>($B$12*C19)-D19</f>
        <v>60</v>
      </c>
      <c r="F19" s="2">
        <f>F14</f>
        <v>72930</v>
      </c>
      <c r="G19" s="2">
        <f>E19*F19</f>
        <v>4375800</v>
      </c>
    </row>
    <row r="20" spans="1:7" x14ac:dyDescent="0.25">
      <c r="B20" t="s">
        <v>100</v>
      </c>
      <c r="C20">
        <v>2</v>
      </c>
      <c r="D20">
        <v>0</v>
      </c>
      <c r="E20">
        <f>($B$12*C20)-D20</f>
        <v>60</v>
      </c>
      <c r="F20" s="2">
        <f>F15</f>
        <v>96990</v>
      </c>
      <c r="G20" s="2">
        <f>E20*F20</f>
        <v>5819400</v>
      </c>
    </row>
    <row r="21" spans="1:7" x14ac:dyDescent="0.25">
      <c r="A21" t="s">
        <v>99</v>
      </c>
      <c r="B21" t="s">
        <v>101</v>
      </c>
      <c r="C21">
        <v>1</v>
      </c>
      <c r="D21">
        <v>0</v>
      </c>
      <c r="E21">
        <f>($B$12*C21)-D21</f>
        <v>30</v>
      </c>
      <c r="F21" s="2">
        <v>399700</v>
      </c>
      <c r="G21" s="28">
        <f>E21*F21</f>
        <v>11991000</v>
      </c>
    </row>
    <row r="22" spans="1:7" x14ac:dyDescent="0.25">
      <c r="F22" s="2"/>
      <c r="G22" s="2">
        <f>SUM(G19:G21)</f>
        <v>22186200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D43F8-C11C-4720-9423-DB2B2B609A43}">
  <dimension ref="A1:AA38"/>
  <sheetViews>
    <sheetView topLeftCell="K13" workbookViewId="0">
      <selection activeCell="S22" sqref="S22"/>
    </sheetView>
  </sheetViews>
  <sheetFormatPr defaultRowHeight="15" x14ac:dyDescent="0.25"/>
  <cols>
    <col min="1" max="2" width="2.7109375" customWidth="1"/>
    <col min="6" max="6" width="14.28515625" style="3" bestFit="1" customWidth="1"/>
    <col min="7" max="7" width="12.5703125" bestFit="1" customWidth="1"/>
    <col min="8" max="8" width="16.85546875" bestFit="1" customWidth="1"/>
    <col min="9" max="9" width="14.140625" customWidth="1"/>
    <col min="11" max="11" width="14.28515625" bestFit="1" customWidth="1"/>
    <col min="13" max="13" width="12.42578125" customWidth="1"/>
    <col min="14" max="14" width="12.5703125" bestFit="1" customWidth="1"/>
    <col min="16" max="16" width="14.28515625" bestFit="1" customWidth="1"/>
    <col min="19" max="19" width="17.42578125" bestFit="1" customWidth="1"/>
    <col min="20" max="20" width="14.28515625" bestFit="1" customWidth="1"/>
    <col min="21" max="21" width="13.28515625" bestFit="1" customWidth="1"/>
    <col min="25" max="25" width="14.28515625" bestFit="1" customWidth="1"/>
    <col min="26" max="26" width="10.5703125" bestFit="1" customWidth="1"/>
  </cols>
  <sheetData>
    <row r="1" spans="1:27" x14ac:dyDescent="0.25">
      <c r="F1" s="3" t="s">
        <v>30</v>
      </c>
      <c r="G1" t="s">
        <v>26</v>
      </c>
      <c r="H1" t="s">
        <v>268</v>
      </c>
      <c r="I1" t="s">
        <v>269</v>
      </c>
      <c r="S1" t="s">
        <v>366</v>
      </c>
      <c r="T1" s="3">
        <v>19229</v>
      </c>
      <c r="U1" s="3">
        <f>ROUNDUP(T1*0.1,-3)</f>
        <v>2000</v>
      </c>
      <c r="X1" t="s">
        <v>205</v>
      </c>
      <c r="Y1">
        <v>16</v>
      </c>
      <c r="Z1">
        <f>ROUNDUP(Y1*10%,0)</f>
        <v>2</v>
      </c>
    </row>
    <row r="2" spans="1:27" x14ac:dyDescent="0.25">
      <c r="A2" t="s">
        <v>258</v>
      </c>
      <c r="F2" s="3">
        <v>101250</v>
      </c>
      <c r="G2">
        <v>12960</v>
      </c>
      <c r="H2" s="3">
        <f>F2*G2</f>
        <v>1312200000</v>
      </c>
      <c r="I2" t="s">
        <v>270</v>
      </c>
      <c r="K2" s="16">
        <f>H2-(I3+I8+I13)</f>
        <v>216733500</v>
      </c>
      <c r="L2" t="s">
        <v>271</v>
      </c>
      <c r="N2" s="16">
        <f>H2-(H7+H12+H17)</f>
        <v>408367800</v>
      </c>
      <c r="S2" t="s">
        <v>367</v>
      </c>
      <c r="T2" s="3">
        <v>7808</v>
      </c>
      <c r="U2" s="3">
        <f>ROUNDUP(T2*0.1,-3)</f>
        <v>1000</v>
      </c>
      <c r="X2" t="s">
        <v>410</v>
      </c>
      <c r="Y2">
        <v>201</v>
      </c>
      <c r="Z2">
        <f>ROUNDUP(Y2*10%,-1)</f>
        <v>30</v>
      </c>
    </row>
    <row r="3" spans="1:27" x14ac:dyDescent="0.25">
      <c r="B3" t="s">
        <v>259</v>
      </c>
      <c r="E3" s="16">
        <f>F2</f>
        <v>101250</v>
      </c>
      <c r="F3" s="3">
        <f>F2+750</f>
        <v>102000</v>
      </c>
      <c r="G3" s="3">
        <v>4100</v>
      </c>
      <c r="I3" s="3">
        <f>G3*E3</f>
        <v>415125000</v>
      </c>
      <c r="K3" t="s">
        <v>272</v>
      </c>
      <c r="T3" s="3">
        <f>SUM(T1:T2)</f>
        <v>27037</v>
      </c>
      <c r="U3" s="3">
        <f>SUM(U1:U2)</f>
        <v>3000</v>
      </c>
      <c r="V3" s="68">
        <f>U3/T3</f>
        <v>0.11095905610829604</v>
      </c>
      <c r="Y3">
        <f>SUM(Y1:Y2)</f>
        <v>217</v>
      </c>
      <c r="Z3">
        <f>SUM(Z1:Z2)</f>
        <v>32</v>
      </c>
      <c r="AA3" s="8">
        <f>Z3/Y3</f>
        <v>0.14746543778801843</v>
      </c>
    </row>
    <row r="4" spans="1:27" x14ac:dyDescent="0.25">
      <c r="C4" t="s">
        <v>262</v>
      </c>
      <c r="F4" s="3">
        <f>$F$3*(100/200)</f>
        <v>51000</v>
      </c>
      <c r="G4" s="3">
        <v>2433</v>
      </c>
      <c r="H4" s="3">
        <f>G4*F4</f>
        <v>124083000</v>
      </c>
      <c r="I4" s="3"/>
      <c r="K4" s="16">
        <f>H7+H12+H17*1.2</f>
        <v>971812140</v>
      </c>
      <c r="T4" s="3">
        <v>59500000</v>
      </c>
      <c r="U4" s="3">
        <v>6630000</v>
      </c>
      <c r="V4" s="68">
        <f>U4/T4</f>
        <v>0.11142857142857143</v>
      </c>
      <c r="Y4" s="3">
        <v>30800000</v>
      </c>
      <c r="Z4" s="3">
        <v>5520000</v>
      </c>
      <c r="AA4" s="8">
        <f>Z4/Y4</f>
        <v>0.17922077922077922</v>
      </c>
    </row>
    <row r="5" spans="1:27" x14ac:dyDescent="0.25">
      <c r="C5" t="s">
        <v>263</v>
      </c>
      <c r="F5" s="3">
        <f>$F$3*(100/200)</f>
        <v>51000</v>
      </c>
      <c r="G5" s="3">
        <v>2999</v>
      </c>
      <c r="H5" s="3">
        <f>G5*F5</f>
        <v>152949000</v>
      </c>
      <c r="I5" s="3"/>
    </row>
    <row r="6" spans="1:27" x14ac:dyDescent="0.25">
      <c r="C6" t="s">
        <v>204</v>
      </c>
      <c r="F6" s="3">
        <f>$F$3*(5/200)</f>
        <v>2550</v>
      </c>
      <c r="G6" s="3">
        <v>20000</v>
      </c>
      <c r="H6" s="51">
        <f>G6*F6</f>
        <v>51000000</v>
      </c>
      <c r="I6" s="3"/>
      <c r="K6" s="16"/>
    </row>
    <row r="7" spans="1:27" x14ac:dyDescent="0.25">
      <c r="G7" s="3"/>
      <c r="H7" s="3">
        <f>SUM(H4:H6)</f>
        <v>328032000</v>
      </c>
      <c r="I7" s="3">
        <f>H7-I3</f>
        <v>-87093000</v>
      </c>
      <c r="K7" s="16"/>
      <c r="S7" t="s">
        <v>125</v>
      </c>
      <c r="T7" s="3">
        <v>234331</v>
      </c>
      <c r="U7" s="3">
        <f>ROUNDUP(T7*0.1,-3)</f>
        <v>24000</v>
      </c>
    </row>
    <row r="8" spans="1:27" x14ac:dyDescent="0.25">
      <c r="B8" t="s">
        <v>260</v>
      </c>
      <c r="E8" s="16">
        <f>E3</f>
        <v>101250</v>
      </c>
      <c r="F8" s="3">
        <f>F3</f>
        <v>102000</v>
      </c>
      <c r="G8" s="3">
        <v>3194</v>
      </c>
      <c r="I8" s="3">
        <f>G8*E8</f>
        <v>323392500</v>
      </c>
      <c r="S8" t="s">
        <v>126</v>
      </c>
      <c r="T8" s="3">
        <v>173154</v>
      </c>
      <c r="U8" s="3">
        <f t="shared" ref="U8:U13" si="0">ROUNDUP(T8*0.1,-3)</f>
        <v>18000</v>
      </c>
    </row>
    <row r="9" spans="1:27" x14ac:dyDescent="0.25">
      <c r="C9" t="s">
        <v>264</v>
      </c>
      <c r="F9" s="3">
        <f>$F$8*(100/200)</f>
        <v>51000</v>
      </c>
      <c r="G9" s="3">
        <v>850</v>
      </c>
      <c r="H9" s="3">
        <f>G9*F9</f>
        <v>43350000</v>
      </c>
      <c r="I9" s="3"/>
      <c r="S9" t="s">
        <v>127</v>
      </c>
      <c r="T9" s="3">
        <v>93588</v>
      </c>
      <c r="U9" s="3">
        <f t="shared" si="0"/>
        <v>10000</v>
      </c>
    </row>
    <row r="10" spans="1:27" x14ac:dyDescent="0.25">
      <c r="C10" t="s">
        <v>265</v>
      </c>
      <c r="F10" s="3">
        <f>$F$8*(100/200)</f>
        <v>51000</v>
      </c>
      <c r="G10" s="3">
        <v>2779</v>
      </c>
      <c r="H10" s="3">
        <f>G10*F10</f>
        <v>141729000</v>
      </c>
      <c r="I10" s="3"/>
      <c r="S10" t="s">
        <v>123</v>
      </c>
      <c r="T10" s="3">
        <v>70140</v>
      </c>
      <c r="U10" s="3">
        <f>ROUNDUP(T10*0.1,-3)</f>
        <v>8000</v>
      </c>
    </row>
    <row r="11" spans="1:27" x14ac:dyDescent="0.25">
      <c r="C11" t="s">
        <v>266</v>
      </c>
      <c r="F11" s="3">
        <f>$F$8*(5/200)</f>
        <v>2550</v>
      </c>
      <c r="G11" s="3">
        <v>19930</v>
      </c>
      <c r="H11" s="51">
        <f>G11*F11</f>
        <v>50821500</v>
      </c>
      <c r="I11" s="3"/>
      <c r="S11" t="s">
        <v>124</v>
      </c>
      <c r="T11" s="3">
        <v>34879</v>
      </c>
      <c r="U11" s="3">
        <f>ROUNDUP(T11*0.1,-3)</f>
        <v>4000</v>
      </c>
    </row>
    <row r="12" spans="1:27" x14ac:dyDescent="0.25">
      <c r="G12" s="3"/>
      <c r="H12" s="3">
        <f>SUM(H9:H11)</f>
        <v>235900500</v>
      </c>
      <c r="I12" s="3">
        <f>H12-I8</f>
        <v>-87492000</v>
      </c>
      <c r="S12" t="s">
        <v>122</v>
      </c>
      <c r="T12" s="3">
        <v>262640</v>
      </c>
      <c r="U12" s="3">
        <f>ROUNDUP(T12*0.1,-4)</f>
        <v>30000</v>
      </c>
    </row>
    <row r="13" spans="1:27" x14ac:dyDescent="0.25">
      <c r="B13" t="s">
        <v>261</v>
      </c>
      <c r="E13" s="16">
        <f>F13</f>
        <v>510</v>
      </c>
      <c r="F13" s="3">
        <f>ROUNDUP(F3*M13,-1)</f>
        <v>510</v>
      </c>
      <c r="G13" s="3">
        <v>699900</v>
      </c>
      <c r="I13" s="3">
        <f>G13*E13</f>
        <v>356949000</v>
      </c>
      <c r="K13" s="3">
        <f>60000</f>
        <v>60000</v>
      </c>
      <c r="L13">
        <v>300</v>
      </c>
      <c r="M13" s="50">
        <f>L13/K13</f>
        <v>5.0000000000000001E-3</v>
      </c>
      <c r="S13" t="s">
        <v>119</v>
      </c>
      <c r="T13" s="3">
        <v>93109</v>
      </c>
      <c r="U13" s="3">
        <f t="shared" si="0"/>
        <v>10000</v>
      </c>
    </row>
    <row r="14" spans="1:27" x14ac:dyDescent="0.25">
      <c r="C14" t="s">
        <v>262</v>
      </c>
      <c r="F14" s="3">
        <f>$F$13*(2000/10)</f>
        <v>102000</v>
      </c>
      <c r="G14" s="3">
        <f>G4</f>
        <v>2433</v>
      </c>
      <c r="H14" s="3">
        <f>G14*F14</f>
        <v>248166000</v>
      </c>
      <c r="I14" s="3"/>
      <c r="T14" s="3">
        <f>SUM(T7:T13)</f>
        <v>961841</v>
      </c>
      <c r="U14" s="3">
        <f>SUM(U7:U13)</f>
        <v>104000</v>
      </c>
      <c r="V14" s="68">
        <f>U14/T14</f>
        <v>0.10812597924189134</v>
      </c>
    </row>
    <row r="15" spans="1:27" x14ac:dyDescent="0.25">
      <c r="C15" t="s">
        <v>264</v>
      </c>
      <c r="F15" s="3">
        <f>$F$13*(2000/10)</f>
        <v>102000</v>
      </c>
      <c r="G15" s="3">
        <f>G9</f>
        <v>850</v>
      </c>
      <c r="H15" s="3">
        <f>G15*F15</f>
        <v>86700000</v>
      </c>
      <c r="I15" s="3"/>
      <c r="T15" s="3">
        <v>15100000</v>
      </c>
      <c r="U15" s="3">
        <v>1580000</v>
      </c>
      <c r="V15" s="68">
        <f>U15/T15</f>
        <v>0.10463576158940398</v>
      </c>
    </row>
    <row r="16" spans="1:27" x14ac:dyDescent="0.25">
      <c r="C16" t="s">
        <v>267</v>
      </c>
      <c r="F16" s="3">
        <f>$F$13*(5/10)</f>
        <v>255</v>
      </c>
      <c r="G16" s="3">
        <v>19740</v>
      </c>
      <c r="H16" s="51">
        <f>G16*F16</f>
        <v>5033700</v>
      </c>
      <c r="I16" s="3"/>
    </row>
    <row r="17" spans="1:22" x14ac:dyDescent="0.25">
      <c r="G17" s="3"/>
      <c r="H17" s="3">
        <f>SUM(H14:H16)</f>
        <v>339899700</v>
      </c>
      <c r="I17" s="3">
        <f>H17-I13</f>
        <v>-17049300</v>
      </c>
    </row>
    <row r="18" spans="1:22" x14ac:dyDescent="0.25">
      <c r="A18" t="s">
        <v>273</v>
      </c>
      <c r="F18" s="3">
        <v>101250</v>
      </c>
      <c r="G18" s="3">
        <v>13250</v>
      </c>
      <c r="H18" s="3">
        <f>F18*G18</f>
        <v>1341562500</v>
      </c>
      <c r="I18" t="s">
        <v>270</v>
      </c>
      <c r="K18" s="16">
        <f>H18-(I19+I24+I29)</f>
        <v>250551000</v>
      </c>
      <c r="L18" t="s">
        <v>271</v>
      </c>
      <c r="N18" s="16">
        <f>H18-(H23+H28+H33)</f>
        <v>437577300</v>
      </c>
      <c r="S18" t="s">
        <v>405</v>
      </c>
    </row>
    <row r="19" spans="1:22" x14ac:dyDescent="0.25">
      <c r="B19" t="s">
        <v>274</v>
      </c>
      <c r="E19" s="16">
        <f>F18</f>
        <v>101250</v>
      </c>
      <c r="F19" s="3">
        <f>F18+750</f>
        <v>102000</v>
      </c>
      <c r="G19" s="3">
        <v>3600</v>
      </c>
      <c r="I19" s="3">
        <f>G19*E19</f>
        <v>364500000</v>
      </c>
      <c r="K19" t="s">
        <v>272</v>
      </c>
      <c r="Q19" t="s">
        <v>409</v>
      </c>
      <c r="S19" t="s">
        <v>406</v>
      </c>
    </row>
    <row r="20" spans="1:22" x14ac:dyDescent="0.25">
      <c r="C20" t="str">
        <f>C4</f>
        <v>Hydrocarbons</v>
      </c>
      <c r="F20" s="3">
        <f>F19*0.5</f>
        <v>51000</v>
      </c>
      <c r="G20" s="3">
        <f>G4</f>
        <v>2433</v>
      </c>
      <c r="H20" s="3">
        <f>G20*F20</f>
        <v>124083000</v>
      </c>
      <c r="I20" s="3"/>
      <c r="K20" s="16">
        <f>H23+H28+H33*1.2</f>
        <v>953312400</v>
      </c>
      <c r="S20" t="s">
        <v>407</v>
      </c>
      <c r="T20" t="s">
        <v>408</v>
      </c>
    </row>
    <row r="21" spans="1:22" x14ac:dyDescent="0.25">
      <c r="C21" t="str">
        <f>C10</f>
        <v>Evaporite Deposits</v>
      </c>
      <c r="F21" s="3">
        <f>F20</f>
        <v>51000</v>
      </c>
      <c r="G21" s="3">
        <f>G10</f>
        <v>2779</v>
      </c>
      <c r="H21" s="3">
        <f>G21*F21</f>
        <v>141729000</v>
      </c>
      <c r="I21" s="3"/>
      <c r="S21">
        <v>11400</v>
      </c>
      <c r="T21" s="24">
        <v>5000000</v>
      </c>
      <c r="U21">
        <f>T21/250</f>
        <v>20000</v>
      </c>
    </row>
    <row r="22" spans="1:22" x14ac:dyDescent="0.25">
      <c r="C22" t="s">
        <v>219</v>
      </c>
      <c r="F22" s="3">
        <f>F19*5/200</f>
        <v>2550</v>
      </c>
      <c r="G22" s="3">
        <v>20250</v>
      </c>
      <c r="H22" s="51">
        <f>G22*F22</f>
        <v>51637500</v>
      </c>
      <c r="I22" s="3"/>
      <c r="O22">
        <v>38000</v>
      </c>
      <c r="P22">
        <v>38000</v>
      </c>
      <c r="S22" s="3">
        <f>S21*250</f>
        <v>2850000</v>
      </c>
    </row>
    <row r="23" spans="1:22" x14ac:dyDescent="0.25">
      <c r="G23" s="3"/>
      <c r="H23" s="3">
        <f>SUM(H20:H22)</f>
        <v>317449500</v>
      </c>
      <c r="I23" s="3">
        <f>H23-I19</f>
        <v>-47050500</v>
      </c>
      <c r="O23">
        <v>190</v>
      </c>
      <c r="P23">
        <v>190</v>
      </c>
    </row>
    <row r="24" spans="1:22" x14ac:dyDescent="0.25">
      <c r="B24" t="s">
        <v>261</v>
      </c>
      <c r="E24" s="16">
        <f>E13</f>
        <v>510</v>
      </c>
      <c r="F24" s="3">
        <f>F13</f>
        <v>510</v>
      </c>
      <c r="G24" s="3">
        <f>G13</f>
        <v>699900</v>
      </c>
      <c r="I24" s="3">
        <f>G24*E24</f>
        <v>356949000</v>
      </c>
      <c r="N24" t="str">
        <f>B24</f>
        <v>Oxy-Organic Solvents</v>
      </c>
      <c r="O24" t="str">
        <f>B19</f>
        <v>Carbon Fiber</v>
      </c>
      <c r="P24" t="str">
        <f>B29</f>
        <v>Thermosetting Polymer</v>
      </c>
      <c r="Q24" t="s">
        <v>22</v>
      </c>
      <c r="R24" t="s">
        <v>17</v>
      </c>
      <c r="S24" t="s">
        <v>18</v>
      </c>
    </row>
    <row r="25" spans="1:22" x14ac:dyDescent="0.25">
      <c r="C25" t="s">
        <v>262</v>
      </c>
      <c r="F25" s="3">
        <f t="shared" ref="F25:G27" si="1">F14</f>
        <v>102000</v>
      </c>
      <c r="G25" s="3">
        <f t="shared" si="1"/>
        <v>2433</v>
      </c>
      <c r="H25" s="3">
        <f>G25*F25</f>
        <v>248166000</v>
      </c>
      <c r="I25" s="3"/>
      <c r="L25" t="str">
        <f>C25</f>
        <v>Hydrocarbons</v>
      </c>
      <c r="N25" s="3">
        <v>74000</v>
      </c>
      <c r="O25" s="3">
        <f>98000</f>
        <v>98000</v>
      </c>
      <c r="P25" s="3"/>
      <c r="Q25" s="16">
        <f t="shared" ref="Q25:Q30" si="2">SUM(N25:P25)</f>
        <v>172000</v>
      </c>
      <c r="R25" s="65">
        <f>SUM(N33:N38)</f>
        <v>172000</v>
      </c>
      <c r="S25" s="16">
        <f>Q25-R25</f>
        <v>0</v>
      </c>
      <c r="T25">
        <v>1700</v>
      </c>
      <c r="U25" s="16">
        <f>S25*T25</f>
        <v>0</v>
      </c>
    </row>
    <row r="26" spans="1:22" x14ac:dyDescent="0.25">
      <c r="C26" t="s">
        <v>264</v>
      </c>
      <c r="F26" s="3">
        <f t="shared" si="1"/>
        <v>102000</v>
      </c>
      <c r="G26" s="3">
        <f t="shared" si="1"/>
        <v>850</v>
      </c>
      <c r="H26" s="3">
        <f>G26*F26</f>
        <v>86700000</v>
      </c>
      <c r="I26" s="3"/>
      <c r="L26" t="str">
        <f>C21</f>
        <v>Evaporite Deposits</v>
      </c>
      <c r="N26" s="3"/>
      <c r="O26" s="3">
        <f>O25</f>
        <v>98000</v>
      </c>
      <c r="P26" s="3"/>
      <c r="Q26" s="16">
        <f t="shared" si="2"/>
        <v>98000</v>
      </c>
      <c r="R26" s="65">
        <f>SUM(O33:O38)</f>
        <v>98000</v>
      </c>
      <c r="S26" s="16">
        <f t="shared" ref="S26:S30" si="3">Q26-R26</f>
        <v>0</v>
      </c>
      <c r="T26">
        <v>1399</v>
      </c>
      <c r="U26" s="16">
        <f t="shared" ref="U26:U30" si="4">S26*T26</f>
        <v>0</v>
      </c>
    </row>
    <row r="27" spans="1:22" x14ac:dyDescent="0.25">
      <c r="C27" t="s">
        <v>267</v>
      </c>
      <c r="F27" s="3">
        <f t="shared" si="1"/>
        <v>255</v>
      </c>
      <c r="G27" s="3">
        <f t="shared" si="1"/>
        <v>19740</v>
      </c>
      <c r="H27" s="51">
        <f>G27*F27</f>
        <v>5033700</v>
      </c>
      <c r="I27" s="3"/>
      <c r="L27" t="str">
        <f>C26</f>
        <v>Atmospheric Gases</v>
      </c>
      <c r="N27" s="3">
        <v>74000</v>
      </c>
      <c r="O27" s="3"/>
      <c r="P27" s="3">
        <v>98000</v>
      </c>
      <c r="Q27" s="16">
        <f t="shared" si="2"/>
        <v>172000</v>
      </c>
      <c r="R27" s="65">
        <f>SUM(L33:L40)</f>
        <v>172000</v>
      </c>
      <c r="S27" s="16">
        <f t="shared" si="3"/>
        <v>0</v>
      </c>
      <c r="T27">
        <v>975</v>
      </c>
      <c r="U27" s="16">
        <f t="shared" si="4"/>
        <v>0</v>
      </c>
    </row>
    <row r="28" spans="1:22" x14ac:dyDescent="0.25">
      <c r="G28" s="3"/>
      <c r="H28" s="3">
        <f>SUM(H25:H27)</f>
        <v>339899700</v>
      </c>
      <c r="I28" s="3">
        <f>H28-I24</f>
        <v>-17049300</v>
      </c>
      <c r="L28" t="str">
        <f>C31</f>
        <v>Silicates</v>
      </c>
      <c r="N28" s="3"/>
      <c r="O28" s="3"/>
      <c r="P28" s="3">
        <v>98000</v>
      </c>
      <c r="Q28" s="16">
        <f t="shared" si="2"/>
        <v>98000</v>
      </c>
      <c r="R28" s="65">
        <f>SUM(M33:M39)</f>
        <v>98000</v>
      </c>
      <c r="S28" s="16">
        <f t="shared" si="3"/>
        <v>0</v>
      </c>
      <c r="T28">
        <v>2240</v>
      </c>
      <c r="U28" s="16">
        <f t="shared" si="4"/>
        <v>0</v>
      </c>
    </row>
    <row r="29" spans="1:22" x14ac:dyDescent="0.25">
      <c r="B29" t="s">
        <v>275</v>
      </c>
      <c r="E29" s="16">
        <f>E19</f>
        <v>101250</v>
      </c>
      <c r="F29" s="3">
        <f>F19</f>
        <v>102000</v>
      </c>
      <c r="G29" s="3">
        <v>3650</v>
      </c>
      <c r="I29" s="3">
        <f>G29*E29</f>
        <v>369562500</v>
      </c>
      <c r="L29" t="str">
        <f>C22</f>
        <v>Hydrogen Fuel Block</v>
      </c>
      <c r="N29" s="3"/>
      <c r="O29" s="3">
        <f>1500+950</f>
        <v>2450</v>
      </c>
      <c r="P29" s="3"/>
      <c r="Q29" s="16">
        <f t="shared" si="2"/>
        <v>2450</v>
      </c>
      <c r="R29" s="65">
        <v>1500</v>
      </c>
      <c r="S29" s="16">
        <f t="shared" si="3"/>
        <v>950</v>
      </c>
      <c r="T29">
        <v>16920</v>
      </c>
      <c r="U29" s="16">
        <f t="shared" si="4"/>
        <v>16074000</v>
      </c>
      <c r="V29" t="s">
        <v>348</v>
      </c>
    </row>
    <row r="30" spans="1:22" x14ac:dyDescent="0.25">
      <c r="C30" t="str">
        <f>C26</f>
        <v>Atmospheric Gases</v>
      </c>
      <c r="F30" s="3">
        <f>F20</f>
        <v>51000</v>
      </c>
      <c r="G30" s="3">
        <f>G9</f>
        <v>850</v>
      </c>
      <c r="H30" s="3">
        <f>G30*F30</f>
        <v>43350000</v>
      </c>
      <c r="I30" s="3"/>
      <c r="L30" t="str">
        <f>C27</f>
        <v>Oxygen Fuel Block</v>
      </c>
      <c r="N30" s="3">
        <v>185</v>
      </c>
      <c r="O30" s="3"/>
      <c r="P30" s="3">
        <v>2450</v>
      </c>
      <c r="Q30" s="16">
        <f t="shared" si="2"/>
        <v>2635</v>
      </c>
      <c r="R30" s="65"/>
      <c r="S30" s="16">
        <f t="shared" si="3"/>
        <v>2635</v>
      </c>
      <c r="T30">
        <v>16670</v>
      </c>
      <c r="U30" s="16">
        <f t="shared" si="4"/>
        <v>43925450</v>
      </c>
    </row>
    <row r="31" spans="1:22" x14ac:dyDescent="0.25">
      <c r="C31" t="str">
        <f>C5</f>
        <v>Silicates</v>
      </c>
      <c r="F31" s="3">
        <f>F21</f>
        <v>51000</v>
      </c>
      <c r="G31" s="3">
        <f>G5</f>
        <v>2999</v>
      </c>
      <c r="H31" s="3">
        <f>G31*F31</f>
        <v>152949000</v>
      </c>
      <c r="I31" s="3"/>
      <c r="N31" s="3"/>
      <c r="O31" s="3"/>
      <c r="P31" s="3"/>
      <c r="Q31" s="3"/>
      <c r="R31" s="3"/>
      <c r="S31" s="3"/>
    </row>
    <row r="32" spans="1:22" x14ac:dyDescent="0.25">
      <c r="C32" t="str">
        <f>C16</f>
        <v>Oxygen Fuel Block</v>
      </c>
      <c r="F32" s="3">
        <f>F22</f>
        <v>2550</v>
      </c>
      <c r="G32" s="3">
        <f>G16</f>
        <v>19740</v>
      </c>
      <c r="H32" s="51">
        <f>G32*F32</f>
        <v>50337000</v>
      </c>
      <c r="I32" s="3"/>
      <c r="L32" t="str">
        <f>L27</f>
        <v>Atmospheric Gases</v>
      </c>
      <c r="M32" t="str">
        <f>L28</f>
        <v>Silicates</v>
      </c>
      <c r="N32" t="str">
        <f>L25</f>
        <v>Hydrocarbons</v>
      </c>
      <c r="O32" t="str">
        <f>L26</f>
        <v>Evaporite Deposits</v>
      </c>
      <c r="P32" s="3"/>
    </row>
    <row r="33" spans="1:16" x14ac:dyDescent="0.25">
      <c r="G33" s="3"/>
      <c r="H33" s="3">
        <f>SUM(H30:H32)</f>
        <v>246636000</v>
      </c>
      <c r="I33" s="3">
        <f>H33-I29</f>
        <v>-122926500</v>
      </c>
      <c r="L33">
        <v>6103</v>
      </c>
      <c r="M33">
        <v>5415</v>
      </c>
      <c r="N33">
        <v>80</v>
      </c>
      <c r="O33">
        <v>12474</v>
      </c>
      <c r="P33" s="3"/>
    </row>
    <row r="34" spans="1:16" x14ac:dyDescent="0.25">
      <c r="G34" s="3"/>
      <c r="H34" s="3"/>
      <c r="I34" s="3"/>
      <c r="L34">
        <v>46416</v>
      </c>
      <c r="M34">
        <v>2132</v>
      </c>
      <c r="N34">
        <v>4761</v>
      </c>
      <c r="O34">
        <v>767</v>
      </c>
    </row>
    <row r="35" spans="1:16" x14ac:dyDescent="0.25">
      <c r="A35" t="s">
        <v>276</v>
      </c>
      <c r="F35" s="3">
        <f>H2+H18</f>
        <v>2653762500</v>
      </c>
      <c r="G35" s="3"/>
      <c r="H35" s="3"/>
      <c r="I35" s="3"/>
      <c r="L35">
        <v>20484</v>
      </c>
      <c r="M35">
        <v>14884</v>
      </c>
      <c r="N35">
        <v>67474</v>
      </c>
      <c r="O35">
        <v>29011</v>
      </c>
    </row>
    <row r="36" spans="1:16" x14ac:dyDescent="0.25">
      <c r="A36" t="s">
        <v>277</v>
      </c>
      <c r="F36" s="3">
        <f>I3+I8+I13+I19+I24+I29</f>
        <v>2186478000</v>
      </c>
      <c r="G36" s="3"/>
      <c r="H36" s="3"/>
      <c r="I36" s="3"/>
      <c r="L36">
        <v>61272</v>
      </c>
      <c r="M36">
        <v>6302</v>
      </c>
      <c r="N36">
        <v>75308</v>
      </c>
      <c r="O36">
        <v>34473</v>
      </c>
    </row>
    <row r="37" spans="1:16" x14ac:dyDescent="0.25">
      <c r="A37" t="s">
        <v>278</v>
      </c>
      <c r="F37" s="3">
        <f>H7+H12+H17+H23+H28+H33</f>
        <v>1807817400</v>
      </c>
      <c r="G37" s="16">
        <f>F35-F37</f>
        <v>845945100</v>
      </c>
      <c r="L37">
        <v>14225</v>
      </c>
      <c r="M37">
        <v>6044</v>
      </c>
      <c r="N37">
        <v>24377</v>
      </c>
      <c r="O37">
        <v>21275</v>
      </c>
    </row>
    <row r="38" spans="1:16" x14ac:dyDescent="0.25">
      <c r="L38">
        <v>23500</v>
      </c>
      <c r="M38">
        <v>63223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Market Orders</vt:lpstr>
      <vt:lpstr>Pricing</vt:lpstr>
      <vt:lpstr>BP Tech 1 Manufacture</vt:lpstr>
      <vt:lpstr>BP Tech 2 Manufacture Nonship</vt:lpstr>
      <vt:lpstr>Ship Component Reqs</vt:lpstr>
      <vt:lpstr>Component BP</vt:lpstr>
      <vt:lpstr>Component BP Run</vt:lpstr>
      <vt:lpstr>Economies of Scale Worksheet</vt:lpstr>
      <vt:lpstr>Sell Ore or Refine</vt:lpstr>
      <vt:lpstr>Datacore</vt:lpstr>
      <vt:lpstr>Providence Industry Calc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Rocco</cp:lastModifiedBy>
  <dcterms:created xsi:type="dcterms:W3CDTF">2019-05-15T19:48:41Z</dcterms:created>
  <dcterms:modified xsi:type="dcterms:W3CDTF">2022-12-30T01:32:37Z</dcterms:modified>
</cp:coreProperties>
</file>