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СМО с отказами" sheetId="1" r:id="rId1"/>
    <sheet name="СМО с ожиданием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8" i="2"/>
  <c r="J7" i="2"/>
  <c r="J6" i="2"/>
  <c r="J12" i="2"/>
  <c r="J10" i="2"/>
  <c r="J4" i="2"/>
  <c r="J5" i="2"/>
  <c r="J3" i="2"/>
  <c r="J2" i="2"/>
  <c r="J1" i="2"/>
  <c r="C5" i="2"/>
  <c r="G58" i="1"/>
  <c r="G54" i="1"/>
  <c r="G56" i="1" s="1"/>
  <c r="G52" i="1"/>
  <c r="G51" i="1"/>
  <c r="H49" i="1"/>
  <c r="H48" i="1"/>
  <c r="G42" i="1"/>
  <c r="G41" i="1"/>
  <c r="G40" i="1"/>
  <c r="J30" i="1" s="1"/>
  <c r="K30" i="1" s="1"/>
  <c r="G39" i="1"/>
  <c r="G38" i="1"/>
  <c r="J28" i="1" s="1"/>
  <c r="K27" i="1"/>
  <c r="K26" i="1"/>
  <c r="G37" i="1"/>
  <c r="J27" i="1" s="1"/>
  <c r="J26" i="1"/>
  <c r="G35" i="1"/>
  <c r="H18" i="1"/>
  <c r="I33" i="1"/>
  <c r="I27" i="1"/>
  <c r="I28" i="1"/>
  <c r="I29" i="1"/>
  <c r="I30" i="1"/>
  <c r="I31" i="1"/>
  <c r="I32" i="1"/>
  <c r="I26" i="1"/>
  <c r="H32" i="1"/>
  <c r="G32" i="1"/>
  <c r="I3" i="1"/>
  <c r="I4" i="1"/>
  <c r="I8" i="1" s="1"/>
  <c r="G10" i="1" s="1"/>
  <c r="I5" i="1"/>
  <c r="I6" i="1"/>
  <c r="I7" i="1"/>
  <c r="I2" i="1"/>
  <c r="P7" i="1"/>
  <c r="O11" i="1" s="1"/>
  <c r="O17" i="1" s="1"/>
  <c r="Q6" i="1" s="1"/>
  <c r="O9" i="1"/>
  <c r="J31" i="1" l="1"/>
  <c r="K31" i="1" s="1"/>
  <c r="J29" i="1"/>
  <c r="K29" i="1" s="1"/>
  <c r="J32" i="1"/>
  <c r="K28" i="1"/>
  <c r="G12" i="1"/>
  <c r="J3" i="1" s="1"/>
  <c r="K3" i="1" s="1"/>
  <c r="J2" i="1"/>
  <c r="G13" i="1"/>
  <c r="J4" i="1" s="1"/>
  <c r="K4" i="1" s="1"/>
  <c r="G16" i="1"/>
  <c r="J7" i="1" s="1"/>
  <c r="G15" i="1"/>
  <c r="J6" i="1" s="1"/>
  <c r="K6" i="1" s="1"/>
  <c r="G14" i="1"/>
  <c r="J5" i="1" s="1"/>
  <c r="K5" i="1" s="1"/>
  <c r="N29" i="1"/>
  <c r="N31" i="1" s="1"/>
  <c r="N33" i="1" s="1"/>
  <c r="R6" i="1"/>
  <c r="Q2" i="1"/>
  <c r="O14" i="1"/>
  <c r="Q3" i="1" s="1"/>
  <c r="R3" i="1" s="1"/>
  <c r="O15" i="1"/>
  <c r="Q4" i="1" s="1"/>
  <c r="R4" i="1" s="1"/>
  <c r="O16" i="1"/>
  <c r="Q5" i="1" s="1"/>
  <c r="R5" i="1" s="1"/>
  <c r="J33" i="1" l="1"/>
  <c r="K32" i="1"/>
  <c r="K33" i="1" s="1"/>
  <c r="H44" i="1"/>
  <c r="K2" i="1"/>
  <c r="K8" i="1" s="1"/>
  <c r="J8" i="1"/>
  <c r="K7" i="1"/>
  <c r="Q7" i="1"/>
  <c r="R2" i="1"/>
  <c r="R7" i="1" s="1"/>
  <c r="O19" i="1"/>
  <c r="O24" i="1" l="1"/>
  <c r="N27" i="1" s="1"/>
  <c r="O23" i="1"/>
  <c r="N26" i="1" s="1"/>
</calcChain>
</file>

<file path=xl/sharedStrings.xml><?xml version="1.0" encoding="utf-8"?>
<sst xmlns="http://schemas.openxmlformats.org/spreadsheetml/2006/main" count="118" uniqueCount="73">
  <si>
    <t>n</t>
  </si>
  <si>
    <t>λ</t>
  </si>
  <si>
    <t>q</t>
  </si>
  <si>
    <t>=</t>
  </si>
  <si>
    <r>
      <t>t</t>
    </r>
    <r>
      <rPr>
        <sz val="6"/>
        <color theme="1"/>
        <rFont val="Calibri"/>
        <family val="2"/>
        <charset val="204"/>
        <scheme val="minor"/>
      </rPr>
      <t>об</t>
    </r>
  </si>
  <si>
    <t>к-во каналов</t>
  </si>
  <si>
    <t xml:space="preserve">p0 = </t>
  </si>
  <si>
    <t>заявки в мин</t>
  </si>
  <si>
    <t>мин</t>
  </si>
  <si>
    <t>кпд</t>
  </si>
  <si>
    <t>k</t>
  </si>
  <si>
    <t>k!</t>
  </si>
  <si>
    <r>
      <t>kp</t>
    </r>
    <r>
      <rPr>
        <sz val="6"/>
        <color theme="1"/>
        <rFont val="Calibri"/>
        <family val="2"/>
        <charset val="204"/>
        <scheme val="minor"/>
      </rPr>
      <t>k</t>
    </r>
  </si>
  <si>
    <t xml:space="preserve">       / k!</t>
  </si>
  <si>
    <r>
      <t>p</t>
    </r>
    <r>
      <rPr>
        <sz val="6"/>
        <color theme="1"/>
        <rFont val="Calibri"/>
        <family val="2"/>
        <charset val="204"/>
        <scheme val="minor"/>
      </rPr>
      <t>k</t>
    </r>
  </si>
  <si>
    <r>
      <t xml:space="preserve">p = λ/μ = λ * </t>
    </r>
    <r>
      <rPr>
        <sz val="11"/>
        <color theme="1"/>
        <rFont val="Calibri"/>
        <family val="2"/>
        <charset val="204"/>
        <scheme val="minor"/>
      </rPr>
      <t>t</t>
    </r>
    <r>
      <rPr>
        <sz val="6"/>
        <color theme="1"/>
        <rFont val="Calibri"/>
        <family val="2"/>
        <charset val="204"/>
        <scheme val="minor"/>
      </rPr>
      <t xml:space="preserve">об  </t>
    </r>
    <r>
      <rPr>
        <sz val="10"/>
        <color theme="1"/>
        <rFont val="Calibri"/>
        <family val="2"/>
        <charset val="204"/>
        <scheme val="minor"/>
      </rPr>
      <t>=</t>
    </r>
  </si>
  <si>
    <r>
      <t>p</t>
    </r>
    <r>
      <rPr>
        <sz val="6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 xml:space="preserve"> =        * p0 / k!</t>
    </r>
  </si>
  <si>
    <r>
      <t>p</t>
    </r>
    <r>
      <rPr>
        <sz val="6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=</t>
    </r>
  </si>
  <si>
    <r>
      <t>p</t>
    </r>
    <r>
      <rPr>
        <sz val="6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=</t>
    </r>
  </si>
  <si>
    <r>
      <t>p</t>
    </r>
    <r>
      <rPr>
        <sz val="6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=</t>
    </r>
  </si>
  <si>
    <r>
      <t>p</t>
    </r>
    <r>
      <rPr>
        <sz val="6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=</t>
    </r>
  </si>
  <si>
    <t xml:space="preserve">  p0 = </t>
  </si>
  <si>
    <t xml:space="preserve">проверка p = </t>
  </si>
  <si>
    <t>Nз = ∑kp = A/μ =</t>
  </si>
  <si>
    <r>
      <t>k</t>
    </r>
    <r>
      <rPr>
        <sz val="6"/>
        <color theme="1"/>
        <rFont val="Calibri"/>
        <family val="2"/>
        <charset val="204"/>
        <scheme val="minor"/>
      </rPr>
      <t>з</t>
    </r>
    <r>
      <rPr>
        <sz val="11"/>
        <color theme="1"/>
        <rFont val="Calibri"/>
        <family val="2"/>
        <scheme val="minor"/>
      </rPr>
      <t xml:space="preserve"> = N</t>
    </r>
    <r>
      <rPr>
        <sz val="6"/>
        <color theme="1"/>
        <rFont val="Calibri"/>
        <family val="2"/>
        <charset val="204"/>
        <scheme val="minor"/>
      </rPr>
      <t>з</t>
    </r>
    <r>
      <rPr>
        <sz val="11"/>
        <color theme="1"/>
        <rFont val="Calibri"/>
        <family val="2"/>
        <scheme val="minor"/>
      </rPr>
      <t>/n =</t>
    </r>
  </si>
  <si>
    <r>
      <t>k</t>
    </r>
    <r>
      <rPr>
        <sz val="6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 xml:space="preserve"> = N</t>
    </r>
    <r>
      <rPr>
        <sz val="6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>/n =</t>
    </r>
  </si>
  <si>
    <t>коэффициент зарузки каналов</t>
  </si>
  <si>
    <t>коэффициент простоя каналов</t>
  </si>
  <si>
    <t>количество заявок</t>
  </si>
  <si>
    <r>
      <t>kp</t>
    </r>
    <r>
      <rPr>
        <sz val="6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</si>
  <si>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среднее число занятых каналов</t>
  </si>
  <si>
    <t>Nn = ∑(n-k)p = n - Nз =</t>
  </si>
  <si>
    <r>
      <t>P</t>
    </r>
    <r>
      <rPr>
        <sz val="6"/>
        <color theme="1"/>
        <rFont val="Calibri"/>
        <family val="2"/>
        <charset val="204"/>
        <scheme val="minor"/>
      </rPr>
      <t xml:space="preserve">отк  </t>
    </r>
    <r>
      <rPr>
        <sz val="11"/>
        <color theme="1"/>
        <rFont val="Calibri"/>
        <family val="2"/>
        <scheme val="minor"/>
      </rPr>
      <t>= p</t>
    </r>
    <r>
      <rPr>
        <sz val="6"/>
        <color theme="1"/>
        <rFont val="Calibri"/>
        <family val="2"/>
        <charset val="204"/>
        <scheme val="minor"/>
      </rPr>
      <t xml:space="preserve">6  </t>
    </r>
    <r>
      <rPr>
        <sz val="11"/>
        <color theme="1"/>
        <rFont val="Calibri"/>
        <family val="2"/>
        <charset val="204"/>
        <scheme val="minor"/>
      </rPr>
      <t>=</t>
    </r>
  </si>
  <si>
    <t>вероятность отказа</t>
  </si>
  <si>
    <r>
      <t>Q = 1 - p</t>
    </r>
    <r>
      <rPr>
        <sz val="6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</si>
  <si>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относительная пропускная способность</t>
  </si>
  <si>
    <t>А = λQ =</t>
  </si>
  <si>
    <t>абсолютная пропускная способность</t>
  </si>
  <si>
    <t xml:space="preserve"> 0.08% от всего времени будут свободны все 4 канала</t>
  </si>
  <si>
    <t>заняты все каналы</t>
  </si>
  <si>
    <t>простаивают все каналы</t>
  </si>
  <si>
    <t>каждый канал занят 90.4% от всего времени</t>
  </si>
  <si>
    <t>на каждые 100 запросов 69.8% получат отказ</t>
  </si>
  <si>
    <t>Вывод: 4 канала не удовлетворяют пропускную способность q = 40% т.к  Q = 30.1%</t>
  </si>
  <si>
    <r>
      <t>p</t>
    </r>
    <r>
      <rPr>
        <sz val="6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=</t>
    </r>
  </si>
  <si>
    <t>Вывод: 5 каналов не удовлетворяют пропускную способность 40% &gt; 37.3%</t>
  </si>
  <si>
    <r>
      <t>p</t>
    </r>
    <r>
      <rPr>
        <sz val="6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=</t>
    </r>
  </si>
  <si>
    <t>Вывод: 6 каналов удовлетворяют пропускную способность q = 40% &lt; Q = 43.4%</t>
  </si>
  <si>
    <t>каждый канал занят 89% от всего времени</t>
  </si>
  <si>
    <r>
      <t>P</t>
    </r>
    <r>
      <rPr>
        <sz val="6"/>
        <color theme="1"/>
        <rFont val="Calibri"/>
        <family val="2"/>
        <charset val="204"/>
        <scheme val="minor"/>
      </rPr>
      <t xml:space="preserve">отк  </t>
    </r>
    <r>
      <rPr>
        <sz val="11"/>
        <color theme="1"/>
        <rFont val="Calibri"/>
        <family val="2"/>
        <scheme val="minor"/>
      </rPr>
      <t>= p</t>
    </r>
    <r>
      <rPr>
        <sz val="6"/>
        <color theme="1"/>
        <rFont val="Calibri"/>
        <family val="2"/>
        <charset val="204"/>
        <scheme val="minor"/>
      </rPr>
      <t xml:space="preserve">4  </t>
    </r>
    <r>
      <rPr>
        <sz val="11"/>
        <color theme="1"/>
        <rFont val="Calibri"/>
        <family val="2"/>
        <charset val="204"/>
        <scheme val="minor"/>
      </rPr>
      <t>=</t>
    </r>
  </si>
  <si>
    <t>на каждые 100 запросов 56.6% получат отказ</t>
  </si>
  <si>
    <r>
      <t>Q = 1 - P</t>
    </r>
    <r>
      <rPr>
        <sz val="6"/>
        <color theme="1"/>
        <rFont val="Calibri"/>
        <family val="2"/>
        <charset val="204"/>
        <scheme val="minor"/>
      </rPr>
      <t>отк</t>
    </r>
    <r>
      <rPr>
        <sz val="11"/>
        <color theme="1"/>
        <rFont val="Calibri"/>
        <family val="2"/>
        <scheme val="minor"/>
      </rPr>
      <t xml:space="preserve"> =</t>
    </r>
  </si>
  <si>
    <r>
      <t>Q = 1 - p</t>
    </r>
    <r>
      <rPr>
        <sz val="6"/>
        <color theme="1"/>
        <rFont val="Calibri"/>
        <family val="2"/>
        <charset val="204"/>
        <scheme val="minor"/>
      </rPr>
      <t xml:space="preserve">отк </t>
    </r>
    <r>
      <rPr>
        <sz val="11"/>
        <color theme="1"/>
        <rFont val="Calibri"/>
        <family val="2"/>
        <scheme val="minor"/>
      </rPr>
      <t>=</t>
    </r>
  </si>
  <si>
    <t>m</t>
  </si>
  <si>
    <t>t</t>
  </si>
  <si>
    <t>μ</t>
  </si>
  <si>
    <t>каналов</t>
  </si>
  <si>
    <t>макс.очередь</t>
  </si>
  <si>
    <t>Интенсивность нагрузки</t>
  </si>
  <si>
    <t>Нагрузка на 1 канал</t>
  </si>
  <si>
    <t>Вероятность того, что система свободна</t>
  </si>
  <si>
    <t>Вероятность того, чтозаявка получит отказ</t>
  </si>
  <si>
    <t>Относительная пропускная способность</t>
  </si>
  <si>
    <t>Абсолютная пропускная способность</t>
  </si>
  <si>
    <t>Среднее число занятых каналов</t>
  </si>
  <si>
    <t>Коэффициент занятости каналов</t>
  </si>
  <si>
    <t>Среденее число клиентов в очереди</t>
  </si>
  <si>
    <t>Среднее чвремя ожидания в очреди</t>
  </si>
  <si>
    <t>Ср время пребывания в клиентов в магазине</t>
  </si>
  <si>
    <t>маш/ч</t>
  </si>
  <si>
    <t>Одноканальная СМО с ограничением по длине очереди</t>
  </si>
  <si>
    <t>Среднее число клиентов на тех.осмотре</t>
  </si>
  <si>
    <t>Вывод: среднее время прибывания на тех.осмотре: 0.871ч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</si>
</sst>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/>
    <xf numFmtId="3" fontId="0" fillId="0" borderId="1" xfId="0" applyNumberFormat="1" applyBorder="1"/>
    <xf numFmtId="0" fontId="0" fillId="0" borderId="1" xfId="0" applyBorder="1" applyAlignment="1"/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7" borderId="0" xfId="0" applyFont="1" applyFill="1"/>
    <xf numFmtId="0" fontId="6" fillId="6" borderId="1" xfId="0" applyFont="1" applyFill="1" applyBorder="1"/>
    <xf numFmtId="0" fontId="7" fillId="6" borderId="1" xfId="0" applyFont="1" applyFill="1" applyBorder="1"/>
    <xf numFmtId="0" fontId="0" fillId="8" borderId="1" xfId="0" applyFill="1" applyBorder="1"/>
    <xf numFmtId="0" fontId="3" fillId="10" borderId="1" xfId="0" applyFont="1" applyFill="1" applyBorder="1"/>
    <xf numFmtId="0" fontId="0" fillId="10" borderId="1" xfId="0" applyFill="1" applyBorder="1"/>
    <xf numFmtId="0" fontId="0" fillId="0" borderId="0" xfId="0" applyBorder="1"/>
    <xf numFmtId="0" fontId="2" fillId="9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13</xdr:row>
      <xdr:rowOff>160020</xdr:rowOff>
    </xdr:from>
    <xdr:ext cx="65" cy="172227"/>
    <xdr:sp macro="" textlink="">
      <xdr:nvSpPr>
        <xdr:cNvPr id="3" name="TextBox 2"/>
        <xdr:cNvSpPr txBox="1"/>
      </xdr:nvSpPr>
      <xdr:spPr>
        <a:xfrm>
          <a:off x="12969240" y="2537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205740</xdr:colOff>
      <xdr:row>0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8544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8544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99060</xdr:colOff>
      <xdr:row>0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96696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96696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396240</xdr:colOff>
      <xdr:row>12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435340" y="237744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435340" y="237744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342900</xdr:colOff>
      <xdr:row>10</xdr:row>
      <xdr:rowOff>0</xdr:rowOff>
    </xdr:from>
    <xdr:ext cx="873637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382000" y="1828800"/>
              <a:ext cx="87363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(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</m:sSup>
                    </m:e>
                  </m:nary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 / 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!)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</m:oMath>
              </a14:m>
              <a:r>
                <a:rPr lang="en-US" sz="1100"/>
                <a:t> =</a:t>
              </a: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382000" y="1828800"/>
              <a:ext cx="87363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∑▒𝑝^𝑘  </a:t>
              </a:r>
              <a:r>
                <a:rPr lang="en-US" sz="1100" i="0">
                  <a:latin typeface="Cambria Math" panose="02040503050406030204" pitchFamily="18" charset="0"/>
                </a:rPr>
                <a:t>〖 / 𝑘!</a:t>
              </a:r>
              <a:r>
                <a:rPr lang="en-US" sz="1100" b="0" i="0">
                  <a:latin typeface="Cambria Math" panose="02040503050406030204" pitchFamily="18" charset="0"/>
                </a:rPr>
                <a:t>)〗^(−1)</a:t>
              </a:r>
              <a:r>
                <a:rPr lang="en-US" sz="1100"/>
                <a:t> =</a:t>
              </a:r>
            </a:p>
          </xdr:txBody>
        </xdr:sp>
      </mc:Fallback>
    </mc:AlternateContent>
    <xdr:clientData/>
  </xdr:oneCellAnchor>
  <xdr:oneCellAnchor>
    <xdr:from>
      <xdr:col>6</xdr:col>
      <xdr:colOff>205740</xdr:colOff>
      <xdr:row>0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62762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62762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99060</xdr:colOff>
      <xdr:row>0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7401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7401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205740</xdr:colOff>
      <xdr:row>24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1394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13944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99060</xdr:colOff>
      <xdr:row>24</xdr:row>
      <xdr:rowOff>0</xdr:rowOff>
    </xdr:from>
    <xdr:ext cx="184794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45008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450080" y="0"/>
              <a:ext cx="184794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𝑝^𝑘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J7" sqref="J7"/>
    </sheetView>
  </sheetViews>
  <sheetFormatPr defaultRowHeight="14.4" x14ac:dyDescent="0.3"/>
  <cols>
    <col min="1" max="1" width="3.77734375" customWidth="1"/>
    <col min="2" max="2" width="2.33203125" customWidth="1"/>
    <col min="3" max="3" width="5.5546875" customWidth="1"/>
    <col min="4" max="4" width="13.33203125" customWidth="1"/>
    <col min="5" max="5" width="7.33203125" customWidth="1"/>
    <col min="6" max="6" width="10.44140625" customWidth="1"/>
    <col min="7" max="8" width="10.33203125" customWidth="1"/>
    <col min="9" max="9" width="11.88671875" customWidth="1"/>
    <col min="10" max="11" width="11.109375" customWidth="1"/>
    <col min="12" max="12" width="7.77734375" customWidth="1"/>
    <col min="13" max="13" width="10.44140625" customWidth="1"/>
  </cols>
  <sheetData>
    <row r="1" spans="1:21" x14ac:dyDescent="0.3">
      <c r="A1" s="18" t="s">
        <v>0</v>
      </c>
      <c r="B1" s="1" t="s">
        <v>3</v>
      </c>
      <c r="C1" s="18">
        <v>4</v>
      </c>
      <c r="D1" t="s">
        <v>5</v>
      </c>
      <c r="F1" s="5" t="s">
        <v>10</v>
      </c>
      <c r="G1" s="6"/>
      <c r="H1" s="5" t="s">
        <v>11</v>
      </c>
      <c r="I1" s="6" t="s">
        <v>13</v>
      </c>
      <c r="J1" s="5" t="s">
        <v>14</v>
      </c>
      <c r="K1" s="5" t="s">
        <v>12</v>
      </c>
      <c r="M1" s="8" t="s">
        <v>10</v>
      </c>
      <c r="N1" s="4"/>
      <c r="O1" s="8" t="s">
        <v>11</v>
      </c>
      <c r="P1" s="4" t="s">
        <v>13</v>
      </c>
      <c r="Q1" s="8" t="s">
        <v>14</v>
      </c>
      <c r="R1" s="8" t="s">
        <v>12</v>
      </c>
      <c r="S1" s="15">
        <v>1</v>
      </c>
    </row>
    <row r="2" spans="1:21" x14ac:dyDescent="0.3">
      <c r="A2" s="19" t="s">
        <v>1</v>
      </c>
      <c r="B2" s="1" t="s">
        <v>3</v>
      </c>
      <c r="C2" s="20">
        <v>3</v>
      </c>
      <c r="D2" t="s">
        <v>7</v>
      </c>
      <c r="F2" s="2">
        <v>0</v>
      </c>
      <c r="G2" s="1">
        <v>1</v>
      </c>
      <c r="H2" s="1">
        <v>1</v>
      </c>
      <c r="I2" s="1">
        <f xml:space="preserve"> G2 / H2</f>
        <v>1</v>
      </c>
      <c r="J2">
        <f>G10</f>
        <v>3.0206004953784815E-4</v>
      </c>
      <c r="K2" s="1">
        <f xml:space="preserve"> F2 * J2</f>
        <v>0</v>
      </c>
      <c r="M2" s="1">
        <v>0</v>
      </c>
      <c r="N2" s="1">
        <v>1</v>
      </c>
      <c r="O2" s="1">
        <v>1</v>
      </c>
      <c r="P2" s="1">
        <v>1</v>
      </c>
      <c r="Q2" s="1">
        <f>O11</f>
        <v>8.0840743734842356E-4</v>
      </c>
      <c r="R2" s="1">
        <f xml:space="preserve"> M2 * Q2</f>
        <v>0</v>
      </c>
    </row>
    <row r="3" spans="1:21" x14ac:dyDescent="0.3">
      <c r="A3" s="18" t="s">
        <v>4</v>
      </c>
      <c r="B3" s="1" t="s">
        <v>3</v>
      </c>
      <c r="C3" s="18">
        <v>3</v>
      </c>
      <c r="D3" t="s">
        <v>8</v>
      </c>
      <c r="F3" s="2">
        <v>1</v>
      </c>
      <c r="G3" s="1">
        <v>12</v>
      </c>
      <c r="H3" s="1">
        <v>1</v>
      </c>
      <c r="I3" s="1">
        <f t="shared" ref="I3:I7" si="0" xml:space="preserve"> G3 / H3</f>
        <v>12</v>
      </c>
      <c r="J3" s="1">
        <f>G12</f>
        <v>3.6247205944541778E-3</v>
      </c>
      <c r="K3" s="1">
        <f t="shared" ref="K3:K7" si="1" xml:space="preserve"> F3 * J3</f>
        <v>3.6247205944541778E-3</v>
      </c>
      <c r="M3" s="1">
        <v>1</v>
      </c>
      <c r="N3" s="1">
        <v>12</v>
      </c>
      <c r="O3" s="1">
        <v>1</v>
      </c>
      <c r="P3" s="1">
        <v>12</v>
      </c>
      <c r="Q3" s="1">
        <f>O14</f>
        <v>9.7008892481810823E-3</v>
      </c>
      <c r="R3" s="1">
        <f xml:space="preserve"> M3 * Q3</f>
        <v>9.7008892481810823E-3</v>
      </c>
    </row>
    <row r="4" spans="1:21" x14ac:dyDescent="0.3">
      <c r="A4" s="20" t="s">
        <v>2</v>
      </c>
      <c r="B4" s="1" t="s">
        <v>3</v>
      </c>
      <c r="C4" s="20">
        <v>40</v>
      </c>
      <c r="D4" t="s">
        <v>9</v>
      </c>
      <c r="F4" s="2">
        <v>2</v>
      </c>
      <c r="G4" s="1">
        <v>144</v>
      </c>
      <c r="H4" s="1">
        <v>2</v>
      </c>
      <c r="I4" s="1">
        <f t="shared" si="0"/>
        <v>72</v>
      </c>
      <c r="J4" s="1">
        <f t="shared" ref="J4:J7" si="2">G13</f>
        <v>2.1748323566725066E-2</v>
      </c>
      <c r="K4" s="1">
        <f t="shared" si="1"/>
        <v>4.3496647133450132E-2</v>
      </c>
      <c r="M4" s="1">
        <v>2</v>
      </c>
      <c r="N4" s="1">
        <v>144</v>
      </c>
      <c r="O4" s="1">
        <v>2</v>
      </c>
      <c r="P4" s="1">
        <v>72</v>
      </c>
      <c r="Q4" s="1">
        <f>O15</f>
        <v>5.8205335489086497E-2</v>
      </c>
      <c r="R4" s="1">
        <f t="shared" ref="R4:R6" si="3" xml:space="preserve"> M4 * Q4</f>
        <v>0.11641067097817299</v>
      </c>
    </row>
    <row r="5" spans="1:21" x14ac:dyDescent="0.3">
      <c r="F5" s="2">
        <v>3</v>
      </c>
      <c r="G5" s="1">
        <v>1728</v>
      </c>
      <c r="H5" s="1">
        <v>6</v>
      </c>
      <c r="I5" s="1">
        <f t="shared" si="0"/>
        <v>288</v>
      </c>
      <c r="J5" s="1">
        <f t="shared" si="2"/>
        <v>8.6993294266900265E-2</v>
      </c>
      <c r="K5" s="1">
        <f t="shared" si="1"/>
        <v>0.26097988280070078</v>
      </c>
      <c r="M5" s="1">
        <v>3</v>
      </c>
      <c r="N5" s="1">
        <v>1728</v>
      </c>
      <c r="O5" s="1">
        <v>6</v>
      </c>
      <c r="P5" s="1">
        <v>288</v>
      </c>
      <c r="Q5" s="1">
        <f>O16</f>
        <v>0.23282134195634599</v>
      </c>
      <c r="R5" s="1">
        <f t="shared" si="3"/>
        <v>0.698464025869038</v>
      </c>
    </row>
    <row r="6" spans="1:21" x14ac:dyDescent="0.3">
      <c r="F6" s="2">
        <v>4</v>
      </c>
      <c r="G6" s="1">
        <v>20736</v>
      </c>
      <c r="H6" s="1">
        <v>24</v>
      </c>
      <c r="I6" s="1">
        <f t="shared" si="0"/>
        <v>864</v>
      </c>
      <c r="J6" s="1">
        <f t="shared" si="2"/>
        <v>0.26097988280070078</v>
      </c>
      <c r="K6" s="1">
        <f t="shared" si="1"/>
        <v>1.0439195312028031</v>
      </c>
      <c r="M6" s="1">
        <v>4</v>
      </c>
      <c r="N6" s="1">
        <v>20736</v>
      </c>
      <c r="O6" s="1">
        <v>24</v>
      </c>
      <c r="P6" s="1">
        <v>864</v>
      </c>
      <c r="Q6" s="1">
        <f xml:space="preserve"> O17</f>
        <v>0.698464025869038</v>
      </c>
      <c r="R6" s="1">
        <f t="shared" si="3"/>
        <v>2.793856103476152</v>
      </c>
    </row>
    <row r="7" spans="1:21" x14ac:dyDescent="0.3">
      <c r="F7" s="2">
        <v>5</v>
      </c>
      <c r="G7" s="10">
        <v>248832</v>
      </c>
      <c r="H7" s="1">
        <v>120</v>
      </c>
      <c r="I7" s="1">
        <f t="shared" si="0"/>
        <v>2073.6</v>
      </c>
      <c r="J7" s="1">
        <f t="shared" si="2"/>
        <v>0.62635171872168194</v>
      </c>
      <c r="K7" s="1">
        <f t="shared" si="1"/>
        <v>3.1317585936084096</v>
      </c>
      <c r="M7" s="17">
        <v>1</v>
      </c>
      <c r="N7" s="4"/>
      <c r="O7" s="4"/>
      <c r="P7" s="4">
        <f xml:space="preserve"> SUM(P2:P6)</f>
        <v>1237</v>
      </c>
      <c r="Q7" s="4">
        <f xml:space="preserve"> SUM(Q2:Q6)</f>
        <v>1</v>
      </c>
      <c r="R7" s="4">
        <f xml:space="preserve"> SUM(R2:R6)</f>
        <v>3.618431689571544</v>
      </c>
    </row>
    <row r="8" spans="1:21" x14ac:dyDescent="0.3">
      <c r="F8" s="16">
        <v>2</v>
      </c>
      <c r="G8" s="6"/>
      <c r="H8" s="6"/>
      <c r="I8" s="6">
        <f xml:space="preserve"> I2 + I4 + I5 + I3 + I6 + I7</f>
        <v>3310.6</v>
      </c>
      <c r="J8" s="6">
        <f xml:space="preserve"> SUM(J2:J7)</f>
        <v>1</v>
      </c>
      <c r="K8" s="6">
        <f xml:space="preserve"> SUM(K2:K7)</f>
        <v>4.4837793753398181</v>
      </c>
    </row>
    <row r="9" spans="1:21" x14ac:dyDescent="0.3">
      <c r="M9" s="28" t="s">
        <v>15</v>
      </c>
      <c r="N9" s="28"/>
      <c r="O9" s="1">
        <f xml:space="preserve"> C2 * C3</f>
        <v>9</v>
      </c>
    </row>
    <row r="10" spans="1:21" x14ac:dyDescent="0.3">
      <c r="F10" s="12" t="s">
        <v>6</v>
      </c>
      <c r="G10" s="1">
        <f xml:space="preserve"> 1 / I8</f>
        <v>3.0206004953784815E-4</v>
      </c>
    </row>
    <row r="11" spans="1:21" x14ac:dyDescent="0.3">
      <c r="M11" s="30" t="s">
        <v>21</v>
      </c>
      <c r="N11" s="30"/>
      <c r="O11" s="1">
        <f xml:space="preserve"> 1/ P7</f>
        <v>8.0840743734842356E-4</v>
      </c>
      <c r="P11" s="26" t="s">
        <v>38</v>
      </c>
      <c r="Q11" s="26"/>
      <c r="R11" s="26"/>
      <c r="S11" s="26"/>
      <c r="T11" s="26"/>
      <c r="U11" s="26"/>
    </row>
    <row r="12" spans="1:21" x14ac:dyDescent="0.3">
      <c r="F12" s="12" t="s">
        <v>17</v>
      </c>
      <c r="G12" s="1">
        <f xml:space="preserve"> I3 * G10</f>
        <v>3.6247205944541778E-3</v>
      </c>
    </row>
    <row r="13" spans="1:21" x14ac:dyDescent="0.3">
      <c r="F13" s="12" t="s">
        <v>18</v>
      </c>
      <c r="G13" s="1">
        <f xml:space="preserve"> I4 * G10</f>
        <v>2.1748323566725066E-2</v>
      </c>
      <c r="M13" s="28" t="s">
        <v>16</v>
      </c>
      <c r="N13" s="28"/>
      <c r="O13" s="26" t="s">
        <v>28</v>
      </c>
      <c r="P13" s="26"/>
    </row>
    <row r="14" spans="1:21" x14ac:dyDescent="0.3">
      <c r="F14" s="12" t="s">
        <v>19</v>
      </c>
      <c r="G14" s="1">
        <f xml:space="preserve"> I5 * G10</f>
        <v>8.6993294266900265E-2</v>
      </c>
      <c r="M14" s="1"/>
      <c r="N14" s="13" t="s">
        <v>17</v>
      </c>
      <c r="O14" s="1">
        <f xml:space="preserve"> P3 * O11</f>
        <v>9.7008892481810823E-3</v>
      </c>
      <c r="P14" s="1"/>
    </row>
    <row r="15" spans="1:21" x14ac:dyDescent="0.3">
      <c r="F15" s="12" t="s">
        <v>20</v>
      </c>
      <c r="G15" s="1">
        <f xml:space="preserve"> I6 * G10</f>
        <v>0.26097988280070078</v>
      </c>
      <c r="M15" s="1"/>
      <c r="N15" s="13" t="s">
        <v>18</v>
      </c>
      <c r="O15" s="1">
        <f xml:space="preserve"> P4 * O11</f>
        <v>5.8205335489086497E-2</v>
      </c>
      <c r="P15" s="1"/>
    </row>
    <row r="16" spans="1:21" x14ac:dyDescent="0.3">
      <c r="F16" s="12" t="s">
        <v>44</v>
      </c>
      <c r="G16" s="1">
        <f xml:space="preserve"> I7 * G10</f>
        <v>0.62635171872168194</v>
      </c>
      <c r="M16" s="1"/>
      <c r="N16" s="13" t="s">
        <v>19</v>
      </c>
      <c r="O16" s="1">
        <f xml:space="preserve"> P5 * O11</f>
        <v>0.23282134195634599</v>
      </c>
      <c r="P16" s="1"/>
    </row>
    <row r="17" spans="6:23" x14ac:dyDescent="0.3">
      <c r="M17" s="1"/>
      <c r="N17" s="13" t="s">
        <v>20</v>
      </c>
      <c r="O17" s="1">
        <f xml:space="preserve"> P6 * O11</f>
        <v>0.698464025869038</v>
      </c>
      <c r="P17" s="1"/>
    </row>
    <row r="18" spans="6:23" x14ac:dyDescent="0.3">
      <c r="F18" s="29" t="s">
        <v>51</v>
      </c>
      <c r="G18" s="29"/>
      <c r="H18" s="1">
        <f xml:space="preserve"> 1 - J7</f>
        <v>0.37364828127831806</v>
      </c>
    </row>
    <row r="19" spans="6:23" x14ac:dyDescent="0.3">
      <c r="M19" s="28" t="s">
        <v>22</v>
      </c>
      <c r="N19" s="28"/>
      <c r="O19" s="1">
        <f xml:space="preserve"> SUM(Q2:Q6)</f>
        <v>1</v>
      </c>
    </row>
    <row r="20" spans="6:23" x14ac:dyDescent="0.3">
      <c r="F20" s="29" t="s">
        <v>45</v>
      </c>
      <c r="G20" s="29"/>
      <c r="H20" s="29"/>
      <c r="I20" s="29"/>
      <c r="J20" s="29"/>
      <c r="K20" s="29"/>
      <c r="L20" s="9"/>
    </row>
    <row r="21" spans="6:23" x14ac:dyDescent="0.3">
      <c r="M21" s="8" t="s">
        <v>29</v>
      </c>
      <c r="N21" s="26" t="s">
        <v>30</v>
      </c>
      <c r="O21" s="26"/>
      <c r="P21" s="26"/>
      <c r="Q21" s="26"/>
    </row>
    <row r="23" spans="6:23" x14ac:dyDescent="0.3">
      <c r="M23" s="28" t="s">
        <v>23</v>
      </c>
      <c r="N23" s="28"/>
      <c r="O23" s="11">
        <f xml:space="preserve"> R7</f>
        <v>3.618431689571544</v>
      </c>
      <c r="P23" s="26" t="s">
        <v>39</v>
      </c>
      <c r="Q23" s="26"/>
      <c r="R23" s="26"/>
    </row>
    <row r="24" spans="6:23" x14ac:dyDescent="0.3">
      <c r="M24" s="28" t="s">
        <v>31</v>
      </c>
      <c r="N24" s="28"/>
      <c r="O24" s="1">
        <f xml:space="preserve"> C1 - R7</f>
        <v>0.38156831042845596</v>
      </c>
      <c r="P24" s="26" t="s">
        <v>40</v>
      </c>
      <c r="Q24" s="26"/>
      <c r="R24" s="26"/>
    </row>
    <row r="25" spans="6:23" x14ac:dyDescent="0.3">
      <c r="F25" s="7" t="s">
        <v>10</v>
      </c>
      <c r="G25" s="3"/>
      <c r="H25" s="7" t="s">
        <v>11</v>
      </c>
      <c r="I25" s="3" t="s">
        <v>13</v>
      </c>
      <c r="J25" s="7" t="s">
        <v>14</v>
      </c>
      <c r="K25" s="7" t="s">
        <v>12</v>
      </c>
    </row>
    <row r="26" spans="6:23" x14ac:dyDescent="0.3">
      <c r="F26" s="1">
        <v>0</v>
      </c>
      <c r="G26" s="1">
        <v>1</v>
      </c>
      <c r="H26" s="1">
        <v>1</v>
      </c>
      <c r="I26" s="1">
        <f xml:space="preserve"> G26 / H26</f>
        <v>1</v>
      </c>
      <c r="J26" s="1">
        <f xml:space="preserve"> G35</f>
        <v>1.3115671478660802E-4</v>
      </c>
      <c r="K26" s="1">
        <f xml:space="preserve"> F26 * J26</f>
        <v>0</v>
      </c>
      <c r="M26" s="4" t="s">
        <v>24</v>
      </c>
      <c r="N26" s="1">
        <f xml:space="preserve"> O23 / C1</f>
        <v>0.90460792239288601</v>
      </c>
      <c r="O26" s="26" t="s">
        <v>26</v>
      </c>
      <c r="P26" s="26"/>
      <c r="Q26" s="26"/>
      <c r="R26" s="26"/>
      <c r="S26" s="26" t="s">
        <v>41</v>
      </c>
      <c r="T26" s="26"/>
      <c r="U26" s="26"/>
      <c r="V26" s="26"/>
      <c r="W26" s="26"/>
    </row>
    <row r="27" spans="6:23" x14ac:dyDescent="0.3">
      <c r="F27" s="1">
        <v>1</v>
      </c>
      <c r="G27" s="1">
        <v>12</v>
      </c>
      <c r="H27" s="1">
        <v>1</v>
      </c>
      <c r="I27" s="1">
        <f t="shared" ref="I27:I32" si="4" xml:space="preserve"> G27 / H27</f>
        <v>12</v>
      </c>
      <c r="J27" s="1">
        <f xml:space="preserve"> G37</f>
        <v>1.5738805774392962E-3</v>
      </c>
      <c r="K27" s="1">
        <f t="shared" ref="K27:K32" si="5" xml:space="preserve"> F27 * J27</f>
        <v>1.5738805774392962E-3</v>
      </c>
      <c r="M27" s="4" t="s">
        <v>25</v>
      </c>
      <c r="N27" s="1">
        <f xml:space="preserve"> O24 / C1</f>
        <v>9.539207760711399E-2</v>
      </c>
      <c r="O27" s="26" t="s">
        <v>27</v>
      </c>
      <c r="P27" s="26"/>
      <c r="Q27" s="26"/>
      <c r="R27" s="26"/>
    </row>
    <row r="28" spans="6:23" x14ac:dyDescent="0.3">
      <c r="F28" s="1">
        <v>2</v>
      </c>
      <c r="G28" s="1">
        <v>144</v>
      </c>
      <c r="H28" s="1">
        <v>2</v>
      </c>
      <c r="I28" s="1">
        <f t="shared" si="4"/>
        <v>72</v>
      </c>
      <c r="J28" s="1">
        <f t="shared" ref="J28:J32" si="6" xml:space="preserve"> G38</f>
        <v>9.443283464635778E-3</v>
      </c>
      <c r="K28" s="1">
        <f t="shared" si="5"/>
        <v>1.8886566929271556E-2</v>
      </c>
    </row>
    <row r="29" spans="6:23" x14ac:dyDescent="0.3">
      <c r="F29" s="1">
        <v>3</v>
      </c>
      <c r="G29" s="1">
        <v>1728</v>
      </c>
      <c r="H29" s="1">
        <v>6</v>
      </c>
      <c r="I29" s="1">
        <f t="shared" si="4"/>
        <v>288</v>
      </c>
      <c r="J29" s="1">
        <f t="shared" si="6"/>
        <v>3.7773133858543112E-2</v>
      </c>
      <c r="K29" s="1">
        <f t="shared" si="5"/>
        <v>0.11331940157562934</v>
      </c>
      <c r="M29" s="4" t="s">
        <v>49</v>
      </c>
      <c r="N29" s="1">
        <f>Q6</f>
        <v>0.698464025869038</v>
      </c>
      <c r="O29" s="26" t="s">
        <v>33</v>
      </c>
      <c r="P29" s="26"/>
      <c r="Q29" s="26"/>
      <c r="R29" s="26"/>
      <c r="S29" s="26" t="s">
        <v>42</v>
      </c>
      <c r="T29" s="26"/>
      <c r="U29" s="26"/>
      <c r="V29" s="26"/>
      <c r="W29" s="26"/>
    </row>
    <row r="30" spans="6:23" x14ac:dyDescent="0.3">
      <c r="F30" s="1">
        <v>4</v>
      </c>
      <c r="G30" s="1">
        <v>20736</v>
      </c>
      <c r="H30" s="1">
        <v>24</v>
      </c>
      <c r="I30" s="1">
        <f t="shared" si="4"/>
        <v>864</v>
      </c>
      <c r="J30" s="1">
        <f t="shared" si="6"/>
        <v>0.11331940157562934</v>
      </c>
      <c r="K30" s="1">
        <f t="shared" si="5"/>
        <v>0.45327760630251734</v>
      </c>
    </row>
    <row r="31" spans="6:23" x14ac:dyDescent="0.3">
      <c r="F31" s="1">
        <v>5</v>
      </c>
      <c r="G31" s="10">
        <v>248832</v>
      </c>
      <c r="H31" s="1">
        <v>120</v>
      </c>
      <c r="I31" s="1">
        <f t="shared" si="4"/>
        <v>2073.6</v>
      </c>
      <c r="J31" s="1">
        <f t="shared" si="6"/>
        <v>0.27196656378151041</v>
      </c>
      <c r="K31" s="1">
        <f t="shared" si="5"/>
        <v>1.3598328189075519</v>
      </c>
      <c r="M31" s="4" t="s">
        <v>52</v>
      </c>
      <c r="N31" s="1">
        <f xml:space="preserve"> 1 - N29</f>
        <v>0.301535974130962</v>
      </c>
      <c r="O31" s="26" t="s">
        <v>35</v>
      </c>
      <c r="P31" s="26"/>
      <c r="Q31" s="26"/>
      <c r="R31" s="26"/>
    </row>
    <row r="32" spans="6:23" x14ac:dyDescent="0.3">
      <c r="F32" s="1">
        <v>6</v>
      </c>
      <c r="G32" s="1">
        <f xml:space="preserve"> 258832*12</f>
        <v>3105984</v>
      </c>
      <c r="H32" s="1">
        <f xml:space="preserve"> 120 * 6</f>
        <v>720</v>
      </c>
      <c r="I32" s="1">
        <f t="shared" si="4"/>
        <v>4313.8666666666668</v>
      </c>
      <c r="J32" s="1">
        <f t="shared" si="6"/>
        <v>0.56579258002745547</v>
      </c>
      <c r="K32" s="1">
        <f t="shared" si="5"/>
        <v>3.3947554801647328</v>
      </c>
    </row>
    <row r="33" spans="6:20" x14ac:dyDescent="0.3">
      <c r="F33" s="17">
        <v>3</v>
      </c>
      <c r="G33" s="3"/>
      <c r="H33" s="3"/>
      <c r="I33" s="3">
        <f xml:space="preserve"> SUM(I26:I32)</f>
        <v>7624.4666666666672</v>
      </c>
      <c r="J33" s="3">
        <f xml:space="preserve"> SUM(J26:J32)</f>
        <v>1</v>
      </c>
      <c r="K33" s="3">
        <f xml:space="preserve"> SUM(K26:K32)</f>
        <v>5.3416457544571418</v>
      </c>
      <c r="M33" s="8" t="s">
        <v>36</v>
      </c>
      <c r="N33" s="1">
        <f xml:space="preserve"> C2 * N31</f>
        <v>0.90460792239288601</v>
      </c>
      <c r="O33" s="23" t="s">
        <v>37</v>
      </c>
      <c r="P33" s="24"/>
      <c r="Q33" s="24"/>
      <c r="R33" s="25"/>
    </row>
    <row r="35" spans="6:20" x14ac:dyDescent="0.3">
      <c r="F35" s="14" t="s">
        <v>6</v>
      </c>
      <c r="G35" s="1">
        <f xml:space="preserve"> 1 / I33</f>
        <v>1.3115671478660802E-4</v>
      </c>
      <c r="M35" s="28" t="s">
        <v>43</v>
      </c>
      <c r="N35" s="28"/>
      <c r="O35" s="28"/>
      <c r="P35" s="28"/>
      <c r="Q35" s="28"/>
      <c r="R35" s="28"/>
      <c r="S35" s="28"/>
      <c r="T35" s="28"/>
    </row>
    <row r="37" spans="6:20" x14ac:dyDescent="0.3">
      <c r="F37" s="14" t="s">
        <v>17</v>
      </c>
      <c r="G37" s="1">
        <f xml:space="preserve"> I27 * G35</f>
        <v>1.5738805774392962E-3</v>
      </c>
    </row>
    <row r="38" spans="6:20" x14ac:dyDescent="0.3">
      <c r="F38" s="14" t="s">
        <v>18</v>
      </c>
      <c r="G38" s="1">
        <f xml:space="preserve"> I28 * G35</f>
        <v>9.443283464635778E-3</v>
      </c>
    </row>
    <row r="39" spans="6:20" x14ac:dyDescent="0.3">
      <c r="F39" s="14" t="s">
        <v>19</v>
      </c>
      <c r="G39" s="1">
        <f xml:space="preserve"> I29 * G35</f>
        <v>3.7773133858543112E-2</v>
      </c>
    </row>
    <row r="40" spans="6:20" x14ac:dyDescent="0.3">
      <c r="F40" s="14" t="s">
        <v>20</v>
      </c>
      <c r="G40" s="1">
        <f xml:space="preserve"> I30 * G35</f>
        <v>0.11331940157562934</v>
      </c>
    </row>
    <row r="41" spans="6:20" x14ac:dyDescent="0.3">
      <c r="F41" s="14" t="s">
        <v>44</v>
      </c>
      <c r="G41" s="1">
        <f xml:space="preserve"> I31 * G35</f>
        <v>0.27196656378151041</v>
      </c>
    </row>
    <row r="42" spans="6:20" x14ac:dyDescent="0.3">
      <c r="F42" s="14" t="s">
        <v>46</v>
      </c>
      <c r="G42" s="1">
        <f xml:space="preserve"> I32 * G35</f>
        <v>0.56579258002745547</v>
      </c>
    </row>
    <row r="44" spans="6:20" x14ac:dyDescent="0.3">
      <c r="F44" s="27" t="s">
        <v>51</v>
      </c>
      <c r="G44" s="27"/>
      <c r="H44" s="1">
        <f xml:space="preserve"> 1 - J32</f>
        <v>0.43420741997254453</v>
      </c>
    </row>
    <row r="46" spans="6:20" x14ac:dyDescent="0.3">
      <c r="F46" s="27" t="s">
        <v>47</v>
      </c>
      <c r="G46" s="27"/>
      <c r="H46" s="27"/>
      <c r="I46" s="27"/>
      <c r="J46" s="27"/>
      <c r="K46" s="27"/>
      <c r="L46" s="27"/>
    </row>
    <row r="48" spans="6:20" x14ac:dyDescent="0.3">
      <c r="F48" s="27" t="s">
        <v>23</v>
      </c>
      <c r="G48" s="27"/>
      <c r="H48" s="11">
        <f xml:space="preserve"> K33</f>
        <v>5.3416457544571418</v>
      </c>
      <c r="I48" s="26" t="s">
        <v>39</v>
      </c>
      <c r="J48" s="26"/>
      <c r="K48" s="26"/>
    </row>
    <row r="49" spans="6:16" x14ac:dyDescent="0.3">
      <c r="F49" s="27" t="s">
        <v>31</v>
      </c>
      <c r="G49" s="27"/>
      <c r="H49" s="1">
        <f xml:space="preserve"> 6 - K33</f>
        <v>0.65835424554285815</v>
      </c>
      <c r="I49" s="26" t="s">
        <v>40</v>
      </c>
      <c r="J49" s="26"/>
      <c r="K49" s="26"/>
    </row>
    <row r="51" spans="6:16" x14ac:dyDescent="0.3">
      <c r="F51" s="3" t="s">
        <v>24</v>
      </c>
      <c r="G51" s="1">
        <f xml:space="preserve"> H48 / 6</f>
        <v>0.8902742924095236</v>
      </c>
      <c r="H51" s="26" t="s">
        <v>26</v>
      </c>
      <c r="I51" s="26"/>
      <c r="J51" s="26"/>
      <c r="K51" s="26"/>
      <c r="L51" s="26" t="s">
        <v>48</v>
      </c>
      <c r="M51" s="26"/>
      <c r="N51" s="26"/>
      <c r="O51" s="26"/>
      <c r="P51" s="26"/>
    </row>
    <row r="52" spans="6:16" x14ac:dyDescent="0.3">
      <c r="F52" s="3" t="s">
        <v>25</v>
      </c>
      <c r="G52" s="1">
        <f xml:space="preserve"> H49 / 6</f>
        <v>0.10972570759047635</v>
      </c>
      <c r="H52" s="26" t="s">
        <v>27</v>
      </c>
      <c r="I52" s="26"/>
      <c r="J52" s="26"/>
      <c r="K52" s="26"/>
    </row>
    <row r="54" spans="6:16" x14ac:dyDescent="0.3">
      <c r="F54" s="3" t="s">
        <v>32</v>
      </c>
      <c r="G54" s="1">
        <f>J32</f>
        <v>0.56579258002745547</v>
      </c>
      <c r="H54" s="26" t="s">
        <v>33</v>
      </c>
      <c r="I54" s="26"/>
      <c r="J54" s="26"/>
      <c r="K54" s="26"/>
      <c r="L54" s="26" t="s">
        <v>50</v>
      </c>
      <c r="M54" s="26"/>
      <c r="N54" s="26"/>
      <c r="O54" s="26"/>
      <c r="P54" s="26"/>
    </row>
    <row r="56" spans="6:16" x14ac:dyDescent="0.3">
      <c r="F56" s="3" t="s">
        <v>34</v>
      </c>
      <c r="G56" s="1">
        <f xml:space="preserve"> 1 - G54</f>
        <v>0.43420741997254453</v>
      </c>
      <c r="H56" s="26" t="s">
        <v>35</v>
      </c>
      <c r="I56" s="26"/>
      <c r="J56" s="26"/>
      <c r="K56" s="26"/>
    </row>
    <row r="58" spans="6:16" x14ac:dyDescent="0.3">
      <c r="F58" s="7" t="s">
        <v>36</v>
      </c>
      <c r="G58" s="1">
        <f>C2 * G56</f>
        <v>1.3026222599176336</v>
      </c>
      <c r="H58" s="23" t="s">
        <v>37</v>
      </c>
      <c r="I58" s="24"/>
      <c r="J58" s="24"/>
      <c r="K58" s="25"/>
    </row>
  </sheetData>
  <mergeCells count="34">
    <mergeCell ref="M9:N9"/>
    <mergeCell ref="M11:N11"/>
    <mergeCell ref="M13:N13"/>
    <mergeCell ref="M19:N19"/>
    <mergeCell ref="O13:P13"/>
    <mergeCell ref="P11:U11"/>
    <mergeCell ref="M35:T35"/>
    <mergeCell ref="F18:G18"/>
    <mergeCell ref="F20:K20"/>
    <mergeCell ref="S26:W26"/>
    <mergeCell ref="S29:W29"/>
    <mergeCell ref="O33:R33"/>
    <mergeCell ref="O29:R29"/>
    <mergeCell ref="O26:R26"/>
    <mergeCell ref="O27:R27"/>
    <mergeCell ref="N21:Q21"/>
    <mergeCell ref="O31:R31"/>
    <mergeCell ref="M23:N23"/>
    <mergeCell ref="M24:N24"/>
    <mergeCell ref="P24:R24"/>
    <mergeCell ref="P23:R23"/>
    <mergeCell ref="F44:G44"/>
    <mergeCell ref="F46:L46"/>
    <mergeCell ref="F48:G48"/>
    <mergeCell ref="I48:K48"/>
    <mergeCell ref="F49:G49"/>
    <mergeCell ref="I49:K49"/>
    <mergeCell ref="H58:K58"/>
    <mergeCell ref="H51:K51"/>
    <mergeCell ref="L51:P51"/>
    <mergeCell ref="H52:K52"/>
    <mergeCell ref="H54:K54"/>
    <mergeCell ref="L54:P54"/>
    <mergeCell ref="H56:K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4" sqref="A4"/>
    </sheetView>
  </sheetViews>
  <sheetFormatPr defaultRowHeight="14.4" x14ac:dyDescent="0.3"/>
  <cols>
    <col min="1" max="1" width="4.33203125" customWidth="1"/>
    <col min="2" max="2" width="3.33203125" customWidth="1"/>
    <col min="3" max="3" width="8.21875" customWidth="1"/>
    <col min="4" max="4" width="23.109375" customWidth="1"/>
    <col min="5" max="5" width="11.21875" customWidth="1"/>
    <col min="8" max="8" width="10.5546875" customWidth="1"/>
    <col min="9" max="9" width="11.77734375" customWidth="1"/>
    <col min="10" max="10" width="11.21875" customWidth="1"/>
  </cols>
  <sheetData>
    <row r="1" spans="1:10" x14ac:dyDescent="0.3">
      <c r="A1" s="18" t="s">
        <v>0</v>
      </c>
      <c r="B1" s="1" t="s">
        <v>3</v>
      </c>
      <c r="C1" s="1">
        <v>1</v>
      </c>
      <c r="D1" s="1" t="s">
        <v>56</v>
      </c>
      <c r="E1" s="22">
        <v>13</v>
      </c>
      <c r="F1" s="31" t="s">
        <v>58</v>
      </c>
      <c r="G1" s="31"/>
      <c r="H1" s="31"/>
      <c r="I1" s="31"/>
      <c r="J1" s="1">
        <f xml:space="preserve"> C3 / C5</f>
        <v>1.1333333333333333</v>
      </c>
    </row>
    <row r="2" spans="1:10" x14ac:dyDescent="0.3">
      <c r="A2" s="20" t="s">
        <v>53</v>
      </c>
      <c r="B2" s="1" t="s">
        <v>3</v>
      </c>
      <c r="C2" s="1">
        <v>5</v>
      </c>
      <c r="D2" s="1" t="s">
        <v>57</v>
      </c>
      <c r="F2" s="32" t="s">
        <v>59</v>
      </c>
      <c r="G2" s="32"/>
      <c r="H2" s="32"/>
      <c r="I2" s="32"/>
      <c r="J2" s="1">
        <f xml:space="preserve"> J1 / C1</f>
        <v>1.1333333333333333</v>
      </c>
    </row>
    <row r="3" spans="1:10" x14ac:dyDescent="0.3">
      <c r="A3" s="18" t="s">
        <v>1</v>
      </c>
      <c r="B3" s="1" t="s">
        <v>3</v>
      </c>
      <c r="C3" s="1">
        <v>4</v>
      </c>
      <c r="D3" s="1" t="s">
        <v>69</v>
      </c>
      <c r="F3" s="31" t="s">
        <v>60</v>
      </c>
      <c r="G3" s="31"/>
      <c r="H3" s="31"/>
      <c r="I3" s="31"/>
      <c r="J3" s="1">
        <f xml:space="preserve"> POWER(1 + J1/1 +( J1/1 * (((J1/1) - POWER(J1/1, C2 + C1)) / (1 - J1/C1))), -1)</f>
        <v>9.5128264489901831E-2</v>
      </c>
    </row>
    <row r="4" spans="1:10" x14ac:dyDescent="0.3">
      <c r="A4" s="20" t="s">
        <v>54</v>
      </c>
      <c r="B4" s="1" t="s">
        <v>3</v>
      </c>
      <c r="C4" s="1">
        <v>17</v>
      </c>
      <c r="D4" s="1" t="s">
        <v>8</v>
      </c>
      <c r="F4" s="32" t="s">
        <v>61</v>
      </c>
      <c r="G4" s="32"/>
      <c r="H4" s="32"/>
      <c r="I4" s="32"/>
      <c r="J4" s="1">
        <f xml:space="preserve"> J3 * POWER(J1, C1+C2) / (POWER(C1, C2)*C1)</f>
        <v>0.20158376278520748</v>
      </c>
    </row>
    <row r="5" spans="1:10" x14ac:dyDescent="0.3">
      <c r="A5" s="18" t="s">
        <v>55</v>
      </c>
      <c r="B5" s="1" t="s">
        <v>3</v>
      </c>
      <c r="C5" s="1">
        <f xml:space="preserve"> 60 / 17</f>
        <v>3.5294117647058822</v>
      </c>
      <c r="D5" s="1" t="s">
        <v>69</v>
      </c>
      <c r="F5" s="31" t="s">
        <v>62</v>
      </c>
      <c r="G5" s="31"/>
      <c r="H5" s="31"/>
      <c r="I5" s="31"/>
      <c r="J5" s="1">
        <f xml:space="preserve"> 1 - J4</f>
        <v>0.79841623721479249</v>
      </c>
    </row>
    <row r="6" spans="1:10" x14ac:dyDescent="0.3">
      <c r="F6" s="32" t="s">
        <v>63</v>
      </c>
      <c r="G6" s="32"/>
      <c r="H6" s="32"/>
      <c r="I6" s="32"/>
      <c r="J6" s="1">
        <f xml:space="preserve"> C3 * J5</f>
        <v>3.19366494885917</v>
      </c>
    </row>
    <row r="7" spans="1:10" x14ac:dyDescent="0.3">
      <c r="F7" s="31" t="s">
        <v>64</v>
      </c>
      <c r="G7" s="31"/>
      <c r="H7" s="31"/>
      <c r="I7" s="31"/>
      <c r="J7" s="1">
        <f xml:space="preserve"> J5 * J1</f>
        <v>0.90487173551009814</v>
      </c>
    </row>
    <row r="8" spans="1:10" x14ac:dyDescent="0.3">
      <c r="A8" s="28" t="s">
        <v>70</v>
      </c>
      <c r="B8" s="28"/>
      <c r="C8" s="28"/>
      <c r="D8" s="28"/>
      <c r="E8" s="28"/>
      <c r="F8" s="32" t="s">
        <v>65</v>
      </c>
      <c r="G8" s="32"/>
      <c r="H8" s="32"/>
      <c r="I8" s="32"/>
      <c r="J8" s="1">
        <f xml:space="preserve"> J7/C1</f>
        <v>0.90487173551009814</v>
      </c>
    </row>
    <row r="9" spans="1:10" x14ac:dyDescent="0.3">
      <c r="F9" s="31" t="s">
        <v>66</v>
      </c>
      <c r="G9" s="31"/>
      <c r="H9" s="31"/>
      <c r="I9" s="31"/>
      <c r="J9" s="1">
        <v>2.58</v>
      </c>
    </row>
    <row r="10" spans="1:10" x14ac:dyDescent="0.3">
      <c r="F10" s="32" t="s">
        <v>67</v>
      </c>
      <c r="G10" s="32"/>
      <c r="H10" s="32"/>
      <c r="I10" s="32"/>
      <c r="J10" s="1">
        <f xml:space="preserve"> J9 / C3</f>
        <v>0.64500000000000002</v>
      </c>
    </row>
    <row r="11" spans="1:10" x14ac:dyDescent="0.3">
      <c r="D11" s="33"/>
      <c r="E11" s="33"/>
      <c r="F11" s="31" t="s">
        <v>71</v>
      </c>
      <c r="G11" s="31"/>
      <c r="H11" s="31"/>
      <c r="I11" s="31"/>
      <c r="J11" s="1">
        <f xml:space="preserve"> J9 + J7</f>
        <v>3.4848717355100982</v>
      </c>
    </row>
    <row r="12" spans="1:10" x14ac:dyDescent="0.3">
      <c r="F12" s="32" t="s">
        <v>68</v>
      </c>
      <c r="G12" s="32"/>
      <c r="H12" s="32"/>
      <c r="I12" s="32"/>
      <c r="J12" s="1">
        <f xml:space="preserve"> J10 + 1/C5 * J5</f>
        <v>0.87121793387752455</v>
      </c>
    </row>
    <row r="13" spans="1:10" x14ac:dyDescent="0.3">
      <c r="A13" s="21"/>
      <c r="B13" s="21"/>
      <c r="C13" s="21"/>
      <c r="D13" s="21"/>
      <c r="E13" s="21"/>
    </row>
    <row r="14" spans="1:10" x14ac:dyDescent="0.3">
      <c r="B14" s="21"/>
      <c r="C14" s="21"/>
      <c r="D14" s="21"/>
      <c r="E14" s="21"/>
      <c r="F14" s="28" t="s">
        <v>72</v>
      </c>
      <c r="G14" s="28"/>
      <c r="H14" s="28"/>
      <c r="I14" s="28"/>
      <c r="J14" s="28"/>
    </row>
  </sheetData>
  <mergeCells count="15">
    <mergeCell ref="A8:E8"/>
    <mergeCell ref="D11:E11"/>
    <mergeCell ref="F2:I2"/>
    <mergeCell ref="F1:I1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  <mergeCell ref="F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СМО с отказами</vt:lpstr>
      <vt:lpstr>СМО с ожиданием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2020-04-16T19:37:43Z</dcterms:modified>
</cp:coreProperties>
</file>