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erafin\OneDrive - Anheuser-Busch InBev\Documents\ANDREA SERAFINI\Proyecto 2024\ARRANQUE\FORMULAS\EJECUTADO\"/>
    </mc:Choice>
  </mc:AlternateContent>
  <xr:revisionPtr revIDLastSave="0" documentId="8_{4D1EC92B-D20F-4049-8F6F-A8099EB2E9D3}" xr6:coauthVersionLast="47" xr6:coauthVersionMax="47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FORMULA" sheetId="1" r:id="rId1"/>
    <sheet name="PARA SCADA" sheetId="5" r:id="rId2"/>
    <sheet name="Proporción de vidrio" sheetId="3" r:id="rId3"/>
    <sheet name="OXIDOS" sheetId="2" r:id="rId4"/>
    <sheet name="Hoja2 (2)" sheetId="6" r:id="rId5"/>
    <sheet name="Hoja1" sheetId="4" r:id="rId6"/>
  </sheets>
  <externalReferences>
    <externalReference r:id="rId7"/>
  </externalReferences>
  <definedNames>
    <definedName name="FechaEmision">[1]VariablesDocumentacionISO!$B$11</definedName>
    <definedName name="Nombre">[1]VariablesDocumentacionISO!$B$3</definedName>
    <definedName name="NroRevision">[1]VariablesDocumentacionISO!$B$8</definedName>
    <definedName name="Titulo">[1]VariablesDocumentacionISO!$B$1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4" i="1" l="1"/>
  <c r="D10" i="1" l="1"/>
  <c r="D9" i="1"/>
  <c r="C7" i="3" l="1"/>
  <c r="CW13" i="1" l="1"/>
  <c r="CW12" i="1"/>
  <c r="D46" i="1" l="1"/>
  <c r="BC15" i="1"/>
  <c r="F17" i="5"/>
  <c r="BC18" i="1" l="1"/>
  <c r="O30" i="3"/>
  <c r="BC21" i="1" l="1"/>
  <c r="E20" i="6"/>
  <c r="BC19" i="1" l="1"/>
  <c r="E15" i="4"/>
  <c r="F8" i="4" s="1"/>
  <c r="B15" i="4"/>
  <c r="C14" i="4" s="1"/>
  <c r="BC29" i="1" l="1"/>
  <c r="BC24" i="1"/>
  <c r="C12" i="4"/>
  <c r="C11" i="4"/>
  <c r="C9" i="4"/>
  <c r="C8" i="4"/>
  <c r="C13" i="4"/>
  <c r="C10" i="4"/>
  <c r="C7" i="4"/>
  <c r="C6" i="4"/>
  <c r="F6" i="4"/>
  <c r="F7" i="4"/>
  <c r="F14" i="4"/>
  <c r="F10" i="4"/>
  <c r="F13" i="4"/>
  <c r="F12" i="4"/>
  <c r="F11" i="4"/>
  <c r="F9" i="4"/>
  <c r="R14" i="2"/>
  <c r="BC27" i="1" l="1"/>
  <c r="BC25" i="1"/>
  <c r="BC26" i="1" s="1"/>
  <c r="E6" i="5"/>
  <c r="R84" i="2"/>
  <c r="S85" i="2" l="1"/>
  <c r="T83" i="2" s="1"/>
  <c r="R83" i="2"/>
  <c r="CW9" i="1"/>
  <c r="CW10" i="1"/>
  <c r="CW11" i="1"/>
  <c r="CW14" i="1"/>
  <c r="CW15" i="1"/>
  <c r="CX15" i="1" s="1"/>
  <c r="CW16" i="1"/>
  <c r="CX16" i="1" s="1"/>
  <c r="CW8" i="1"/>
  <c r="T84" i="2" l="1"/>
  <c r="P85" i="2" s="1"/>
  <c r="T30" i="3"/>
  <c r="N85" i="2" l="1"/>
  <c r="N5" i="2" s="1"/>
  <c r="O85" i="2"/>
  <c r="O5" i="2" s="1"/>
  <c r="F85" i="2"/>
  <c r="H85" i="2"/>
  <c r="H5" i="2" s="1"/>
  <c r="D85" i="2"/>
  <c r="E85" i="2"/>
  <c r="J85" i="2"/>
  <c r="J5" i="2" s="1"/>
  <c r="K85" i="2"/>
  <c r="L85" i="2"/>
  <c r="I85" i="2"/>
  <c r="Q85" i="2"/>
  <c r="Q5" i="2" s="1"/>
  <c r="M85" i="2"/>
  <c r="M5" i="2" s="1"/>
  <c r="G85" i="2"/>
  <c r="G5" i="2" s="1"/>
  <c r="U33" i="3"/>
  <c r="T33" i="3"/>
  <c r="S33" i="3"/>
  <c r="U32" i="3"/>
  <c r="T32" i="3"/>
  <c r="S32" i="3"/>
  <c r="U30" i="3"/>
  <c r="S30" i="3"/>
  <c r="U29" i="3" l="1"/>
  <c r="T29" i="3"/>
  <c r="S29" i="3"/>
  <c r="D41" i="1" l="1"/>
  <c r="E7" i="5" l="1"/>
  <c r="E40" i="5" l="1"/>
  <c r="H40" i="5" s="1"/>
  <c r="D42" i="1" l="1"/>
  <c r="D43" i="1" l="1"/>
  <c r="F40" i="5"/>
  <c r="I40" i="5" s="1"/>
  <c r="H38" i="5"/>
  <c r="F38" i="5" l="1"/>
  <c r="I38" i="5" s="1"/>
  <c r="F16" i="5" l="1"/>
  <c r="E13" i="3" l="1"/>
  <c r="E39" i="5" l="1"/>
  <c r="H39" i="5" l="1"/>
  <c r="F39" i="5"/>
  <c r="I39" i="5" s="1"/>
  <c r="E37" i="5"/>
  <c r="E42" i="5" s="1"/>
  <c r="F14" i="5"/>
  <c r="F15" i="5" l="1"/>
  <c r="F11" i="5" s="1"/>
  <c r="F37" i="5"/>
  <c r="F42" i="5" s="1"/>
  <c r="D18" i="1"/>
  <c r="D21" i="1" s="1"/>
  <c r="D19" i="1" s="1"/>
  <c r="CX19" i="1" l="1"/>
  <c r="F12" i="5"/>
  <c r="F13" i="5"/>
  <c r="F18" i="5"/>
  <c r="F19" i="5"/>
  <c r="F20" i="5"/>
  <c r="H13" i="5" l="1"/>
  <c r="CZ16" i="1"/>
  <c r="DA16" i="1" s="1"/>
  <c r="CZ15" i="1"/>
  <c r="DA15" i="1" s="1"/>
  <c r="CZ14" i="1"/>
  <c r="DA14" i="1" s="1"/>
  <c r="CZ13" i="1"/>
  <c r="DA13" i="1" s="1"/>
  <c r="CZ12" i="1"/>
  <c r="DA12" i="1" s="1"/>
  <c r="CZ11" i="1"/>
  <c r="DA11" i="1" s="1"/>
  <c r="CZ10" i="1"/>
  <c r="DA10" i="1" s="1"/>
  <c r="CZ9" i="1"/>
  <c r="DA9" i="1" s="1"/>
  <c r="CZ8" i="1"/>
  <c r="DA8" i="1" s="1"/>
  <c r="A8" i="1" l="1"/>
  <c r="A10" i="1"/>
  <c r="A11" i="1"/>
  <c r="A14" i="1"/>
  <c r="A16" i="1"/>
  <c r="A15" i="1"/>
  <c r="A13" i="1"/>
  <c r="A9" i="1"/>
  <c r="A12" i="1"/>
  <c r="H16" i="5"/>
  <c r="E14" i="3"/>
  <c r="E15" i="3"/>
  <c r="E16" i="3"/>
  <c r="E17" i="3"/>
  <c r="E18" i="3"/>
  <c r="E19" i="3"/>
  <c r="E20" i="3"/>
  <c r="E21" i="3"/>
  <c r="E22" i="3"/>
  <c r="E23" i="3" l="1"/>
  <c r="F15" i="3" l="1"/>
  <c r="I15" i="3" s="1"/>
  <c r="BC32" i="1" s="1"/>
  <c r="F13" i="3"/>
  <c r="I13" i="3" s="1"/>
  <c r="BC30" i="1" s="1"/>
  <c r="F21" i="3"/>
  <c r="F22" i="3"/>
  <c r="F18" i="3"/>
  <c r="I18" i="3" s="1"/>
  <c r="BC35" i="1" s="1"/>
  <c r="F17" i="3"/>
  <c r="F14" i="3"/>
  <c r="F19" i="3"/>
  <c r="I19" i="3" s="1"/>
  <c r="BC36" i="1" s="1"/>
  <c r="F16" i="3"/>
  <c r="F20" i="3"/>
  <c r="I21" i="3" l="1"/>
  <c r="BC38" i="1" s="1"/>
  <c r="F23" i="3"/>
  <c r="I17" i="3"/>
  <c r="BC34" i="1" s="1"/>
  <c r="I22" i="3"/>
  <c r="BC39" i="1" s="1"/>
  <c r="I16" i="3"/>
  <c r="BC33" i="1" s="1"/>
  <c r="I14" i="3"/>
  <c r="BC31" i="1" s="1"/>
  <c r="I20" i="3"/>
  <c r="BC37" i="1" s="1"/>
  <c r="I23" i="3" l="1"/>
  <c r="R15" i="2"/>
  <c r="R16" i="2"/>
  <c r="D45" i="1" l="1"/>
  <c r="F22" i="5" l="1"/>
  <c r="D32" i="1"/>
  <c r="D35" i="1"/>
  <c r="D38" i="1"/>
  <c r="D30" i="1"/>
  <c r="A30" i="1" s="1"/>
  <c r="D34" i="1"/>
  <c r="D39" i="1"/>
  <c r="D37" i="1"/>
  <c r="D31" i="1"/>
  <c r="A31" i="1" s="1"/>
  <c r="D33" i="1"/>
  <c r="D29" i="1"/>
  <c r="D44" i="1"/>
  <c r="E25" i="5" l="1"/>
  <c r="C8" i="3"/>
  <c r="C9" i="3" s="1"/>
  <c r="C44" i="2"/>
  <c r="A37" i="1"/>
  <c r="C40" i="2"/>
  <c r="A33" i="1"/>
  <c r="C46" i="2"/>
  <c r="A39" i="1"/>
  <c r="C41" i="2"/>
  <c r="A34" i="1"/>
  <c r="C45" i="2"/>
  <c r="A38" i="1"/>
  <c r="C42" i="2"/>
  <c r="A35" i="1"/>
  <c r="C39" i="2"/>
  <c r="A32" i="1"/>
  <c r="D36" i="1"/>
  <c r="D24" i="1"/>
  <c r="E34" i="5" s="1"/>
  <c r="C38" i="2"/>
  <c r="D59" i="1"/>
  <c r="G38" i="5" l="1"/>
  <c r="G39" i="5"/>
  <c r="G40" i="5"/>
  <c r="G37" i="5"/>
  <c r="S38" i="2"/>
  <c r="D38" i="2"/>
  <c r="H7" i="5"/>
  <c r="G15" i="3"/>
  <c r="H15" i="3" s="1"/>
  <c r="G14" i="3"/>
  <c r="H14" i="3" s="1"/>
  <c r="G21" i="3"/>
  <c r="H21" i="3" s="1"/>
  <c r="G17" i="3"/>
  <c r="H17" i="3" s="1"/>
  <c r="G22" i="3"/>
  <c r="H22" i="3" s="1"/>
  <c r="G13" i="3"/>
  <c r="G16" i="3"/>
  <c r="H16" i="3" s="1"/>
  <c r="G20" i="3"/>
  <c r="H20" i="3" s="1"/>
  <c r="G19" i="3"/>
  <c r="H19" i="3" s="1"/>
  <c r="G18" i="3"/>
  <c r="H18" i="3" s="1"/>
  <c r="D92" i="1"/>
  <c r="D137" i="1" s="1"/>
  <c r="C43" i="2"/>
  <c r="I43" i="2" s="1"/>
  <c r="A36" i="1"/>
  <c r="D27" i="1"/>
  <c r="H8" i="5" s="1"/>
  <c r="D25" i="1"/>
  <c r="D26" i="1" s="1"/>
  <c r="D91" i="1"/>
  <c r="D136" i="1" s="1"/>
  <c r="K38" i="2"/>
  <c r="I38" i="2"/>
  <c r="M38" i="2"/>
  <c r="L38" i="2"/>
  <c r="G38" i="2"/>
  <c r="J38" i="2"/>
  <c r="E38" i="2"/>
  <c r="F38" i="2"/>
  <c r="P38" i="2"/>
  <c r="Q38" i="2"/>
  <c r="H38" i="2"/>
  <c r="N38" i="2"/>
  <c r="O38" i="2"/>
  <c r="R6" i="2"/>
  <c r="R7" i="2"/>
  <c r="R8" i="2"/>
  <c r="R9" i="2"/>
  <c r="R10" i="2"/>
  <c r="R11" i="2"/>
  <c r="R12" i="2"/>
  <c r="R13" i="2"/>
  <c r="R17" i="2"/>
  <c r="R18" i="2"/>
  <c r="R19" i="2"/>
  <c r="R20" i="2"/>
  <c r="R21" i="2"/>
  <c r="R22" i="2"/>
  <c r="R23" i="2"/>
  <c r="R5" i="2"/>
  <c r="I39" i="2"/>
  <c r="K40" i="2"/>
  <c r="E41" i="2"/>
  <c r="G42" i="2"/>
  <c r="K44" i="2"/>
  <c r="E45" i="2"/>
  <c r="G46" i="2"/>
  <c r="C29" i="2"/>
  <c r="C30" i="2"/>
  <c r="E30" i="2" s="1"/>
  <c r="C31" i="2"/>
  <c r="C32" i="2"/>
  <c r="C33" i="2"/>
  <c r="J33" i="2" s="1"/>
  <c r="C34" i="2"/>
  <c r="K34" i="2" s="1"/>
  <c r="C35" i="2"/>
  <c r="C36" i="2"/>
  <c r="C28" i="2"/>
  <c r="G28" i="2" s="1"/>
  <c r="G42" i="5" l="1"/>
  <c r="G44" i="5" s="1"/>
  <c r="M32" i="2"/>
  <c r="K32" i="2"/>
  <c r="E35" i="2"/>
  <c r="G36" i="2"/>
  <c r="K29" i="2"/>
  <c r="C49" i="2"/>
  <c r="H13" i="3"/>
  <c r="H23" i="3" s="1"/>
  <c r="G23" i="3"/>
  <c r="I32" i="2"/>
  <c r="C52" i="2"/>
  <c r="R38" i="2"/>
  <c r="G31" i="2"/>
  <c r="C37" i="2"/>
  <c r="D37" i="2" s="1"/>
  <c r="F40" i="2"/>
  <c r="O39" i="2"/>
  <c r="S29" i="2"/>
  <c r="E29" i="2"/>
  <c r="E28" i="2"/>
  <c r="H41" i="2"/>
  <c r="F39" i="2"/>
  <c r="O28" i="2"/>
  <c r="I40" i="2"/>
  <c r="M42" i="2"/>
  <c r="F36" i="2"/>
  <c r="S46" i="2"/>
  <c r="Q46" i="2"/>
  <c r="L41" i="2"/>
  <c r="H39" i="2"/>
  <c r="P29" i="2"/>
  <c r="J42" i="2"/>
  <c r="N46" i="2"/>
  <c r="K41" i="2"/>
  <c r="G39" i="2"/>
  <c r="M29" i="2"/>
  <c r="L46" i="2"/>
  <c r="E46" i="2"/>
  <c r="Q40" i="2"/>
  <c r="Q36" i="2"/>
  <c r="Q42" i="2"/>
  <c r="J36" i="2"/>
  <c r="N28" i="2"/>
  <c r="N42" i="2"/>
  <c r="H40" i="2"/>
  <c r="I36" i="2"/>
  <c r="J28" i="2"/>
  <c r="M46" i="2"/>
  <c r="P43" i="2"/>
  <c r="L42" i="2"/>
  <c r="S40" i="2"/>
  <c r="P39" i="2"/>
  <c r="S36" i="2"/>
  <c r="E36" i="2"/>
  <c r="H29" i="2"/>
  <c r="O43" i="2"/>
  <c r="S34" i="2"/>
  <c r="J44" i="2"/>
  <c r="D46" i="2"/>
  <c r="J46" i="2"/>
  <c r="H43" i="2"/>
  <c r="I42" i="2"/>
  <c r="P40" i="2"/>
  <c r="N39" i="2"/>
  <c r="N36" i="2"/>
  <c r="J34" i="2"/>
  <c r="D42" i="2"/>
  <c r="I46" i="2"/>
  <c r="G43" i="2"/>
  <c r="F42" i="2"/>
  <c r="N40" i="2"/>
  <c r="L39" i="2"/>
  <c r="M36" i="2"/>
  <c r="L30" i="2"/>
  <c r="S44" i="2"/>
  <c r="D36" i="2"/>
  <c r="F46" i="2"/>
  <c r="S42" i="2"/>
  <c r="E42" i="2"/>
  <c r="J40" i="2"/>
  <c r="K39" i="2"/>
  <c r="L36" i="2"/>
  <c r="K30" i="2"/>
  <c r="L35" i="2"/>
  <c r="D35" i="2"/>
  <c r="D44" i="2"/>
  <c r="D34" i="2"/>
  <c r="S45" i="2"/>
  <c r="J45" i="2"/>
  <c r="P44" i="2"/>
  <c r="H44" i="2"/>
  <c r="N43" i="2"/>
  <c r="F43" i="2"/>
  <c r="S41" i="2"/>
  <c r="J41" i="2"/>
  <c r="S35" i="2"/>
  <c r="J35" i="2"/>
  <c r="P34" i="2"/>
  <c r="H34" i="2"/>
  <c r="M28" i="2"/>
  <c r="D43" i="2"/>
  <c r="D33" i="2"/>
  <c r="K46" i="2"/>
  <c r="Q45" i="2"/>
  <c r="I45" i="2"/>
  <c r="O44" i="2"/>
  <c r="G44" i="2"/>
  <c r="M43" i="2"/>
  <c r="E43" i="2"/>
  <c r="K42" i="2"/>
  <c r="Q41" i="2"/>
  <c r="I41" i="2"/>
  <c r="O40" i="2"/>
  <c r="G40" i="2"/>
  <c r="M39" i="2"/>
  <c r="E39" i="2"/>
  <c r="K36" i="2"/>
  <c r="Q35" i="2"/>
  <c r="I35" i="2"/>
  <c r="O34" i="2"/>
  <c r="G34" i="2"/>
  <c r="Q29" i="2"/>
  <c r="L45" i="2"/>
  <c r="Q44" i="2"/>
  <c r="I44" i="2"/>
  <c r="K35" i="2"/>
  <c r="I34" i="2"/>
  <c r="P45" i="2"/>
  <c r="N44" i="2"/>
  <c r="F44" i="2"/>
  <c r="L43" i="2"/>
  <c r="P41" i="2"/>
  <c r="P35" i="2"/>
  <c r="N34" i="2"/>
  <c r="O45" i="2"/>
  <c r="M44" i="2"/>
  <c r="K43" i="2"/>
  <c r="G41" i="2"/>
  <c r="E40" i="2"/>
  <c r="G35" i="2"/>
  <c r="E34" i="2"/>
  <c r="F28" i="2"/>
  <c r="D40" i="2"/>
  <c r="P46" i="2"/>
  <c r="H46" i="2"/>
  <c r="N45" i="2"/>
  <c r="F45" i="2"/>
  <c r="L44" i="2"/>
  <c r="S43" i="2"/>
  <c r="J43" i="2"/>
  <c r="P42" i="2"/>
  <c r="H42" i="2"/>
  <c r="N41" i="2"/>
  <c r="F41" i="2"/>
  <c r="L40" i="2"/>
  <c r="S39" i="2"/>
  <c r="J39" i="2"/>
  <c r="P36" i="2"/>
  <c r="H36" i="2"/>
  <c r="N35" i="2"/>
  <c r="F35" i="2"/>
  <c r="L34" i="2"/>
  <c r="N31" i="2"/>
  <c r="J29" i="2"/>
  <c r="D45" i="2"/>
  <c r="K45" i="2"/>
  <c r="Q34" i="2"/>
  <c r="H45" i="2"/>
  <c r="H35" i="2"/>
  <c r="F34" i="2"/>
  <c r="D41" i="2"/>
  <c r="G45" i="2"/>
  <c r="E44" i="2"/>
  <c r="O41" i="2"/>
  <c r="M40" i="2"/>
  <c r="O35" i="2"/>
  <c r="M34" i="2"/>
  <c r="D39" i="2"/>
  <c r="O46" i="2"/>
  <c r="M45" i="2"/>
  <c r="Q43" i="2"/>
  <c r="O42" i="2"/>
  <c r="M41" i="2"/>
  <c r="Q39" i="2"/>
  <c r="O36" i="2"/>
  <c r="M35" i="2"/>
  <c r="F31" i="2"/>
  <c r="I29" i="2"/>
  <c r="E33" i="2"/>
  <c r="Q33" i="2"/>
  <c r="I33" i="2"/>
  <c r="P33" i="2"/>
  <c r="H33" i="2"/>
  <c r="O33" i="2"/>
  <c r="G33" i="2"/>
  <c r="N33" i="2"/>
  <c r="F33" i="2"/>
  <c r="K33" i="2"/>
  <c r="M33" i="2"/>
  <c r="L33" i="2"/>
  <c r="S33" i="2"/>
  <c r="H32" i="2"/>
  <c r="E31" i="2"/>
  <c r="L28" i="2"/>
  <c r="H28" i="2"/>
  <c r="E32" i="2"/>
  <c r="K31" i="2"/>
  <c r="Q30" i="2"/>
  <c r="I30" i="2"/>
  <c r="O29" i="2"/>
  <c r="G29" i="2"/>
  <c r="P32" i="2"/>
  <c r="G32" i="2"/>
  <c r="M31" i="2"/>
  <c r="N32" i="2"/>
  <c r="F32" i="2"/>
  <c r="L31" i="2"/>
  <c r="S30" i="2"/>
  <c r="J30" i="2"/>
  <c r="K28" i="2"/>
  <c r="Q28" i="2"/>
  <c r="D32" i="2"/>
  <c r="L32" i="2"/>
  <c r="S31" i="2"/>
  <c r="J31" i="2"/>
  <c r="P30" i="2"/>
  <c r="H30" i="2"/>
  <c r="N29" i="2"/>
  <c r="F29" i="2"/>
  <c r="D31" i="2"/>
  <c r="Q31" i="2"/>
  <c r="I28" i="2"/>
  <c r="S28" i="2"/>
  <c r="D30" i="2"/>
  <c r="S32" i="2"/>
  <c r="J32" i="2"/>
  <c r="P31" i="2"/>
  <c r="H31" i="2"/>
  <c r="N30" i="2"/>
  <c r="F30" i="2"/>
  <c r="L29" i="2"/>
  <c r="O32" i="2"/>
  <c r="I31" i="2"/>
  <c r="O30" i="2"/>
  <c r="G30" i="2"/>
  <c r="P28" i="2"/>
  <c r="D28" i="2"/>
  <c r="D29" i="2"/>
  <c r="Q32" i="2"/>
  <c r="O31" i="2"/>
  <c r="M30" i="2"/>
  <c r="N52" i="2" l="1"/>
  <c r="D47" i="1" s="1"/>
  <c r="N53" i="2"/>
  <c r="M52" i="2"/>
  <c r="O52" i="2"/>
  <c r="D49" i="1" s="1"/>
  <c r="C78" i="2"/>
  <c r="E78" i="2" s="1"/>
  <c r="C77" i="2"/>
  <c r="E77" i="2" s="1"/>
  <c r="P52" i="2"/>
  <c r="C48" i="2"/>
  <c r="R39" i="2"/>
  <c r="M37" i="2"/>
  <c r="S37" i="2"/>
  <c r="S48" i="2" s="1"/>
  <c r="O37" i="2"/>
  <c r="O48" i="2" s="1"/>
  <c r="F37" i="2"/>
  <c r="F48" i="2" s="1"/>
  <c r="G37" i="2"/>
  <c r="G48" i="2" s="1"/>
  <c r="N37" i="2"/>
  <c r="N48" i="2" s="1"/>
  <c r="L37" i="2"/>
  <c r="L48" i="2" s="1"/>
  <c r="H37" i="2"/>
  <c r="H48" i="2" s="1"/>
  <c r="K37" i="2"/>
  <c r="K48" i="2" s="1"/>
  <c r="P37" i="2"/>
  <c r="P48" i="2" s="1"/>
  <c r="D48" i="2"/>
  <c r="I37" i="2"/>
  <c r="I48" i="2" s="1"/>
  <c r="E37" i="2"/>
  <c r="Q37" i="2"/>
  <c r="Q48" i="2" s="1"/>
  <c r="J37" i="2"/>
  <c r="J48" i="2" s="1"/>
  <c r="R42" i="2"/>
  <c r="R36" i="2"/>
  <c r="R46" i="2"/>
  <c r="R35" i="2"/>
  <c r="R40" i="2"/>
  <c r="R45" i="2"/>
  <c r="R34" i="2"/>
  <c r="R44" i="2"/>
  <c r="R43" i="2"/>
  <c r="R33" i="2"/>
  <c r="R41" i="2"/>
  <c r="R29" i="2"/>
  <c r="R28" i="2"/>
  <c r="R31" i="2"/>
  <c r="R32" i="2"/>
  <c r="R30" i="2"/>
  <c r="D99" i="1"/>
  <c r="D144" i="1" s="1"/>
  <c r="D86" i="1"/>
  <c r="D131" i="1" s="1"/>
  <c r="D88" i="1"/>
  <c r="D133" i="1" s="1"/>
  <c r="D98" i="1"/>
  <c r="D143" i="1" s="1"/>
  <c r="D85" i="1"/>
  <c r="D130" i="1" s="1"/>
  <c r="D97" i="1"/>
  <c r="D142" i="1" s="1"/>
  <c r="D84" i="1"/>
  <c r="D129" i="1" s="1"/>
  <c r="D96" i="1"/>
  <c r="D141" i="1" s="1"/>
  <c r="D83" i="1"/>
  <c r="D128" i="1" s="1"/>
  <c r="D95" i="1"/>
  <c r="D140" i="1" s="1"/>
  <c r="D82" i="1"/>
  <c r="D127" i="1" s="1"/>
  <c r="D94" i="1"/>
  <c r="D139" i="1" s="1"/>
  <c r="D81" i="1"/>
  <c r="U82" i="2" s="1"/>
  <c r="D89" i="1"/>
  <c r="D134" i="1" s="1"/>
  <c r="D87" i="1"/>
  <c r="D132" i="1" s="1"/>
  <c r="D93" i="1"/>
  <c r="D138" i="1" s="1"/>
  <c r="D90" i="1"/>
  <c r="D135" i="1" s="1"/>
  <c r="U83" i="2" l="1"/>
  <c r="U84" i="2"/>
  <c r="CW81" i="1"/>
  <c r="D126" i="1"/>
  <c r="D145" i="1" s="1"/>
  <c r="D146" i="1" s="1"/>
  <c r="D48" i="1"/>
  <c r="CW48" i="1" s="1"/>
  <c r="D100" i="1"/>
  <c r="D101" i="1" s="1"/>
  <c r="M48" i="2"/>
  <c r="R37" i="2"/>
  <c r="R48" i="2" s="1"/>
  <c r="E48" i="2"/>
  <c r="S49" i="2"/>
  <c r="D63" i="1" s="1"/>
  <c r="CW63" i="1" s="1"/>
  <c r="E51" i="2" l="1"/>
  <c r="D51" i="2"/>
  <c r="D55" i="2" s="1"/>
  <c r="D67" i="2" s="1"/>
  <c r="R72" i="2"/>
  <c r="P51" i="2"/>
  <c r="I51" i="2"/>
  <c r="I55" i="2" s="1"/>
  <c r="G51" i="2"/>
  <c r="D58" i="1" s="1"/>
  <c r="H51" i="2"/>
  <c r="M51" i="2"/>
  <c r="K51" i="2"/>
  <c r="D56" i="1" s="1"/>
  <c r="N51" i="2"/>
  <c r="L51" i="2"/>
  <c r="O51" i="2"/>
  <c r="F51" i="2"/>
  <c r="J51" i="2"/>
  <c r="J55" i="2" s="1"/>
  <c r="D77" i="1" l="1"/>
  <c r="D78" i="1" s="1"/>
  <c r="D61" i="1"/>
  <c r="D60" i="1"/>
  <c r="CW60" i="1" s="1"/>
  <c r="CY60" i="1" s="1"/>
  <c r="H55" i="2"/>
  <c r="H70" i="2" s="1"/>
  <c r="D54" i="1"/>
  <c r="CW54" i="1" s="1"/>
  <c r="CY54" i="1" s="1"/>
  <c r="D55" i="1"/>
  <c r="D60" i="2"/>
  <c r="D51" i="1"/>
  <c r="I70" i="2"/>
  <c r="I71" i="2"/>
  <c r="D71" i="2"/>
  <c r="D70" i="2"/>
  <c r="J64" i="2"/>
  <c r="J67" i="2"/>
  <c r="J65" i="2"/>
  <c r="J66" i="2"/>
  <c r="J63" i="2"/>
  <c r="J60" i="2"/>
  <c r="J62" i="2"/>
  <c r="D53" i="1"/>
  <c r="CW53" i="1" s="1"/>
  <c r="F55" i="2"/>
  <c r="D52" i="1"/>
  <c r="CW52" i="1" s="1"/>
  <c r="E55" i="2"/>
  <c r="D57" i="1"/>
  <c r="L55" i="2"/>
  <c r="I64" i="2"/>
  <c r="I65" i="2"/>
  <c r="I67" i="2"/>
  <c r="I63" i="2"/>
  <c r="I66" i="2"/>
  <c r="I62" i="2"/>
  <c r="I60" i="2"/>
  <c r="CW56" i="1"/>
  <c r="CY56" i="1" s="1"/>
  <c r="K55" i="2"/>
  <c r="C51" i="2"/>
  <c r="CY52" i="1" l="1"/>
  <c r="CY53" i="1"/>
  <c r="H65" i="2"/>
  <c r="H71" i="2"/>
  <c r="H60" i="2"/>
  <c r="H63" i="2"/>
  <c r="H64" i="2"/>
  <c r="H62" i="2"/>
  <c r="H66" i="2"/>
  <c r="H67" i="2"/>
  <c r="F71" i="2"/>
  <c r="F70" i="2"/>
  <c r="K71" i="2"/>
  <c r="K70" i="2"/>
  <c r="L71" i="2"/>
  <c r="L70" i="2"/>
  <c r="E71" i="2"/>
  <c r="E70" i="2"/>
  <c r="E67" i="2"/>
  <c r="E64" i="2"/>
  <c r="E63" i="2"/>
  <c r="E66" i="2"/>
  <c r="E65" i="2"/>
  <c r="E60" i="2"/>
  <c r="E62" i="2"/>
  <c r="K65" i="2"/>
  <c r="K64" i="2"/>
  <c r="K63" i="2"/>
  <c r="K67" i="2"/>
  <c r="K66" i="2"/>
  <c r="K60" i="2"/>
  <c r="K62" i="2"/>
  <c r="L65" i="2"/>
  <c r="L64" i="2"/>
  <c r="L67" i="2"/>
  <c r="L66" i="2"/>
  <c r="L63" i="2"/>
  <c r="L62" i="2"/>
  <c r="L60" i="2"/>
  <c r="F63" i="2"/>
  <c r="F64" i="2"/>
  <c r="F60" i="2"/>
  <c r="R62" i="2" l="1"/>
  <c r="D67" i="1" s="1"/>
  <c r="R71" i="2"/>
  <c r="D76" i="1" s="1"/>
  <c r="R70" i="2"/>
  <c r="D75" i="1" s="1"/>
  <c r="R66" i="2"/>
  <c r="D71" i="1" s="1"/>
  <c r="R60" i="2"/>
  <c r="R65" i="2"/>
  <c r="D70" i="1" s="1"/>
  <c r="R64" i="2"/>
  <c r="D69" i="1" s="1"/>
  <c r="R63" i="2"/>
  <c r="R67" i="2"/>
  <c r="D72" i="1" s="1"/>
  <c r="D68" i="1" l="1"/>
  <c r="CW68" i="1" s="1"/>
  <c r="D66" i="1"/>
  <c r="CW66" i="1" s="1"/>
  <c r="R68" i="2"/>
  <c r="D73" i="1" s="1"/>
  <c r="R69" i="2"/>
  <c r="D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Serafini, Andrea Yanina</author>
  </authors>
  <commentList>
    <comment ref="P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Serafini, Andrea Yanina:</t>
        </r>
        <r>
          <rPr>
            <sz val="9"/>
            <color indexed="81"/>
            <rFont val="Tahoma"/>
            <family val="2"/>
          </rPr>
          <t xml:space="preserve">
se envio solo 3 bacth y luego vidrio solo. Desde las </t>
        </r>
      </text>
    </comment>
    <comment ref="C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Serafini, Andrea Yanina:</t>
        </r>
        <r>
          <rPr>
            <sz val="9"/>
            <color indexed="81"/>
            <rFont val="Tahoma"/>
            <family val="2"/>
          </rPr>
          <t xml:space="preserve">
ideal 14 a 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Serafini, Andrea Yanina</author>
  </authors>
  <commentList>
    <comment ref="M5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Serafini, Andrea Yanina:</t>
        </r>
        <r>
          <rPr>
            <sz val="9"/>
            <color indexed="81"/>
            <rFont val="Tahoma"/>
            <family val="2"/>
          </rPr>
          <t xml:space="preserve">
por vidrio obtenido
</t>
        </r>
      </text>
    </comment>
    <comment ref="P5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Serafini, Andrea Yanina:</t>
        </r>
        <r>
          <rPr>
            <sz val="9"/>
            <color indexed="81"/>
            <rFont val="Tahoma"/>
            <family val="2"/>
          </rPr>
          <t xml:space="preserve">
SO3/ batch </t>
        </r>
      </text>
    </comment>
  </commentList>
</comments>
</file>

<file path=xl/sharedStrings.xml><?xml version="1.0" encoding="utf-8"?>
<sst xmlns="http://schemas.openxmlformats.org/spreadsheetml/2006/main" count="786" uniqueCount="349">
  <si>
    <t>E30</t>
  </si>
  <si>
    <t>E30-1</t>
  </si>
  <si>
    <t>Ajuste por color +100gr de carbon</t>
  </si>
  <si>
    <t>Big Batch max 600kg. 50% CULLET</t>
  </si>
  <si>
    <t>Big Batch max 600kg. 40% CULLET</t>
  </si>
  <si>
    <t>Ajuste de formula. Reducción sulfato por presencia de espuma</t>
  </si>
  <si>
    <t>Ajuste de formula. Sin sulfato y sin carbon. Por presencia de espuma</t>
  </si>
  <si>
    <t>Ajuste de formula. Ingresa +2kg sulfato y +0,1 carbon</t>
  </si>
  <si>
    <t>Ajuste de formula. Ingresa 1,45gr cobalto</t>
  </si>
  <si>
    <t>Ajuste por color. Se reduce selenio y aumenta cobalto</t>
  </si>
  <si>
    <t>Ajuste por color. Se aumenta sulfato</t>
  </si>
  <si>
    <t>Ajuste por color. Se aumenta reduce selenio</t>
  </si>
  <si>
    <t>Ajuste por presencia de espuma. Aumento de cullet a 60%. Sin sulfato ni carbon</t>
  </si>
  <si>
    <t>Ajuste por presencia de espuma. Aumento de cullet a 50%. Menos Sulfato (-20%) sin carbon. Pesaje manual de sulfato</t>
  </si>
  <si>
    <t>Ajuste por descarte por burbujas. Ingresa sulfato y carbon</t>
  </si>
  <si>
    <t>100% propio. Relacion sulfato/carbon</t>
  </si>
  <si>
    <t>ajuste de formula. -5kg de soda, - 5kg caliza; +100gr sulfato</t>
  </si>
  <si>
    <t>ajuste de formula. +100gr sulfato; -1,5gr selenio</t>
  </si>
  <si>
    <t>ajuste de formula. +400gr sulfato. Sin carbon</t>
  </si>
  <si>
    <t>ajuste por color. -2gr selenio</t>
  </si>
  <si>
    <t>ajuste por color. -2gr selenio. -3kg feldespato</t>
  </si>
  <si>
    <t>Ajuste por AQ. Viscosidad fuera de ET</t>
  </si>
  <si>
    <t>Ajuste por color. Se reduce 2gr de selenio</t>
  </si>
  <si>
    <t>Ajuste por AQ. Aumentar soda y arena</t>
  </si>
  <si>
    <t>Ajuste por color. -1gr de selenio</t>
  </si>
  <si>
    <t>Ajuste por AQ -2kg de soda</t>
  </si>
  <si>
    <t>Ajuste por color. -1,5gr de selenio</t>
  </si>
  <si>
    <t>Aumento de cullet a 55%</t>
  </si>
  <si>
    <t>Ajuste por color, aumento de selenio. +Ajuste por AQ -2kg de soda</t>
  </si>
  <si>
    <t>Ajuste por color, reducción de selenio. +Ajuste por AQ +2kg de soda</t>
  </si>
  <si>
    <t>Ingreso arena importada 50%</t>
  </si>
  <si>
    <t>Ingreso arena importada 50%. Ajuste por cambio de bolsa de feldespato</t>
  </si>
  <si>
    <t>Ingreso vidrio externo</t>
  </si>
  <si>
    <t>Aumento proorción de arena importada 2:1. Reducción de cullet a 50%</t>
  </si>
  <si>
    <t>Aumento vidrio externo a 25%</t>
  </si>
  <si>
    <t>Ajuste de selenio por coloracion amarillenta</t>
  </si>
  <si>
    <t>Ingreso 100% Silitex</t>
  </si>
  <si>
    <t>Ajuste de color. Aumento de selenio</t>
  </si>
  <si>
    <t>Reducción de cullet a 45%</t>
  </si>
  <si>
    <t>Aumento de vidrio externo</t>
  </si>
  <si>
    <t>Ajueste por color. Aumento de selenio</t>
  </si>
  <si>
    <t>Ajuste por AQ. Baja +2kg de feldespato</t>
  </si>
  <si>
    <t>Actualizacion de fuente</t>
  </si>
  <si>
    <t>Ingreso de carbon</t>
  </si>
  <si>
    <t>Aumento de carbon</t>
  </si>
  <si>
    <t>Aumento de Selenio.</t>
  </si>
  <si>
    <t>Disminuciòn  de Soda -2 kg.</t>
  </si>
  <si>
    <t>Cambio en proporción de arena</t>
  </si>
  <si>
    <t>Ajuste de carbon</t>
  </si>
  <si>
    <t>Cambio de proporción de vidrio. Aumento de producción</t>
  </si>
  <si>
    <t>Ajuste de carbon por color fuera de ET</t>
  </si>
  <si>
    <t>Aumento de carbon - Etapa previa CC</t>
  </si>
  <si>
    <t>Cambio de color step 1.</t>
  </si>
  <si>
    <t>Cambio de color step 1-2. baja cullet a 35% por espuma</t>
  </si>
  <si>
    <t>Cambio de color step 1-3. baja cullet a 35% por espuma</t>
  </si>
  <si>
    <t>Cambio de color step 2-a</t>
  </si>
  <si>
    <t>Cambio de color step 2-b</t>
  </si>
  <si>
    <t>Cambio de color step 3</t>
  </si>
  <si>
    <t>Actualizacion planilla fuente</t>
  </si>
  <si>
    <t>Aumento de cullet a 45% or aumento de espuma</t>
  </si>
  <si>
    <t>Aumento de cullet a 45% + carbon. por aumento de espuma</t>
  </si>
  <si>
    <t>ajuste de hematita, por color oscuro</t>
  </si>
  <si>
    <t>ajuste, por color oscuro</t>
  </si>
  <si>
    <t>Ajuste de sulfato -200gr</t>
  </si>
  <si>
    <t>Ajuste por espuma. +100gr de carbon; -200gr sulfato; -0,5gr hematita</t>
  </si>
  <si>
    <t>Ajuste +50gr de carbon; -200gr sulfato; -0,5gr hematita</t>
  </si>
  <si>
    <t>Ajuste +2kg de soda. Se mantiene en el limite inferior</t>
  </si>
  <si>
    <t>Ajuste -100gr de sulfato</t>
  </si>
  <si>
    <t>Aumento de cullet a 50%</t>
  </si>
  <si>
    <t>Ajuste de soda +2kg</t>
  </si>
  <si>
    <t>aumento de cullet de 50 a 55%</t>
  </si>
  <si>
    <t>actualizacón de fuente. Ajuste de hematita</t>
  </si>
  <si>
    <t>Aumento de cullet 60%</t>
  </si>
  <si>
    <t>Ajuste por color. +200gr de carbon</t>
  </si>
  <si>
    <t>Ajuste por color. +200gr de sulfato</t>
  </si>
  <si>
    <t>Ajuste por color. +100gr de Hematita</t>
  </si>
  <si>
    <t>Ajuste por color. +150gr de carbon</t>
  </si>
  <si>
    <t>Ajuste por color. +200gr de carbon y sulfato</t>
  </si>
  <si>
    <t>Ajuste por color.</t>
  </si>
  <si>
    <t xml:space="preserve">Cambio de proporción de vidrio. Aumento de vidrio externo </t>
  </si>
  <si>
    <t>ajuste por color. +200gr sulfato; -150gr de carbon</t>
  </si>
  <si>
    <t>ajuste por color. +200gr sulfato; -200gr de carbon</t>
  </si>
  <si>
    <t>ajuste por color. -200gr de hematita</t>
  </si>
  <si>
    <t>ajuste por color. -100gr de Carbon</t>
  </si>
  <si>
    <t>Actualizacion de planilla fuente</t>
  </si>
  <si>
    <t>Ajuste por color +50gr de carbon</t>
  </si>
  <si>
    <t>4/4/2025 - 05:00hs</t>
  </si>
  <si>
    <t>21:00hs</t>
  </si>
  <si>
    <t>11:50hs</t>
  </si>
  <si>
    <t>22:32hs</t>
  </si>
  <si>
    <t>20:40hs</t>
  </si>
  <si>
    <t>10:00hs</t>
  </si>
  <si>
    <t>10:10hs</t>
  </si>
  <si>
    <t>12:55hs</t>
  </si>
  <si>
    <t>16:00hs</t>
  </si>
  <si>
    <t>CULLET</t>
  </si>
  <si>
    <t>para  inventario</t>
  </si>
  <si>
    <t>Materias Primas</t>
  </si>
  <si>
    <t>diferencia</t>
  </si>
  <si>
    <t>ppm</t>
  </si>
  <si>
    <t>obj merma</t>
  </si>
  <si>
    <t>merma, kg</t>
  </si>
  <si>
    <t>receta+merma</t>
  </si>
  <si>
    <t>Kg</t>
  </si>
  <si>
    <t xml:space="preserve">Arena </t>
  </si>
  <si>
    <t>Soda Solvay</t>
  </si>
  <si>
    <t>Caliza</t>
  </si>
  <si>
    <t>Feldespato</t>
  </si>
  <si>
    <t>Sulfato de Sodio</t>
  </si>
  <si>
    <t>Carbon Mineral</t>
  </si>
  <si>
    <t>Hematita</t>
  </si>
  <si>
    <t>Selenio</t>
  </si>
  <si>
    <t>Cobalto</t>
  </si>
  <si>
    <t>Peso de batch</t>
  </si>
  <si>
    <t>Peso de Vidrio</t>
  </si>
  <si>
    <t>%</t>
  </si>
  <si>
    <t xml:space="preserve">Perdidas por fusion </t>
  </si>
  <si>
    <t>Peso batch-perdidas por fusion</t>
  </si>
  <si>
    <t>Extracción (kg/dia)</t>
  </si>
  <si>
    <t>h</t>
  </si>
  <si>
    <t>Horas Trabajados</t>
  </si>
  <si>
    <t>uni</t>
  </si>
  <si>
    <t>Batch por dia</t>
  </si>
  <si>
    <t>Ciclos por hora</t>
  </si>
  <si>
    <t>min</t>
  </si>
  <si>
    <t>minutos por ciclo</t>
  </si>
  <si>
    <t>Batch por turno</t>
  </si>
  <si>
    <t>Cullet</t>
  </si>
  <si>
    <t>Flint Propio</t>
  </si>
  <si>
    <t>Flint Externo</t>
  </si>
  <si>
    <t>Flint Externo2</t>
  </si>
  <si>
    <t>Ambar propio</t>
  </si>
  <si>
    <t>Curuvica ambar</t>
  </si>
  <si>
    <t>Ambar local</t>
  </si>
  <si>
    <t>Ambar Import 1</t>
  </si>
  <si>
    <t>Ambar Import 2</t>
  </si>
  <si>
    <t>Ambar Import 3</t>
  </si>
  <si>
    <t>Verde</t>
  </si>
  <si>
    <t>#</t>
  </si>
  <si>
    <t>Redox por sulfato</t>
  </si>
  <si>
    <t>Redoxpor carbon</t>
  </si>
  <si>
    <t>redox (relacion sulfato/carbon)</t>
  </si>
  <si>
    <t>Sulfato/Batch</t>
  </si>
  <si>
    <t>Sulfato/Arena</t>
  </si>
  <si>
    <t>Carbon/Hematita</t>
  </si>
  <si>
    <t>Sulfato/Carbon</t>
  </si>
  <si>
    <t>Sulfato introducido</t>
  </si>
  <si>
    <t>Carbon introducido</t>
  </si>
  <si>
    <t>ET</t>
  </si>
  <si>
    <t>Oxidos Teoricos</t>
  </si>
  <si>
    <t>Actual</t>
  </si>
  <si>
    <t>Proyección</t>
  </si>
  <si>
    <t xml:space="preserve">% SiO2 </t>
  </si>
  <si>
    <t xml:space="preserve">% Al2O3 </t>
  </si>
  <si>
    <t xml:space="preserve">% Fe2O3 </t>
  </si>
  <si>
    <t xml:space="preserve">% CaO </t>
  </si>
  <si>
    <t xml:space="preserve">% MgO </t>
  </si>
  <si>
    <t xml:space="preserve">% Na2O </t>
  </si>
  <si>
    <t xml:space="preserve">% K2O </t>
  </si>
  <si>
    <t xml:space="preserve">% Cr2O3 </t>
  </si>
  <si>
    <t xml:space="preserve">% Co2O3 / Se° </t>
  </si>
  <si>
    <t xml:space="preserve">% SO3 </t>
  </si>
  <si>
    <t xml:space="preserve">% TiO2 </t>
  </si>
  <si>
    <t>Redox</t>
  </si>
  <si>
    <t>Propiedades Físicas teoricas</t>
  </si>
  <si>
    <t>gr/cm3</t>
  </si>
  <si>
    <t xml:space="preserve">  DENSIDAD VIDRIO            (GM/CC)</t>
  </si>
  <si>
    <t>°C</t>
  </si>
  <si>
    <t xml:space="preserve">  TEMP. FUSION           (LOG 2)</t>
  </si>
  <si>
    <t xml:space="preserve">  TEMP. GOTA             (LOG 3)</t>
  </si>
  <si>
    <t xml:space="preserve">  TEMP. ABLANDAMIENTO      (LOG 7.65)</t>
  </si>
  <si>
    <t xml:space="preserve">  TEMP. CONVEYOR  (LOG 10)</t>
  </si>
  <si>
    <t xml:space="preserve">  TEMP. RECOCIDO     (LOG 13.37)</t>
  </si>
  <si>
    <t xml:space="preserve">  COEF.EXPANSION TERMICA      ( X 10 -7)</t>
  </si>
  <si>
    <t xml:space="preserve">  WRI - IND.RANGO DE TRABAJO   (S-A)</t>
  </si>
  <si>
    <t xml:space="preserve">  RMS - VEL.RELATIVA DE MAQUINA  (%)</t>
  </si>
  <si>
    <t>s</t>
  </si>
  <si>
    <t xml:space="preserve">  TIEMPO DE ENFRIAMIENTO    (sec.)</t>
  </si>
  <si>
    <t xml:space="preserve">  TEMP. LIQUIDA           (deg. C.)</t>
  </si>
  <si>
    <t>Perdidas por Fusion</t>
  </si>
  <si>
    <t>Variacion Perdidas por Fusion</t>
  </si>
  <si>
    <t>Volumen diario</t>
  </si>
  <si>
    <t>cap silo</t>
  </si>
  <si>
    <t>TN</t>
  </si>
  <si>
    <t>TM</t>
  </si>
  <si>
    <t>TT</t>
  </si>
  <si>
    <t>Curuvica Flint</t>
  </si>
  <si>
    <t>SAP</t>
  </si>
  <si>
    <t>USD</t>
  </si>
  <si>
    <t>Costo batch</t>
  </si>
  <si>
    <t>USD/ton</t>
  </si>
  <si>
    <t>USD/Ton Ext</t>
  </si>
  <si>
    <t>RECETA PARA SCADA</t>
  </si>
  <si>
    <t>Código</t>
  </si>
  <si>
    <t>PL CC 13</t>
  </si>
  <si>
    <t>Revisión</t>
  </si>
  <si>
    <t>Fecha</t>
  </si>
  <si>
    <t>Página</t>
  </si>
  <si>
    <t xml:space="preserve">FECHA DE EJECUCION: </t>
  </si>
  <si>
    <t xml:space="preserve">HORA INGRESO A SILO: </t>
  </si>
  <si>
    <t>EXTRACCION DIARIA:</t>
  </si>
  <si>
    <t>CICLOS DIARIOS:</t>
  </si>
  <si>
    <t>CICLOS POR TURNO:</t>
  </si>
  <si>
    <t>Silo</t>
  </si>
  <si>
    <t>SCADA (kg)</t>
  </si>
  <si>
    <t>Arena</t>
  </si>
  <si>
    <t>LIMITE BALANZA 02</t>
  </si>
  <si>
    <t>Silo 1</t>
  </si>
  <si>
    <t>REAL</t>
  </si>
  <si>
    <t>LIMITE</t>
  </si>
  <si>
    <t>Silo 4</t>
  </si>
  <si>
    <t>silo 2 y 3</t>
  </si>
  <si>
    <t>LIMITE MIXER</t>
  </si>
  <si>
    <t>silo 8</t>
  </si>
  <si>
    <t>Manual</t>
  </si>
  <si>
    <t>Pre Mix</t>
  </si>
  <si>
    <t>RD 05</t>
  </si>
  <si>
    <t>BAL 5</t>
  </si>
  <si>
    <t>Humedad Arena</t>
  </si>
  <si>
    <t>Relación Cullet</t>
  </si>
  <si>
    <t>PRE MEZCLA</t>
  </si>
  <si>
    <t>Duracion de la etapa(h)</t>
  </si>
  <si>
    <t>Peso de Pre MIX (kg/ kg composición)</t>
  </si>
  <si>
    <t>Cap Mezclador Pre Mix</t>
  </si>
  <si>
    <t>Cálculo de PRE MIX</t>
  </si>
  <si>
    <t>Numero de composiciones</t>
  </si>
  <si>
    <t>MATERIAL</t>
  </si>
  <si>
    <t>Peso Componente</t>
  </si>
  <si>
    <t>Peso Mezclador</t>
  </si>
  <si>
    <t>Peso día</t>
  </si>
  <si>
    <t>EN GRAMOS</t>
  </si>
  <si>
    <t>kg</t>
  </si>
  <si>
    <t>por ciclo (gr)</t>
  </si>
  <si>
    <t>Por PRE MIX (gr)</t>
  </si>
  <si>
    <t>Arena (kg)</t>
  </si>
  <si>
    <t>Hematita (kg)</t>
  </si>
  <si>
    <t>Selenio (kg)</t>
  </si>
  <si>
    <t>Carbon (kg)</t>
  </si>
  <si>
    <t>TOTAL</t>
  </si>
  <si>
    <t>PRE MIX POR DÍA</t>
  </si>
  <si>
    <t xml:space="preserve">Preparó formula: </t>
  </si>
  <si>
    <t xml:space="preserve">Nivel del silo: </t>
  </si>
  <si>
    <t xml:space="preserve">Revisó: </t>
  </si>
  <si>
    <t>Numero de ciclo:</t>
  </si>
  <si>
    <t>Ejecutó:</t>
  </si>
  <si>
    <t>CÁLCULO DE PORPORCIÓN DE VIDRIO</t>
  </si>
  <si>
    <t>EXTRACCIÓN</t>
  </si>
  <si>
    <t>RELACIÓN</t>
  </si>
  <si>
    <t>KG VIDRIO ROTO</t>
  </si>
  <si>
    <t>Proporcion de Vidrio</t>
  </si>
  <si>
    <t>Paladas</t>
  </si>
  <si>
    <t>Peso x palada</t>
  </si>
  <si>
    <t>Peso M1</t>
  </si>
  <si>
    <t>% en M1</t>
  </si>
  <si>
    <t>Ton/dia</t>
  </si>
  <si>
    <t>Consumo por semana</t>
  </si>
  <si>
    <t>MIX</t>
  </si>
  <si>
    <t>Cristalino Externo</t>
  </si>
  <si>
    <t>Ambar local_ CP</t>
  </si>
  <si>
    <t>COLORIMETRIA A 10mm</t>
  </si>
  <si>
    <t>BASE</t>
  </si>
  <si>
    <t>PROYECCIÓN</t>
  </si>
  <si>
    <t>ELEMENTO</t>
  </si>
  <si>
    <t>L</t>
  </si>
  <si>
    <t>a</t>
  </si>
  <si>
    <t>b</t>
  </si>
  <si>
    <t>ajuste</t>
  </si>
  <si>
    <t>´+1 ppm Cobalto</t>
  </si>
  <si>
    <t>Constantes para relación de cullet</t>
  </si>
  <si>
    <t>´+1 ppm Selenio</t>
  </si>
  <si>
    <t>´+100 ppm Fe2O3</t>
  </si>
  <si>
    <t>´+10 ppm Cr2O3</t>
  </si>
  <si>
    <t>´+10% redox (hierro 500ppm)</t>
  </si>
  <si>
    <t>OXIDOS REALES DE MATERIAS PRIMAS</t>
  </si>
  <si>
    <t>Se /</t>
  </si>
  <si>
    <t>SiO2</t>
  </si>
  <si>
    <t>Al2O3</t>
  </si>
  <si>
    <t>Fe2O3</t>
  </si>
  <si>
    <t>Cr2O3</t>
  </si>
  <si>
    <t>CaO</t>
  </si>
  <si>
    <t>MgO</t>
  </si>
  <si>
    <t>BaO</t>
  </si>
  <si>
    <t>Na2O</t>
  </si>
  <si>
    <t>K2O</t>
  </si>
  <si>
    <t>SO3</t>
  </si>
  <si>
    <t>S--</t>
  </si>
  <si>
    <t>C</t>
  </si>
  <si>
    <t>TiO2</t>
  </si>
  <si>
    <t>Co2O3</t>
  </si>
  <si>
    <t>Yield</t>
  </si>
  <si>
    <t>REDOX</t>
  </si>
  <si>
    <t>CALCULO DE OXIDOS TEORICOS</t>
  </si>
  <si>
    <t>SUM</t>
  </si>
  <si>
    <t>REDOX RESULTANTE</t>
  </si>
  <si>
    <t>OXIDO RESULTANTE</t>
  </si>
  <si>
    <t>Peso de vidrio resultante</t>
  </si>
  <si>
    <t>OXIDO ESTANDAR</t>
  </si>
  <si>
    <t>%VARIACION</t>
  </si>
  <si>
    <t>PROPIEDADES FISICAS. PROPIEDADES DE LAKATOS</t>
  </si>
  <si>
    <t>STD</t>
  </si>
  <si>
    <t>RESULTANTE</t>
  </si>
  <si>
    <t>Densidad</t>
  </si>
  <si>
    <t>Constantes_Densidad</t>
  </si>
  <si>
    <t>LOG 2 -MELT</t>
  </si>
  <si>
    <t>LOG 3 -GOB</t>
  </si>
  <si>
    <t>LOG 7.65 -SOFT.</t>
  </si>
  <si>
    <t>LOG 10 - CONVEYOR</t>
  </si>
  <si>
    <t>LOG 13.37 -ANNEAL.</t>
  </si>
  <si>
    <t>EXPANSION</t>
  </si>
  <si>
    <t>WRI - IND.RANGO DE TRABAJO   (S-A)</t>
  </si>
  <si>
    <t>RMS - VEL.RELATIVA DE MAQUINA  (%)</t>
  </si>
  <si>
    <t>COOLING TIME</t>
  </si>
  <si>
    <t>LIQUIDUS TEMP. °C</t>
  </si>
  <si>
    <t>Perdidas por fusion</t>
  </si>
  <si>
    <t>aportes en ppm</t>
  </si>
  <si>
    <t>ANTES</t>
  </si>
  <si>
    <t>DIF</t>
  </si>
  <si>
    <t>ppm Selenio</t>
  </si>
  <si>
    <t>ppm Cobalto</t>
  </si>
  <si>
    <t>PROPORCIÓN DE ARENA - MEZCLA</t>
  </si>
  <si>
    <t>KG</t>
  </si>
  <si>
    <t>Proporción</t>
  </si>
  <si>
    <t>Arena Local bajo Fe</t>
  </si>
  <si>
    <t>Arena Local alto Fe</t>
  </si>
  <si>
    <t>Martes</t>
  </si>
  <si>
    <t>ingreso de vdrio de externo</t>
  </si>
  <si>
    <t xml:space="preserve">riesgos </t>
  </si>
  <si>
    <t xml:space="preserve">seguimiento </t>
  </si>
  <si>
    <t>Miercoles</t>
  </si>
  <si>
    <t>aumento de espuma</t>
  </si>
  <si>
    <t>semillas, burbujas/kg, redox</t>
  </si>
  <si>
    <t>Jueves</t>
  </si>
  <si>
    <t xml:space="preserve">ajuste canales 594, ajuste O2. primero tazon </t>
  </si>
  <si>
    <t>Viernes</t>
  </si>
  <si>
    <t>sulfato de sodio, 300gr</t>
  </si>
  <si>
    <t>zona 2, zona 3</t>
  </si>
  <si>
    <t>Sábado</t>
  </si>
  <si>
    <t>Domingo</t>
  </si>
  <si>
    <t>Lunes</t>
  </si>
  <si>
    <t>Miércoles</t>
  </si>
  <si>
    <t>Ingreso arena 2:1. + 200gr sulfato</t>
  </si>
  <si>
    <t>vidrio externo 50:50 + 200gr sulfato</t>
  </si>
  <si>
    <t>sulfato de sodio, 400gr</t>
  </si>
  <si>
    <t>Arena Silitex 100%</t>
  </si>
  <si>
    <t>ingreso carbon 30gr</t>
  </si>
  <si>
    <t>bajar cullet a 48%</t>
  </si>
  <si>
    <t>bajar cullet a 45%</t>
  </si>
  <si>
    <t>bajar cullet a 43%</t>
  </si>
  <si>
    <t>bajar cullet a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</si>
</sst>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_ ;_ * \-#,##0_ ;_ * &quot;-&quot;_ ;_ @_ "/>
    <numFmt numFmtId="165" formatCode="_ * #,##0.00_ ;_ * \-#,##0.00_ ;_ * &quot;-&quot;??_ ;_ @_ "/>
    <numFmt numFmtId="166" formatCode="_ * #,##0_ ;_ * \-#,##0_ ;_ * &quot;-&quot;??_ ;_ @_ "/>
    <numFmt numFmtId="167" formatCode="0.000%"/>
    <numFmt numFmtId="168" formatCode="0.00000"/>
    <numFmt numFmtId="169" formatCode="0.0000"/>
    <numFmt numFmtId="170" formatCode="0.000"/>
    <numFmt numFmtId="171" formatCode="0.0000%"/>
    <numFmt numFmtId="172" formatCode="0.0"/>
    <numFmt numFmtId="173" formatCode="0.00000%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Helv"/>
      <charset val="204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8" fillId="0" borderId="0"/>
    <xf numFmtId="164" fontId="2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0" fillId="3" borderId="1" xfId="0" applyFill="1" applyBorder="1"/>
    <xf numFmtId="16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166" fontId="0" fillId="0" borderId="0" xfId="1" applyNumberFormat="1" applyFont="1" applyBorder="1"/>
    <xf numFmtId="0" fontId="1" fillId="2" borderId="3" xfId="0" applyFont="1" applyFill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/>
    <xf numFmtId="0" fontId="1" fillId="2" borderId="17" xfId="0" applyFont="1" applyFill="1" applyBorder="1"/>
    <xf numFmtId="167" fontId="3" fillId="5" borderId="21" xfId="2" applyNumberFormat="1" applyFont="1" applyFill="1" applyBorder="1"/>
    <xf numFmtId="167" fontId="3" fillId="5" borderId="20" xfId="2" applyNumberFormat="1" applyFont="1" applyFill="1" applyBorder="1"/>
    <xf numFmtId="0" fontId="0" fillId="0" borderId="22" xfId="0" applyBorder="1"/>
    <xf numFmtId="0" fontId="0" fillId="2" borderId="23" xfId="0" applyFill="1" applyBorder="1"/>
    <xf numFmtId="0" fontId="0" fillId="2" borderId="24" xfId="0" applyFill="1" applyBorder="1"/>
    <xf numFmtId="10" fontId="4" fillId="5" borderId="19" xfId="0" applyNumberFormat="1" applyFont="1" applyFill="1" applyBorder="1"/>
    <xf numFmtId="0" fontId="0" fillId="6" borderId="2" xfId="0" applyFill="1" applyBorder="1"/>
    <xf numFmtId="1" fontId="0" fillId="6" borderId="2" xfId="0" applyNumberFormat="1" applyFill="1" applyBorder="1"/>
    <xf numFmtId="10" fontId="0" fillId="0" borderId="1" xfId="0" applyNumberFormat="1" applyBorder="1"/>
    <xf numFmtId="10" fontId="0" fillId="0" borderId="1" xfId="2" applyNumberFormat="1" applyFont="1" applyBorder="1"/>
    <xf numFmtId="168" fontId="0" fillId="0" borderId="1" xfId="0" applyNumberFormat="1" applyBorder="1"/>
    <xf numFmtId="169" fontId="0" fillId="0" borderId="1" xfId="0" applyNumberFormat="1" applyBorder="1"/>
    <xf numFmtId="169" fontId="0" fillId="0" borderId="0" xfId="0" applyNumberFormat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0" borderId="29" xfId="0" applyFont="1" applyBorder="1"/>
    <xf numFmtId="0" fontId="3" fillId="5" borderId="29" xfId="2" applyNumberFormat="1" applyFont="1" applyFill="1" applyBorder="1"/>
    <xf numFmtId="10" fontId="3" fillId="5" borderId="4" xfId="2" applyNumberFormat="1" applyFont="1" applyFill="1" applyBorder="1"/>
    <xf numFmtId="0" fontId="0" fillId="2" borderId="7" xfId="0" applyFill="1" applyBorder="1"/>
    <xf numFmtId="0" fontId="1" fillId="2" borderId="30" xfId="0" applyFont="1" applyFill="1" applyBorder="1"/>
    <xf numFmtId="0" fontId="1" fillId="2" borderId="31" xfId="0" applyFont="1" applyFill="1" applyBorder="1"/>
    <xf numFmtId="0" fontId="0" fillId="2" borderId="6" xfId="0" applyFill="1" applyBorder="1"/>
    <xf numFmtId="0" fontId="0" fillId="2" borderId="12" xfId="0" applyFill="1" applyBorder="1"/>
    <xf numFmtId="10" fontId="0" fillId="6" borderId="2" xfId="0" applyNumberFormat="1" applyFill="1" applyBorder="1"/>
    <xf numFmtId="10" fontId="0" fillId="6" borderId="25" xfId="0" applyNumberFormat="1" applyFill="1" applyBorder="1"/>
    <xf numFmtId="0" fontId="0" fillId="6" borderId="25" xfId="0" applyFill="1" applyBorder="1"/>
    <xf numFmtId="10" fontId="0" fillId="6" borderId="32" xfId="2" applyNumberFormat="1" applyFont="1" applyFill="1" applyBorder="1"/>
    <xf numFmtId="0" fontId="0" fillId="6" borderId="5" xfId="0" applyFill="1" applyBorder="1"/>
    <xf numFmtId="0" fontId="3" fillId="5" borderId="4" xfId="2" applyNumberFormat="1" applyFont="1" applyFill="1" applyBorder="1"/>
    <xf numFmtId="0" fontId="0" fillId="7" borderId="2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5" xfId="0" applyFill="1" applyBorder="1"/>
    <xf numFmtId="0" fontId="0" fillId="7" borderId="34" xfId="0" applyFill="1" applyBorder="1"/>
    <xf numFmtId="0" fontId="0" fillId="0" borderId="35" xfId="0" applyBorder="1"/>
    <xf numFmtId="0" fontId="0" fillId="7" borderId="36" xfId="0" applyFill="1" applyBorder="1"/>
    <xf numFmtId="0" fontId="0" fillId="4" borderId="1" xfId="0" applyFill="1" applyBorder="1"/>
    <xf numFmtId="10" fontId="0" fillId="3" borderId="2" xfId="2" applyNumberFormat="1" applyFont="1" applyFill="1" applyBorder="1"/>
    <xf numFmtId="167" fontId="0" fillId="3" borderId="2" xfId="2" applyNumberFormat="1" applyFont="1" applyFill="1" applyBorder="1"/>
    <xf numFmtId="0" fontId="0" fillId="3" borderId="2" xfId="0" applyFill="1" applyBorder="1"/>
    <xf numFmtId="0" fontId="0" fillId="3" borderId="25" xfId="0" applyFill="1" applyBorder="1"/>
    <xf numFmtId="0" fontId="1" fillId="2" borderId="37" xfId="0" applyFont="1" applyFill="1" applyBorder="1"/>
    <xf numFmtId="0" fontId="1" fillId="2" borderId="7" xfId="0" applyFont="1" applyFill="1" applyBorder="1"/>
    <xf numFmtId="0" fontId="5" fillId="2" borderId="9" xfId="0" applyFont="1" applyFill="1" applyBorder="1"/>
    <xf numFmtId="0" fontId="5" fillId="2" borderId="18" xfId="0" applyFont="1" applyFill="1" applyBorder="1"/>
    <xf numFmtId="9" fontId="0" fillId="0" borderId="40" xfId="0" applyNumberFormat="1" applyBorder="1"/>
    <xf numFmtId="0" fontId="0" fillId="0" borderId="40" xfId="0" applyBorder="1"/>
    <xf numFmtId="10" fontId="0" fillId="0" borderId="0" xfId="2" applyNumberFormat="1" applyFont="1"/>
    <xf numFmtId="2" fontId="9" fillId="0" borderId="1" xfId="0" applyNumberFormat="1" applyFont="1" applyBorder="1"/>
    <xf numFmtId="167" fontId="0" fillId="6" borderId="2" xfId="0" applyNumberFormat="1" applyFill="1" applyBorder="1"/>
    <xf numFmtId="171" fontId="0" fillId="3" borderId="2" xfId="2" applyNumberFormat="1" applyFont="1" applyFill="1" applyBorder="1"/>
    <xf numFmtId="14" fontId="0" fillId="0" borderId="1" xfId="0" applyNumberFormat="1" applyBorder="1"/>
    <xf numFmtId="0" fontId="1" fillId="0" borderId="41" xfId="0" applyFont="1" applyBorder="1"/>
    <xf numFmtId="0" fontId="1" fillId="2" borderId="1" xfId="0" applyFont="1" applyFill="1" applyBorder="1" applyAlignment="1">
      <alignment wrapText="1"/>
    </xf>
    <xf numFmtId="167" fontId="0" fillId="0" borderId="1" xfId="2" applyNumberFormat="1" applyFont="1" applyBorder="1"/>
    <xf numFmtId="166" fontId="0" fillId="0" borderId="1" xfId="0" applyNumberFormat="1" applyBorder="1"/>
    <xf numFmtId="167" fontId="1" fillId="0" borderId="1" xfId="2" applyNumberFormat="1" applyFont="1" applyBorder="1"/>
    <xf numFmtId="166" fontId="1" fillId="0" borderId="1" xfId="1" applyNumberFormat="1" applyFont="1" applyBorder="1"/>
    <xf numFmtId="167" fontId="1" fillId="0" borderId="1" xfId="0" applyNumberFormat="1" applyFont="1" applyBorder="1"/>
    <xf numFmtId="0" fontId="12" fillId="2" borderId="1" xfId="0" applyFont="1" applyFill="1" applyBorder="1" applyAlignment="1">
      <alignment horizontal="center" wrapText="1"/>
    </xf>
    <xf numFmtId="0" fontId="1" fillId="2" borderId="38" xfId="0" applyFont="1" applyFill="1" applyBorder="1"/>
    <xf numFmtId="0" fontId="1" fillId="2" borderId="39" xfId="0" applyFont="1" applyFill="1" applyBorder="1"/>
    <xf numFmtId="0" fontId="9" fillId="0" borderId="1" xfId="0" applyFont="1" applyBorder="1"/>
    <xf numFmtId="170" fontId="9" fillId="0" borderId="1" xfId="0" applyNumberFormat="1" applyFont="1" applyBorder="1"/>
    <xf numFmtId="165" fontId="0" fillId="0" borderId="0" xfId="1" applyFont="1"/>
    <xf numFmtId="165" fontId="0" fillId="0" borderId="0" xfId="0" applyNumberFormat="1"/>
    <xf numFmtId="9" fontId="0" fillId="3" borderId="1" xfId="0" applyNumberFormat="1" applyFill="1" applyBorder="1" applyAlignment="1">
      <alignment wrapText="1"/>
    </xf>
    <xf numFmtId="0" fontId="0" fillId="3" borderId="0" xfId="0" applyFill="1"/>
    <xf numFmtId="9" fontId="0" fillId="3" borderId="2" xfId="0" applyNumberFormat="1" applyFill="1" applyBorder="1"/>
    <xf numFmtId="10" fontId="0" fillId="3" borderId="2" xfId="0" applyNumberFormat="1" applyFill="1" applyBorder="1"/>
    <xf numFmtId="1" fontId="0" fillId="0" borderId="0" xfId="0" applyNumberFormat="1"/>
    <xf numFmtId="167" fontId="14" fillId="12" borderId="0" xfId="2" applyNumberFormat="1" applyFont="1" applyFill="1"/>
    <xf numFmtId="1" fontId="14" fillId="10" borderId="1" xfId="0" applyNumberFormat="1" applyFont="1" applyFill="1" applyBorder="1"/>
    <xf numFmtId="166" fontId="4" fillId="3" borderId="1" xfId="1" applyNumberFormat="1" applyFont="1" applyFill="1" applyBorder="1"/>
    <xf numFmtId="1" fontId="4" fillId="9" borderId="0" xfId="0" applyNumberFormat="1" applyFont="1" applyFill="1"/>
    <xf numFmtId="0" fontId="4" fillId="13" borderId="1" xfId="0" applyFont="1" applyFill="1" applyBorder="1"/>
    <xf numFmtId="0" fontId="15" fillId="3" borderId="1" xfId="0" applyFont="1" applyFill="1" applyBorder="1"/>
    <xf numFmtId="9" fontId="0" fillId="0" borderId="0" xfId="0" applyNumberFormat="1" applyAlignment="1">
      <alignment wrapText="1"/>
    </xf>
    <xf numFmtId="16" fontId="0" fillId="0" borderId="0" xfId="0" applyNumberFormat="1"/>
    <xf numFmtId="9" fontId="0" fillId="0" borderId="0" xfId="0" applyNumberFormat="1"/>
    <xf numFmtId="0" fontId="9" fillId="0" borderId="0" xfId="0" applyFont="1"/>
    <xf numFmtId="166" fontId="0" fillId="0" borderId="0" xfId="1" applyNumberFormat="1" applyFont="1" applyFill="1" applyBorder="1"/>
    <xf numFmtId="167" fontId="0" fillId="0" borderId="0" xfId="2" applyNumberFormat="1" applyFont="1" applyFill="1"/>
    <xf numFmtId="168" fontId="0" fillId="0" borderId="0" xfId="0" applyNumberFormat="1"/>
    <xf numFmtId="10" fontId="0" fillId="0" borderId="0" xfId="0" applyNumberFormat="1"/>
    <xf numFmtId="10" fontId="0" fillId="0" borderId="0" xfId="2" applyNumberFormat="1" applyFont="1" applyFill="1" applyBorder="1"/>
    <xf numFmtId="0" fontId="0" fillId="11" borderId="28" xfId="0" applyFill="1" applyBorder="1"/>
    <xf numFmtId="0" fontId="4" fillId="2" borderId="1" xfId="0" applyFont="1" applyFill="1" applyBorder="1"/>
    <xf numFmtId="0" fontId="1" fillId="11" borderId="1" xfId="0" applyFont="1" applyFill="1" applyBorder="1"/>
    <xf numFmtId="170" fontId="1" fillId="11" borderId="1" xfId="0" applyNumberFormat="1" applyFont="1" applyFill="1" applyBorder="1"/>
    <xf numFmtId="0" fontId="0" fillId="0" borderId="3" xfId="0" applyBorder="1"/>
    <xf numFmtId="166" fontId="0" fillId="0" borderId="1" xfId="1" applyNumberFormat="1" applyFont="1" applyFill="1" applyBorder="1"/>
    <xf numFmtId="169" fontId="6" fillId="0" borderId="1" xfId="0" applyNumberFormat="1" applyFon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0" borderId="52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3" xfId="0" applyFont="1" applyBorder="1"/>
    <xf numFmtId="0" fontId="0" fillId="14" borderId="1" xfId="0" applyFill="1" applyBorder="1" applyAlignment="1">
      <alignment horizontal="center"/>
    </xf>
    <xf numFmtId="1" fontId="1" fillId="0" borderId="3" xfId="0" applyNumberFormat="1" applyFont="1" applyBorder="1"/>
    <xf numFmtId="0" fontId="0" fillId="0" borderId="1" xfId="0" applyBorder="1" applyAlignment="1">
      <alignment horizontal="center"/>
    </xf>
    <xf numFmtId="2" fontId="1" fillId="0" borderId="54" xfId="0" applyNumberFormat="1" applyFont="1" applyBorder="1" applyAlignment="1">
      <alignment horizontal="center"/>
    </xf>
    <xf numFmtId="172" fontId="1" fillId="16" borderId="57" xfId="0" applyNumberFormat="1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/>
    <xf numFmtId="0" fontId="1" fillId="0" borderId="40" xfId="0" applyFon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13" xfId="0" applyFont="1" applyFill="1" applyBorder="1"/>
    <xf numFmtId="170" fontId="16" fillId="0" borderId="1" xfId="0" applyNumberFormat="1" applyFont="1" applyBorder="1" applyAlignment="1">
      <alignment horizontal="center"/>
    </xf>
    <xf numFmtId="0" fontId="19" fillId="0" borderId="49" xfId="0" applyFont="1" applyBorder="1"/>
    <xf numFmtId="0" fontId="0" fillId="9" borderId="1" xfId="0" applyFill="1" applyBorder="1"/>
    <xf numFmtId="0" fontId="20" fillId="2" borderId="1" xfId="0" applyFont="1" applyFill="1" applyBorder="1"/>
    <xf numFmtId="0" fontId="6" fillId="0" borderId="0" xfId="0" applyFont="1"/>
    <xf numFmtId="0" fontId="9" fillId="0" borderId="59" xfId="0" applyFont="1" applyBorder="1"/>
    <xf numFmtId="2" fontId="9" fillId="0" borderId="59" xfId="0" applyNumberFormat="1" applyFont="1" applyBorder="1"/>
    <xf numFmtId="170" fontId="9" fillId="0" borderId="59" xfId="0" applyNumberFormat="1" applyFont="1" applyBorder="1"/>
    <xf numFmtId="14" fontId="21" fillId="0" borderId="1" xfId="0" applyNumberFormat="1" applyFont="1" applyBorder="1"/>
    <xf numFmtId="166" fontId="0" fillId="3" borderId="1" xfId="1" applyNumberFormat="1" applyFont="1" applyFill="1" applyBorder="1"/>
    <xf numFmtId="169" fontId="9" fillId="0" borderId="1" xfId="0" applyNumberFormat="1" applyFont="1" applyBorder="1"/>
    <xf numFmtId="168" fontId="9" fillId="0" borderId="1" xfId="0" applyNumberFormat="1" applyFont="1" applyBorder="1"/>
    <xf numFmtId="0" fontId="1" fillId="0" borderId="59" xfId="0" applyFont="1" applyBorder="1"/>
    <xf numFmtId="0" fontId="0" fillId="0" borderId="59" xfId="0" applyBorder="1"/>
    <xf numFmtId="2" fontId="1" fillId="0" borderId="60" xfId="0" applyNumberFormat="1" applyFont="1" applyBorder="1"/>
    <xf numFmtId="0" fontId="20" fillId="0" borderId="1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/>
    <xf numFmtId="20" fontId="0" fillId="0" borderId="1" xfId="0" applyNumberFormat="1" applyBorder="1"/>
    <xf numFmtId="1" fontId="1" fillId="0" borderId="1" xfId="0" applyNumberFormat="1" applyFont="1" applyBorder="1"/>
    <xf numFmtId="0" fontId="9" fillId="15" borderId="1" xfId="0" applyFont="1" applyFill="1" applyBorder="1"/>
    <xf numFmtId="0" fontId="20" fillId="0" borderId="1" xfId="0" applyFont="1" applyBorder="1"/>
    <xf numFmtId="164" fontId="0" fillId="0" borderId="59" xfId="5" applyFont="1" applyBorder="1"/>
    <xf numFmtId="0" fontId="6" fillId="0" borderId="1" xfId="0" applyFont="1" applyBorder="1"/>
    <xf numFmtId="0" fontId="17" fillId="3" borderId="1" xfId="0" applyFont="1" applyFill="1" applyBorder="1"/>
    <xf numFmtId="20" fontId="6" fillId="0" borderId="1" xfId="0" applyNumberFormat="1" applyFont="1" applyBorder="1"/>
    <xf numFmtId="0" fontId="6" fillId="0" borderId="13" xfId="0" applyFont="1" applyBorder="1"/>
    <xf numFmtId="9" fontId="17" fillId="3" borderId="1" xfId="0" applyNumberFormat="1" applyFont="1" applyFill="1" applyBorder="1" applyAlignment="1">
      <alignment wrapText="1"/>
    </xf>
    <xf numFmtId="2" fontId="6" fillId="0" borderId="59" xfId="0" applyNumberFormat="1" applyFont="1" applyBorder="1"/>
    <xf numFmtId="170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70" fontId="22" fillId="0" borderId="1" xfId="0" applyNumberFormat="1" applyFont="1" applyBorder="1" applyAlignment="1">
      <alignment horizontal="center"/>
    </xf>
    <xf numFmtId="0" fontId="4" fillId="13" borderId="59" xfId="0" applyFont="1" applyFill="1" applyBorder="1"/>
    <xf numFmtId="0" fontId="15" fillId="3" borderId="59" xfId="0" applyFont="1" applyFill="1" applyBorder="1"/>
    <xf numFmtId="0" fontId="0" fillId="5" borderId="1" xfId="0" applyFill="1" applyBorder="1" applyAlignment="1">
      <alignment horizontal="center"/>
    </xf>
    <xf numFmtId="14" fontId="0" fillId="0" borderId="2" xfId="0" applyNumberFormat="1" applyBorder="1"/>
    <xf numFmtId="2" fontId="6" fillId="0" borderId="0" xfId="0" applyNumberFormat="1" applyFont="1"/>
    <xf numFmtId="0" fontId="1" fillId="0" borderId="0" xfId="0" applyFont="1" applyAlignment="1">
      <alignment horizontal="center"/>
    </xf>
    <xf numFmtId="0" fontId="9" fillId="15" borderId="0" xfId="0" applyFont="1" applyFill="1"/>
    <xf numFmtId="170" fontId="6" fillId="0" borderId="1" xfId="0" applyNumberFormat="1" applyFont="1" applyBorder="1"/>
    <xf numFmtId="0" fontId="1" fillId="3" borderId="59" xfId="0" applyFont="1" applyFill="1" applyBorder="1"/>
    <xf numFmtId="170" fontId="0" fillId="0" borderId="1" xfId="0" applyNumberFormat="1" applyBorder="1"/>
    <xf numFmtId="170" fontId="1" fillId="0" borderId="1" xfId="0" applyNumberFormat="1" applyFont="1" applyBorder="1"/>
    <xf numFmtId="10" fontId="23" fillId="5" borderId="4" xfId="2" applyNumberFormat="1" applyFont="1" applyFill="1" applyBorder="1"/>
    <xf numFmtId="16" fontId="20" fillId="0" borderId="1" xfId="0" applyNumberFormat="1" applyFont="1" applyBorder="1"/>
    <xf numFmtId="2" fontId="6" fillId="0" borderId="1" xfId="0" applyNumberFormat="1" applyFont="1" applyBorder="1"/>
    <xf numFmtId="164" fontId="0" fillId="0" borderId="0" xfId="0" applyNumberFormat="1"/>
    <xf numFmtId="173" fontId="0" fillId="0" borderId="0" xfId="2" applyNumberFormat="1" applyFont="1"/>
    <xf numFmtId="16" fontId="17" fillId="0" borderId="0" xfId="0" applyNumberFormat="1" applyFont="1"/>
    <xf numFmtId="20" fontId="17" fillId="0" borderId="0" xfId="0" applyNumberFormat="1" applyFont="1"/>
    <xf numFmtId="0" fontId="17" fillId="3" borderId="0" xfId="0" applyFont="1" applyFill="1"/>
    <xf numFmtId="0" fontId="17" fillId="9" borderId="0" xfId="0" applyFont="1" applyFill="1"/>
    <xf numFmtId="0" fontId="17" fillId="18" borderId="0" xfId="0" applyFont="1" applyFill="1"/>
    <xf numFmtId="170" fontId="6" fillId="0" borderId="59" xfId="0" applyNumberFormat="1" applyFont="1" applyBorder="1"/>
    <xf numFmtId="4" fontId="0" fillId="0" borderId="1" xfId="0" applyNumberFormat="1" applyBorder="1"/>
    <xf numFmtId="165" fontId="0" fillId="0" borderId="1" xfId="0" applyNumberFormat="1" applyBorder="1"/>
    <xf numFmtId="165" fontId="0" fillId="0" borderId="37" xfId="0" applyNumberFormat="1" applyBorder="1"/>
    <xf numFmtId="0" fontId="0" fillId="19" borderId="0" xfId="0" applyFill="1"/>
    <xf numFmtId="0" fontId="0" fillId="19" borderId="1" xfId="0" applyFill="1" applyBorder="1"/>
    <xf numFmtId="0" fontId="0" fillId="16" borderId="0" xfId="0" applyFill="1"/>
    <xf numFmtId="0" fontId="0" fillId="16" borderId="1" xfId="0" applyFill="1" applyBorder="1"/>
    <xf numFmtId="2" fontId="0" fillId="16" borderId="1" xfId="0" applyNumberFormat="1" applyFill="1" applyBorder="1"/>
    <xf numFmtId="170" fontId="24" fillId="0" borderId="59" xfId="0" applyNumberFormat="1" applyFont="1" applyBorder="1"/>
    <xf numFmtId="2" fontId="24" fillId="0" borderId="59" xfId="0" applyNumberFormat="1" applyFont="1" applyBorder="1"/>
    <xf numFmtId="0" fontId="24" fillId="0" borderId="1" xfId="0" applyFont="1" applyBorder="1"/>
    <xf numFmtId="169" fontId="24" fillId="0" borderId="1" xfId="0" applyNumberFormat="1" applyFont="1" applyBorder="1"/>
    <xf numFmtId="14" fontId="24" fillId="0" borderId="2" xfId="0" applyNumberFormat="1" applyFont="1" applyBorder="1"/>
    <xf numFmtId="10" fontId="24" fillId="21" borderId="2" xfId="0" applyNumberFormat="1" applyFont="1" applyFill="1" applyBorder="1"/>
    <xf numFmtId="167" fontId="6" fillId="3" borderId="2" xfId="2" applyNumberFormat="1" applyFont="1" applyFill="1" applyBorder="1"/>
    <xf numFmtId="0" fontId="4" fillId="2" borderId="61" xfId="0" applyFont="1" applyFill="1" applyBorder="1"/>
    <xf numFmtId="0" fontId="13" fillId="20" borderId="7" xfId="0" applyFont="1" applyFill="1" applyBorder="1" applyAlignment="1">
      <alignment horizontal="center"/>
    </xf>
    <xf numFmtId="0" fontId="0" fillId="9" borderId="0" xfId="0" applyFill="1"/>
    <xf numFmtId="0" fontId="0" fillId="2" borderId="62" xfId="0" applyFill="1" applyBorder="1"/>
    <xf numFmtId="0" fontId="0" fillId="9" borderId="13" xfId="0" applyFill="1" applyBorder="1"/>
    <xf numFmtId="0" fontId="1" fillId="0" borderId="8" xfId="0" applyFont="1" applyBorder="1"/>
    <xf numFmtId="164" fontId="0" fillId="0" borderId="10" xfId="5" applyFont="1" applyBorder="1"/>
    <xf numFmtId="10" fontId="1" fillId="5" borderId="63" xfId="0" applyNumberFormat="1" applyFont="1" applyFill="1" applyBorder="1"/>
    <xf numFmtId="167" fontId="0" fillId="6" borderId="65" xfId="0" applyNumberFormat="1" applyFill="1" applyBorder="1"/>
    <xf numFmtId="172" fontId="1" fillId="5" borderId="66" xfId="0" applyNumberFormat="1" applyFont="1" applyFill="1" applyBorder="1"/>
    <xf numFmtId="172" fontId="0" fillId="3" borderId="64" xfId="2" applyNumberFormat="1" applyFont="1" applyFill="1" applyBorder="1"/>
    <xf numFmtId="172" fontId="0" fillId="3" borderId="67" xfId="2" applyNumberFormat="1" applyFont="1" applyFill="1" applyBorder="1"/>
    <xf numFmtId="170" fontId="22" fillId="0" borderId="1" xfId="0" applyNumberFormat="1" applyFont="1" applyBorder="1"/>
    <xf numFmtId="169" fontId="9" fillId="15" borderId="1" xfId="0" applyNumberFormat="1" applyFont="1" applyFill="1" applyBorder="1"/>
    <xf numFmtId="2" fontId="22" fillId="0" borderId="1" xfId="0" applyNumberFormat="1" applyFont="1" applyBorder="1" applyAlignment="1">
      <alignment horizontal="center"/>
    </xf>
    <xf numFmtId="169" fontId="22" fillId="0" borderId="1" xfId="0" applyNumberFormat="1" applyFont="1" applyBorder="1" applyAlignment="1">
      <alignment horizontal="center"/>
    </xf>
    <xf numFmtId="0" fontId="25" fillId="0" borderId="1" xfId="0" applyFont="1" applyBorder="1"/>
    <xf numFmtId="167" fontId="0" fillId="3" borderId="2" xfId="0" applyNumberFormat="1" applyFill="1" applyBorder="1"/>
    <xf numFmtId="167" fontId="24" fillId="21" borderId="2" xfId="0" applyNumberFormat="1" applyFont="1" applyFill="1" applyBorder="1"/>
    <xf numFmtId="16" fontId="0" fillId="15" borderId="1" xfId="0" applyNumberFormat="1" applyFill="1" applyBorder="1"/>
    <xf numFmtId="168" fontId="6" fillId="0" borderId="1" xfId="0" applyNumberFormat="1" applyFont="1" applyBorder="1"/>
    <xf numFmtId="0" fontId="15" fillId="0" borderId="1" xfId="0" applyFont="1" applyBorder="1"/>
    <xf numFmtId="2" fontId="13" fillId="0" borderId="1" xfId="0" applyNumberFormat="1" applyFont="1" applyBorder="1" applyAlignment="1">
      <alignment horizontal="center"/>
    </xf>
    <xf numFmtId="14" fontId="0" fillId="0" borderId="59" xfId="0" applyNumberFormat="1" applyBorder="1" applyAlignment="1">
      <alignment wrapText="1"/>
    </xf>
    <xf numFmtId="172" fontId="0" fillId="0" borderId="0" xfId="0" applyNumberFormat="1"/>
    <xf numFmtId="2" fontId="0" fillId="0" borderId="59" xfId="0" applyNumberFormat="1" applyBorder="1"/>
    <xf numFmtId="0" fontId="4" fillId="0" borderId="1" xfId="0" applyFont="1" applyBorder="1"/>
    <xf numFmtId="2" fontId="9" fillId="15" borderId="1" xfId="0" applyNumberFormat="1" applyFont="1" applyFill="1" applyBorder="1"/>
    <xf numFmtId="170" fontId="13" fillId="0" borderId="1" xfId="0" applyNumberFormat="1" applyFont="1" applyBorder="1"/>
    <xf numFmtId="1" fontId="9" fillId="15" borderId="1" xfId="0" applyNumberFormat="1" applyFont="1" applyFill="1" applyBorder="1"/>
    <xf numFmtId="170" fontId="9" fillId="15" borderId="1" xfId="0" applyNumberFormat="1" applyFont="1" applyFill="1" applyBorder="1"/>
    <xf numFmtId="0" fontId="26" fillId="0" borderId="68" xfId="0" applyFont="1" applyBorder="1" applyAlignment="1">
      <alignment horizontal="center"/>
    </xf>
    <xf numFmtId="0" fontId="27" fillId="0" borderId="68" xfId="0" applyFont="1" applyBorder="1" applyAlignment="1">
      <alignment horizontal="center"/>
    </xf>
    <xf numFmtId="0" fontId="28" fillId="0" borderId="68" xfId="0" applyFont="1" applyBorder="1" applyAlignment="1">
      <alignment horizontal="center"/>
    </xf>
    <xf numFmtId="2" fontId="6" fillId="15" borderId="1" xfId="0" applyNumberFormat="1" applyFont="1" applyFill="1" applyBorder="1"/>
    <xf numFmtId="2" fontId="0" fillId="15" borderId="1" xfId="0" applyNumberFormat="1" applyFill="1" applyBorder="1"/>
    <xf numFmtId="0" fontId="0" fillId="3" borderId="38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16" borderId="55" xfId="0" applyFont="1" applyFill="1" applyBorder="1" applyAlignment="1">
      <alignment horizontal="left"/>
    </xf>
    <xf numFmtId="0" fontId="19" fillId="16" borderId="56" xfId="0" applyFont="1" applyFill="1" applyBorder="1" applyAlignment="1">
      <alignment horizontal="left"/>
    </xf>
    <xf numFmtId="0" fontId="11" fillId="8" borderId="0" xfId="0" applyFont="1" applyFill="1" applyAlignment="1">
      <alignment horizontal="center" vertical="center"/>
    </xf>
    <xf numFmtId="0" fontId="19" fillId="2" borderId="38" xfId="0" applyFont="1" applyFill="1" applyBorder="1" applyAlignment="1">
      <alignment horizontal="center"/>
    </xf>
    <xf numFmtId="0" fontId="19" fillId="2" borderId="39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 wrapText="1"/>
    </xf>
    <xf numFmtId="0" fontId="1" fillId="2" borderId="50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 wrapText="1"/>
    </xf>
    <xf numFmtId="0" fontId="1" fillId="2" borderId="5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" fillId="0" borderId="58" xfId="0" applyFont="1" applyBorder="1" applyAlignment="1">
      <alignment horizont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</cellXfs>
  <cellStyles count="6">
    <cellStyle name="Estilo 1" xfId="3" xr:uid="{00000000-0005-0000-0000-000000000000}"/>
    <cellStyle name="Millares" xfId="1" builtinId="3"/>
    <cellStyle name="Millares [0]" xfId="5" builtinId="6"/>
    <cellStyle name="Normal" xfId="0" builtinId="0"/>
    <cellStyle name="Normal 2" xfId="4" xr:uid="{00000000-0005-0000-0000-000004000000}"/>
    <cellStyle name="Porcentaje" xfId="2" builtinId="5"/>
  </cellStyles>
  <dxfs count="5"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rgb="FF66FF99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rgb="FF66FF99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99FFCC"/>
      <color rgb="FF66FF99"/>
      <color rgb="FFFF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y-ypa-w-21dhnn\hmp2011\WINDOWS\FTPCTRL\doc988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 CC 13"/>
      <sheetName val="Necesidad"/>
      <sheetName val="VariablesDocumentacionIS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B146"/>
  <sheetViews>
    <sheetView zoomScale="90" zoomScaleNormal="90" workbookViewId="0">
      <pane xSplit="4" ySplit="3" topLeftCell="CS4" activePane="bottomRight" state="frozen"/>
      <selection pane="bottomRight" activeCell="D14" sqref="D14"/>
      <selection pane="bottomLeft" activeCell="A4" sqref="A4"/>
      <selection pane="topRight" activeCell="E1" sqref="E1"/>
    </sheetView>
  </sheetViews>
  <sheetFormatPr defaultColWidth="11.42578125" defaultRowHeight="15" customHeight="1"/>
  <cols>
    <col min="1" max="1" width="9.42578125" customWidth="1"/>
    <col min="2" max="2" width="5.85546875" customWidth="1"/>
    <col min="3" max="3" width="36.42578125" bestFit="1" customWidth="1"/>
    <col min="4" max="4" width="14.140625" customWidth="1"/>
    <col min="5" max="5" width="3.28515625" customWidth="1"/>
    <col min="6" max="100" width="14.140625" customWidth="1"/>
    <col min="101" max="101" width="11.5703125" customWidth="1"/>
    <col min="102" max="102" width="12.28515625" customWidth="1"/>
  </cols>
  <sheetData>
    <row r="1" spans="1:105" ht="14.45">
      <c r="D1" s="7"/>
      <c r="F1" s="7" t="s">
        <v>0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7" t="s">
        <v>1</v>
      </c>
      <c r="M1" s="7" t="s">
        <v>1</v>
      </c>
      <c r="N1" s="7" t="s">
        <v>1</v>
      </c>
      <c r="O1" s="7" t="s">
        <v>1</v>
      </c>
      <c r="P1" s="7" t="s">
        <v>1</v>
      </c>
      <c r="Q1" s="7" t="s">
        <v>1</v>
      </c>
      <c r="R1" s="7" t="s">
        <v>1</v>
      </c>
      <c r="S1" s="7" t="s">
        <v>1</v>
      </c>
      <c r="T1" s="7" t="s">
        <v>1</v>
      </c>
      <c r="U1" s="7" t="s">
        <v>1</v>
      </c>
      <c r="V1" s="7" t="s">
        <v>1</v>
      </c>
      <c r="W1" s="7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1</v>
      </c>
      <c r="AG1" s="7" t="s">
        <v>1</v>
      </c>
      <c r="AH1" s="7" t="s">
        <v>1</v>
      </c>
      <c r="AI1" s="7" t="s">
        <v>1</v>
      </c>
      <c r="AJ1" s="7" t="s">
        <v>1</v>
      </c>
      <c r="AK1" s="7" t="s">
        <v>1</v>
      </c>
      <c r="AL1" s="7" t="s">
        <v>1</v>
      </c>
      <c r="AM1" s="7" t="s">
        <v>1</v>
      </c>
      <c r="AN1" s="7" t="s">
        <v>1</v>
      </c>
      <c r="AO1" s="7" t="s">
        <v>1</v>
      </c>
      <c r="AP1" s="7" t="s">
        <v>1</v>
      </c>
      <c r="AQ1" s="7" t="s">
        <v>1</v>
      </c>
      <c r="AR1" s="7" t="s">
        <v>1</v>
      </c>
      <c r="AS1" s="7" t="s">
        <v>1</v>
      </c>
      <c r="AT1" s="7" t="s">
        <v>1</v>
      </c>
      <c r="AU1" s="7" t="s">
        <v>1</v>
      </c>
      <c r="AV1" s="7" t="s">
        <v>1</v>
      </c>
      <c r="AW1" s="7" t="s">
        <v>1</v>
      </c>
      <c r="AX1" s="7" t="s">
        <v>1</v>
      </c>
      <c r="AY1" s="7" t="s">
        <v>1</v>
      </c>
      <c r="AZ1" s="7" t="s">
        <v>1</v>
      </c>
      <c r="BA1" s="7" t="s">
        <v>1</v>
      </c>
      <c r="BB1" s="7" t="s">
        <v>1</v>
      </c>
      <c r="BC1" s="7" t="s">
        <v>1</v>
      </c>
      <c r="BD1" s="7"/>
      <c r="BE1" s="7" t="s">
        <v>1</v>
      </c>
      <c r="BF1" s="7" t="s">
        <v>1</v>
      </c>
      <c r="BG1" s="7" t="s">
        <v>1</v>
      </c>
      <c r="BH1" s="7" t="s">
        <v>1</v>
      </c>
      <c r="BI1" s="7" t="s">
        <v>1</v>
      </c>
      <c r="BJ1" s="7" t="s">
        <v>1</v>
      </c>
      <c r="BK1" s="7" t="s">
        <v>1</v>
      </c>
      <c r="BL1" s="7" t="s">
        <v>1</v>
      </c>
      <c r="BM1" s="7" t="s">
        <v>1</v>
      </c>
      <c r="BN1" s="7" t="s">
        <v>1</v>
      </c>
      <c r="BO1" s="7" t="s">
        <v>1</v>
      </c>
      <c r="BP1" s="7" t="s">
        <v>1</v>
      </c>
      <c r="BQ1" s="7" t="s">
        <v>1</v>
      </c>
      <c r="BR1" s="7" t="s">
        <v>1</v>
      </c>
      <c r="BS1" s="7" t="s">
        <v>1</v>
      </c>
      <c r="BT1" s="7" t="s">
        <v>1</v>
      </c>
      <c r="BU1" s="7" t="s">
        <v>1</v>
      </c>
      <c r="BV1" s="7" t="s">
        <v>1</v>
      </c>
      <c r="BW1" s="7" t="s">
        <v>1</v>
      </c>
      <c r="BX1" s="7" t="s">
        <v>1</v>
      </c>
      <c r="BY1" s="7" t="s">
        <v>1</v>
      </c>
      <c r="BZ1" s="7" t="s">
        <v>1</v>
      </c>
      <c r="CA1" s="7" t="s">
        <v>1</v>
      </c>
      <c r="CB1" s="7" t="s">
        <v>1</v>
      </c>
      <c r="CC1" s="7" t="s">
        <v>1</v>
      </c>
      <c r="CD1" s="7" t="s">
        <v>1</v>
      </c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1:105" ht="87.75" customHeight="1">
      <c r="D2" s="167" t="s">
        <v>2</v>
      </c>
      <c r="F2" s="94" t="s">
        <v>3</v>
      </c>
      <c r="G2" s="94" t="s">
        <v>4</v>
      </c>
      <c r="H2" s="94" t="s">
        <v>5</v>
      </c>
      <c r="I2" s="94" t="s">
        <v>5</v>
      </c>
      <c r="J2" s="94" t="s">
        <v>6</v>
      </c>
      <c r="K2" s="94" t="s">
        <v>7</v>
      </c>
      <c r="L2" s="94" t="s">
        <v>8</v>
      </c>
      <c r="M2" s="94" t="s">
        <v>9</v>
      </c>
      <c r="N2" s="94" t="s">
        <v>10</v>
      </c>
      <c r="O2" s="94" t="s">
        <v>11</v>
      </c>
      <c r="P2" s="94" t="s">
        <v>12</v>
      </c>
      <c r="Q2" s="94" t="s">
        <v>13</v>
      </c>
      <c r="R2" s="94" t="s">
        <v>14</v>
      </c>
      <c r="S2" s="94" t="s">
        <v>15</v>
      </c>
      <c r="T2" s="167" t="s">
        <v>16</v>
      </c>
      <c r="U2" s="167" t="s">
        <v>17</v>
      </c>
      <c r="V2" s="167" t="s">
        <v>18</v>
      </c>
      <c r="W2" s="167" t="s">
        <v>19</v>
      </c>
      <c r="X2" s="167" t="s">
        <v>20</v>
      </c>
      <c r="Y2" s="167" t="s">
        <v>21</v>
      </c>
      <c r="Z2" s="167" t="s">
        <v>22</v>
      </c>
      <c r="AA2" s="167" t="s">
        <v>23</v>
      </c>
      <c r="AB2" s="167" t="s">
        <v>24</v>
      </c>
      <c r="AC2" s="167" t="s">
        <v>25</v>
      </c>
      <c r="AD2" s="167" t="s">
        <v>26</v>
      </c>
      <c r="AE2" s="167" t="s">
        <v>27</v>
      </c>
      <c r="AF2" s="167" t="s">
        <v>28</v>
      </c>
      <c r="AG2" s="167" t="s">
        <v>29</v>
      </c>
      <c r="AH2" s="167" t="s">
        <v>30</v>
      </c>
      <c r="AI2" s="167" t="s">
        <v>31</v>
      </c>
      <c r="AJ2" s="167" t="s">
        <v>32</v>
      </c>
      <c r="AK2" s="167" t="s">
        <v>33</v>
      </c>
      <c r="AL2" s="167" t="s">
        <v>34</v>
      </c>
      <c r="AM2" s="167" t="s">
        <v>35</v>
      </c>
      <c r="AN2" s="167" t="s">
        <v>36</v>
      </c>
      <c r="AO2" s="167" t="s">
        <v>37</v>
      </c>
      <c r="AP2" s="167" t="s">
        <v>37</v>
      </c>
      <c r="AQ2" s="167" t="s">
        <v>38</v>
      </c>
      <c r="AR2" s="167" t="s">
        <v>37</v>
      </c>
      <c r="AS2" s="167" t="s">
        <v>37</v>
      </c>
      <c r="AT2" s="167" t="s">
        <v>37</v>
      </c>
      <c r="AU2" s="167" t="s">
        <v>39</v>
      </c>
      <c r="AV2" s="167" t="s">
        <v>40</v>
      </c>
      <c r="AW2" s="167" t="s">
        <v>40</v>
      </c>
      <c r="AX2" s="167" t="s">
        <v>41</v>
      </c>
      <c r="AY2" s="167" t="s">
        <v>42</v>
      </c>
      <c r="AZ2" s="167" t="s">
        <v>42</v>
      </c>
      <c r="BA2" s="167" t="s">
        <v>43</v>
      </c>
      <c r="BB2" s="167" t="s">
        <v>44</v>
      </c>
      <c r="BC2" s="167" t="s">
        <v>45</v>
      </c>
      <c r="BD2" s="167" t="s">
        <v>46</v>
      </c>
      <c r="BE2" s="167" t="s">
        <v>44</v>
      </c>
      <c r="BF2" s="167" t="s">
        <v>45</v>
      </c>
      <c r="BG2" s="167" t="s">
        <v>47</v>
      </c>
      <c r="BH2" s="167" t="s">
        <v>48</v>
      </c>
      <c r="BI2" s="167" t="s">
        <v>49</v>
      </c>
      <c r="BJ2" s="167" t="s">
        <v>50</v>
      </c>
      <c r="BK2" s="167" t="s">
        <v>49</v>
      </c>
      <c r="BL2" s="167" t="s">
        <v>51</v>
      </c>
      <c r="BM2" s="167" t="s">
        <v>52</v>
      </c>
      <c r="BN2" s="167" t="s">
        <v>53</v>
      </c>
      <c r="BO2" s="167" t="s">
        <v>54</v>
      </c>
      <c r="BP2" s="167" t="s">
        <v>55</v>
      </c>
      <c r="BQ2" s="167" t="s">
        <v>56</v>
      </c>
      <c r="BR2" s="167" t="s">
        <v>57</v>
      </c>
      <c r="BS2" s="167" t="s">
        <v>58</v>
      </c>
      <c r="BT2" s="167" t="s">
        <v>59</v>
      </c>
      <c r="BU2" s="167" t="s">
        <v>60</v>
      </c>
      <c r="BV2" s="167" t="s">
        <v>61</v>
      </c>
      <c r="BW2" s="167" t="s">
        <v>62</v>
      </c>
      <c r="BX2" s="167" t="s">
        <v>42</v>
      </c>
      <c r="BY2" s="167" t="s">
        <v>63</v>
      </c>
      <c r="BZ2" s="167" t="s">
        <v>64</v>
      </c>
      <c r="CA2" s="167" t="s">
        <v>65</v>
      </c>
      <c r="CB2" s="167" t="s">
        <v>66</v>
      </c>
      <c r="CC2" s="167" t="s">
        <v>67</v>
      </c>
      <c r="CD2" s="167" t="s">
        <v>68</v>
      </c>
      <c r="CE2" s="167" t="s">
        <v>69</v>
      </c>
      <c r="CF2" s="167" t="s">
        <v>70</v>
      </c>
      <c r="CG2" s="167" t="s">
        <v>71</v>
      </c>
      <c r="CH2" s="167" t="s">
        <v>72</v>
      </c>
      <c r="CI2" s="167" t="s">
        <v>73</v>
      </c>
      <c r="CJ2" s="167" t="s">
        <v>74</v>
      </c>
      <c r="CK2" s="167" t="s">
        <v>75</v>
      </c>
      <c r="CL2" s="167" t="s">
        <v>76</v>
      </c>
      <c r="CM2" s="167" t="s">
        <v>77</v>
      </c>
      <c r="CN2" s="167" t="s">
        <v>78</v>
      </c>
      <c r="CO2" s="167" t="s">
        <v>78</v>
      </c>
      <c r="CP2" s="167" t="s">
        <v>79</v>
      </c>
      <c r="CQ2" s="167" t="s">
        <v>80</v>
      </c>
      <c r="CR2" s="167" t="s">
        <v>81</v>
      </c>
      <c r="CS2" s="167" t="s">
        <v>82</v>
      </c>
      <c r="CT2" s="167" t="s">
        <v>83</v>
      </c>
      <c r="CU2" s="167" t="s">
        <v>84</v>
      </c>
      <c r="CV2" s="167" t="s">
        <v>85</v>
      </c>
      <c r="CW2" s="105"/>
      <c r="CX2" s="105"/>
    </row>
    <row r="3" spans="1:105" ht="14.45">
      <c r="D3" s="228">
        <v>45789</v>
      </c>
      <c r="F3" s="8">
        <v>45531</v>
      </c>
      <c r="G3" s="8">
        <v>45532</v>
      </c>
      <c r="H3" s="8">
        <v>45532</v>
      </c>
      <c r="I3" s="8">
        <v>45533</v>
      </c>
      <c r="J3" s="8">
        <v>45534</v>
      </c>
      <c r="K3" s="8">
        <v>45535</v>
      </c>
      <c r="L3" s="8">
        <v>45535</v>
      </c>
      <c r="M3" s="8">
        <v>45536</v>
      </c>
      <c r="N3" s="8">
        <v>45537</v>
      </c>
      <c r="O3" s="8">
        <v>45539</v>
      </c>
      <c r="P3" s="8">
        <v>45541</v>
      </c>
      <c r="Q3" s="8">
        <v>45543</v>
      </c>
      <c r="R3" s="8">
        <v>45545</v>
      </c>
      <c r="S3" s="8">
        <v>45546</v>
      </c>
      <c r="T3" s="8">
        <v>45547</v>
      </c>
      <c r="U3" s="8">
        <v>45549</v>
      </c>
      <c r="V3" s="8">
        <v>45553</v>
      </c>
      <c r="W3" s="8">
        <v>45554</v>
      </c>
      <c r="X3" s="8">
        <v>45555</v>
      </c>
      <c r="Y3" s="8">
        <v>45559</v>
      </c>
      <c r="Z3" s="8">
        <v>45560</v>
      </c>
      <c r="AA3" s="8">
        <v>45572</v>
      </c>
      <c r="AB3" s="8">
        <v>45575</v>
      </c>
      <c r="AC3" s="8">
        <v>45576</v>
      </c>
      <c r="AD3" s="8">
        <v>45582</v>
      </c>
      <c r="AE3" s="8">
        <v>45583</v>
      </c>
      <c r="AF3" s="8">
        <v>45588</v>
      </c>
      <c r="AG3" s="8">
        <v>45621</v>
      </c>
      <c r="AH3" s="8">
        <v>45635</v>
      </c>
      <c r="AI3" s="8">
        <v>45638</v>
      </c>
      <c r="AJ3" s="8">
        <v>45643</v>
      </c>
      <c r="AK3" s="8">
        <v>45650</v>
      </c>
      <c r="AL3" s="8">
        <v>45653</v>
      </c>
      <c r="AM3" s="8">
        <v>45654</v>
      </c>
      <c r="AN3" s="8">
        <v>45657</v>
      </c>
      <c r="AO3" s="8">
        <v>45658</v>
      </c>
      <c r="AP3" s="8">
        <v>45660</v>
      </c>
      <c r="AQ3" s="8">
        <v>45663</v>
      </c>
      <c r="AR3" s="8">
        <v>45664</v>
      </c>
      <c r="AS3" s="8">
        <v>45666</v>
      </c>
      <c r="AT3" s="8">
        <v>45667</v>
      </c>
      <c r="AU3" s="8">
        <v>45671</v>
      </c>
      <c r="AV3" s="8">
        <v>45671</v>
      </c>
      <c r="AW3" s="8">
        <v>45674</v>
      </c>
      <c r="AX3" s="8">
        <v>45677</v>
      </c>
      <c r="AY3" s="8">
        <v>45680</v>
      </c>
      <c r="AZ3" s="8">
        <v>45685</v>
      </c>
      <c r="BA3" s="8">
        <v>45686</v>
      </c>
      <c r="BB3" s="8">
        <v>45691</v>
      </c>
      <c r="BC3" s="8">
        <v>45693</v>
      </c>
      <c r="BD3" s="8">
        <v>45696</v>
      </c>
      <c r="BE3" s="8">
        <v>45699</v>
      </c>
      <c r="BF3" s="8">
        <v>45702</v>
      </c>
      <c r="BG3" s="8">
        <v>45705</v>
      </c>
      <c r="BH3" s="8">
        <v>45708</v>
      </c>
      <c r="BI3" s="8">
        <v>45733</v>
      </c>
      <c r="BJ3" s="8">
        <v>45742</v>
      </c>
      <c r="BK3" s="8">
        <v>45744</v>
      </c>
      <c r="BL3" s="8">
        <v>45747</v>
      </c>
      <c r="BM3" s="228">
        <v>45748</v>
      </c>
      <c r="BN3" s="228">
        <v>45748</v>
      </c>
      <c r="BO3" s="228">
        <v>45749</v>
      </c>
      <c r="BP3" s="228">
        <v>45750</v>
      </c>
      <c r="BQ3" s="228" t="s">
        <v>86</v>
      </c>
      <c r="BR3" s="228">
        <v>45751</v>
      </c>
      <c r="BS3" s="228">
        <v>45752</v>
      </c>
      <c r="BT3" s="228">
        <v>45753</v>
      </c>
      <c r="BU3" s="228">
        <v>45753</v>
      </c>
      <c r="BV3" s="228">
        <v>45754</v>
      </c>
      <c r="BW3" s="228">
        <v>45755</v>
      </c>
      <c r="BX3" s="228">
        <v>45755</v>
      </c>
      <c r="BY3" s="228">
        <v>45756</v>
      </c>
      <c r="BZ3" s="228">
        <v>45757</v>
      </c>
      <c r="CA3" s="228">
        <v>45758</v>
      </c>
      <c r="CB3" s="228">
        <v>45759</v>
      </c>
      <c r="CC3" s="228">
        <v>45759</v>
      </c>
      <c r="CD3" s="228">
        <v>45762</v>
      </c>
      <c r="CE3" s="228">
        <v>45763</v>
      </c>
      <c r="CF3" s="228">
        <v>45764</v>
      </c>
      <c r="CG3" s="228">
        <v>45765</v>
      </c>
      <c r="CH3" s="228">
        <v>45768</v>
      </c>
      <c r="CI3" s="228">
        <v>45769</v>
      </c>
      <c r="CJ3" s="228">
        <v>45769</v>
      </c>
      <c r="CK3" s="228">
        <v>45771</v>
      </c>
      <c r="CL3" s="228">
        <v>45773</v>
      </c>
      <c r="CM3" s="228">
        <v>45774</v>
      </c>
      <c r="CN3" s="228">
        <v>45775</v>
      </c>
      <c r="CO3" s="228">
        <v>45776</v>
      </c>
      <c r="CP3" s="228">
        <v>45776</v>
      </c>
      <c r="CQ3" s="228">
        <v>45777</v>
      </c>
      <c r="CR3" s="228">
        <v>45780</v>
      </c>
      <c r="CS3" s="228">
        <v>45781</v>
      </c>
      <c r="CT3" s="228">
        <v>45783</v>
      </c>
      <c r="CU3" s="228">
        <v>45785</v>
      </c>
      <c r="CV3" s="228">
        <v>45786</v>
      </c>
      <c r="CW3" s="106"/>
      <c r="CX3" s="106"/>
    </row>
    <row r="4" spans="1:105" thickBot="1">
      <c r="D4" s="165"/>
      <c r="F4" s="1" t="s">
        <v>87</v>
      </c>
      <c r="G4" s="1" t="s">
        <v>88</v>
      </c>
      <c r="H4" s="1" t="s">
        <v>89</v>
      </c>
      <c r="I4" s="1" t="s">
        <v>90</v>
      </c>
      <c r="J4" s="1" t="s">
        <v>91</v>
      </c>
      <c r="K4" s="1" t="s">
        <v>92</v>
      </c>
      <c r="L4" s="1" t="s">
        <v>93</v>
      </c>
      <c r="M4" s="158">
        <v>0.6875</v>
      </c>
      <c r="N4" s="1" t="s">
        <v>94</v>
      </c>
      <c r="O4" s="158">
        <v>0.875</v>
      </c>
      <c r="P4" s="158">
        <v>0.85416666666666663</v>
      </c>
      <c r="Q4" s="158">
        <v>0.26041666666666669</v>
      </c>
      <c r="R4" s="158">
        <v>0.73958333333333337</v>
      </c>
      <c r="S4" s="158">
        <v>0.58333333333333337</v>
      </c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>
        <v>0.59722222222222221</v>
      </c>
      <c r="BX4" s="165">
        <v>0.74652777777777779</v>
      </c>
      <c r="BY4" s="165">
        <v>0.55208333333333337</v>
      </c>
      <c r="BZ4" s="165">
        <v>0.59375</v>
      </c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</row>
    <row r="5" spans="1:105" thickBot="1">
      <c r="C5" s="5" t="s">
        <v>95</v>
      </c>
      <c r="D5" s="3">
        <v>0.6</v>
      </c>
      <c r="F5" s="3">
        <v>0.5</v>
      </c>
      <c r="G5" s="3">
        <v>0.4</v>
      </c>
      <c r="H5" s="3">
        <v>0.4</v>
      </c>
      <c r="I5" s="3">
        <v>0.4</v>
      </c>
      <c r="J5" s="3">
        <v>0.4</v>
      </c>
      <c r="K5" s="3">
        <v>0.4</v>
      </c>
      <c r="L5" s="3">
        <v>0.4</v>
      </c>
      <c r="M5" s="3">
        <v>0.4</v>
      </c>
      <c r="N5" s="3">
        <v>0.4</v>
      </c>
      <c r="O5" s="3">
        <v>0.4</v>
      </c>
      <c r="P5" s="3">
        <v>0.6</v>
      </c>
      <c r="Q5" s="3">
        <v>0.5</v>
      </c>
      <c r="R5" s="3">
        <v>0.5</v>
      </c>
      <c r="S5" s="3">
        <v>0.5</v>
      </c>
      <c r="T5" s="3">
        <v>0.5</v>
      </c>
      <c r="U5" s="3">
        <v>0.5</v>
      </c>
      <c r="V5" s="3">
        <v>0.5</v>
      </c>
      <c r="W5" s="3">
        <v>0.5</v>
      </c>
      <c r="X5" s="3">
        <v>0.5</v>
      </c>
      <c r="Y5" s="3">
        <v>0.5</v>
      </c>
      <c r="Z5" s="3">
        <v>0.5</v>
      </c>
      <c r="AA5" s="3">
        <v>0.5</v>
      </c>
      <c r="AB5" s="3">
        <v>0.5</v>
      </c>
      <c r="AC5" s="3">
        <v>0.5</v>
      </c>
      <c r="AD5" s="3">
        <v>0.5</v>
      </c>
      <c r="AE5" s="3">
        <v>0.55000000000000004</v>
      </c>
      <c r="AF5" s="3">
        <v>0.55000000000000004</v>
      </c>
      <c r="AG5" s="3">
        <v>0.55000000000000004</v>
      </c>
      <c r="AH5" s="3">
        <v>0.55000000000000004</v>
      </c>
      <c r="AI5" s="3">
        <v>0.55000000000000004</v>
      </c>
      <c r="AJ5" s="3">
        <v>0.55000000000000004</v>
      </c>
      <c r="AK5" s="3">
        <v>0.5</v>
      </c>
      <c r="AL5" s="3">
        <v>0.5</v>
      </c>
      <c r="AM5" s="3">
        <v>0.5</v>
      </c>
      <c r="AN5" s="3">
        <v>0.5</v>
      </c>
      <c r="AO5" s="3">
        <v>0.5</v>
      </c>
      <c r="AP5" s="3">
        <v>0.5</v>
      </c>
      <c r="AQ5" s="3">
        <v>0.45</v>
      </c>
      <c r="AR5" s="3">
        <v>0.45</v>
      </c>
      <c r="AS5" s="3">
        <v>0.45</v>
      </c>
      <c r="AT5" s="3">
        <v>0.45</v>
      </c>
      <c r="AU5" s="3">
        <v>0.45</v>
      </c>
      <c r="AV5" s="3">
        <v>0.45</v>
      </c>
      <c r="AW5" s="3">
        <v>0.45</v>
      </c>
      <c r="AX5" s="3">
        <v>0.45</v>
      </c>
      <c r="AY5" s="3">
        <v>0.45</v>
      </c>
      <c r="AZ5" s="3">
        <v>0.45</v>
      </c>
      <c r="BA5" s="3">
        <v>0.45</v>
      </c>
      <c r="BB5" s="3">
        <v>0.45</v>
      </c>
      <c r="BC5" s="3">
        <v>0.45</v>
      </c>
      <c r="BD5" s="3">
        <v>0.45</v>
      </c>
      <c r="BE5" s="3">
        <v>0.45</v>
      </c>
      <c r="BF5" s="3">
        <v>0.45</v>
      </c>
      <c r="BG5" s="3">
        <v>0.45</v>
      </c>
      <c r="BH5" s="3">
        <v>0.45</v>
      </c>
      <c r="BI5" s="3">
        <v>0.45</v>
      </c>
      <c r="BJ5" s="3">
        <v>0.45</v>
      </c>
      <c r="BK5" s="3">
        <v>0.45</v>
      </c>
      <c r="BL5" s="3">
        <v>0.45</v>
      </c>
      <c r="BM5" s="3">
        <v>0.45</v>
      </c>
      <c r="BN5" s="3">
        <v>0.35</v>
      </c>
      <c r="BO5" s="3">
        <v>0.35</v>
      </c>
      <c r="BP5" s="3">
        <v>0.35</v>
      </c>
      <c r="BQ5" s="3">
        <v>0.35</v>
      </c>
      <c r="BR5" s="3">
        <v>0.35</v>
      </c>
      <c r="BS5" s="3">
        <v>0.35</v>
      </c>
      <c r="BT5" s="3">
        <v>0.45</v>
      </c>
      <c r="BU5" s="3">
        <v>0.45</v>
      </c>
      <c r="BV5" s="3">
        <v>0.45</v>
      </c>
      <c r="BW5" s="3">
        <v>0.45</v>
      </c>
      <c r="BX5" s="3">
        <v>0.45</v>
      </c>
      <c r="BY5" s="3">
        <v>0.45</v>
      </c>
      <c r="BZ5" s="3">
        <v>0.45</v>
      </c>
      <c r="CA5" s="3">
        <v>0.45</v>
      </c>
      <c r="CB5" s="3">
        <v>0.45</v>
      </c>
      <c r="CC5" s="3">
        <v>0.45</v>
      </c>
      <c r="CD5" s="3">
        <v>0.5</v>
      </c>
      <c r="CE5" s="3">
        <v>0.5</v>
      </c>
      <c r="CF5" s="3">
        <v>0.55000000000000004</v>
      </c>
      <c r="CG5" s="3">
        <v>0.55000000000000004</v>
      </c>
      <c r="CH5" s="3">
        <v>0.6</v>
      </c>
      <c r="CI5" s="3">
        <v>0.6</v>
      </c>
      <c r="CJ5" s="3">
        <v>0.6</v>
      </c>
      <c r="CK5" s="3">
        <v>0.6</v>
      </c>
      <c r="CL5" s="3">
        <v>0.6</v>
      </c>
      <c r="CM5" s="3">
        <v>0.6</v>
      </c>
      <c r="CN5" s="3">
        <v>0.6</v>
      </c>
      <c r="CO5" s="3">
        <v>0.6</v>
      </c>
      <c r="CP5" s="3">
        <v>0.6</v>
      </c>
      <c r="CQ5" s="3">
        <v>0.6</v>
      </c>
      <c r="CR5" s="3">
        <v>0.6</v>
      </c>
      <c r="CS5" s="3">
        <v>0.6</v>
      </c>
      <c r="CT5" s="3">
        <v>0.6</v>
      </c>
      <c r="CU5" s="3">
        <v>0.6</v>
      </c>
      <c r="CV5" s="3">
        <v>0.6</v>
      </c>
      <c r="CW5" s="107"/>
      <c r="CX5" s="107"/>
      <c r="CY5" s="245" t="s">
        <v>96</v>
      </c>
      <c r="CZ5" s="246"/>
      <c r="DA5" s="247"/>
    </row>
    <row r="7" spans="1:105" ht="14.45">
      <c r="C7" s="4" t="s">
        <v>97</v>
      </c>
      <c r="CW7" s="1" t="s">
        <v>98</v>
      </c>
      <c r="CX7" t="s">
        <v>99</v>
      </c>
      <c r="CY7" s="95" t="s">
        <v>100</v>
      </c>
      <c r="CZ7" s="95" t="s">
        <v>101</v>
      </c>
      <c r="DA7" s="95" t="s">
        <v>102</v>
      </c>
    </row>
    <row r="8" spans="1:105" ht="14.45">
      <c r="A8" s="75">
        <f>+D8/($D$21+$D$19)</f>
        <v>0.28638662723869907</v>
      </c>
      <c r="B8" s="1" t="s">
        <v>103</v>
      </c>
      <c r="C8" s="1" t="s">
        <v>104</v>
      </c>
      <c r="D8" s="90">
        <v>460</v>
      </c>
      <c r="F8" s="90">
        <v>460</v>
      </c>
      <c r="G8" s="90">
        <v>470</v>
      </c>
      <c r="H8" s="144">
        <v>470</v>
      </c>
      <c r="I8" s="144">
        <v>470</v>
      </c>
      <c r="J8" s="144">
        <v>470</v>
      </c>
      <c r="K8" s="144">
        <v>470</v>
      </c>
      <c r="L8" s="144">
        <v>470</v>
      </c>
      <c r="M8" s="144">
        <v>470</v>
      </c>
      <c r="N8" s="144">
        <v>470</v>
      </c>
      <c r="O8" s="144">
        <v>470</v>
      </c>
      <c r="P8" s="144">
        <v>470</v>
      </c>
      <c r="Q8" s="144">
        <v>470</v>
      </c>
      <c r="R8" s="144">
        <v>470</v>
      </c>
      <c r="S8" s="144">
        <v>470</v>
      </c>
      <c r="T8" s="90">
        <v>470</v>
      </c>
      <c r="U8" s="90">
        <v>470</v>
      </c>
      <c r="V8" s="90">
        <v>470</v>
      </c>
      <c r="W8" s="90">
        <v>470</v>
      </c>
      <c r="X8" s="90">
        <v>470</v>
      </c>
      <c r="Y8" s="90">
        <v>465</v>
      </c>
      <c r="Z8" s="90">
        <v>465</v>
      </c>
      <c r="AA8" s="90">
        <v>460</v>
      </c>
      <c r="AB8" s="90">
        <v>460</v>
      </c>
      <c r="AC8" s="90">
        <v>460</v>
      </c>
      <c r="AD8" s="90">
        <v>460</v>
      </c>
      <c r="AE8" s="90">
        <v>460</v>
      </c>
      <c r="AF8" s="90">
        <v>460</v>
      </c>
      <c r="AG8" s="90">
        <v>460</v>
      </c>
      <c r="AH8" s="90">
        <v>460</v>
      </c>
      <c r="AI8" s="90">
        <v>460</v>
      </c>
      <c r="AJ8" s="90">
        <v>460</v>
      </c>
      <c r="AK8" s="163">
        <v>430</v>
      </c>
      <c r="AL8" s="90">
        <v>430</v>
      </c>
      <c r="AM8" s="90">
        <v>430</v>
      </c>
      <c r="AN8" s="163">
        <v>460</v>
      </c>
      <c r="AO8" s="90">
        <v>460</v>
      </c>
      <c r="AP8" s="90">
        <v>460</v>
      </c>
      <c r="AQ8" s="90">
        <v>460</v>
      </c>
      <c r="AR8" s="90">
        <v>460</v>
      </c>
      <c r="AS8" s="90">
        <v>460</v>
      </c>
      <c r="AT8" s="90">
        <v>460</v>
      </c>
      <c r="AU8" s="90">
        <v>460</v>
      </c>
      <c r="AV8" s="90">
        <v>460</v>
      </c>
      <c r="AW8" s="90">
        <v>460</v>
      </c>
      <c r="AX8" s="90">
        <v>460</v>
      </c>
      <c r="AY8" s="90">
        <v>460</v>
      </c>
      <c r="AZ8" s="90">
        <v>460</v>
      </c>
      <c r="BA8" s="90">
        <v>460</v>
      </c>
      <c r="BB8" s="90">
        <v>460</v>
      </c>
      <c r="BC8" s="90">
        <v>460</v>
      </c>
      <c r="BD8" s="90">
        <v>460</v>
      </c>
      <c r="BE8" s="90">
        <v>460</v>
      </c>
      <c r="BF8" s="90">
        <v>460</v>
      </c>
      <c r="BG8" s="90">
        <v>460</v>
      </c>
      <c r="BH8" s="90">
        <v>460</v>
      </c>
      <c r="BI8" s="90">
        <v>460</v>
      </c>
      <c r="BJ8" s="90">
        <v>460</v>
      </c>
      <c r="BK8" s="90">
        <v>460</v>
      </c>
      <c r="BL8" s="90">
        <v>460</v>
      </c>
      <c r="BM8" s="90">
        <v>460</v>
      </c>
      <c r="BN8" s="90">
        <v>460</v>
      </c>
      <c r="BO8" s="90">
        <v>460</v>
      </c>
      <c r="BP8" s="90">
        <v>460</v>
      </c>
      <c r="BQ8" s="90">
        <v>460</v>
      </c>
      <c r="BR8" s="90">
        <v>460</v>
      </c>
      <c r="BS8" s="90">
        <v>460</v>
      </c>
      <c r="BT8" s="90">
        <v>460</v>
      </c>
      <c r="BU8" s="90">
        <v>460</v>
      </c>
      <c r="BV8" s="90">
        <v>460</v>
      </c>
      <c r="BW8" s="90">
        <v>460</v>
      </c>
      <c r="BX8" s="90">
        <v>460</v>
      </c>
      <c r="BY8" s="90">
        <v>460</v>
      </c>
      <c r="BZ8" s="90">
        <v>460</v>
      </c>
      <c r="CA8" s="90">
        <v>460</v>
      </c>
      <c r="CB8" s="90">
        <v>460</v>
      </c>
      <c r="CC8" s="90">
        <v>460</v>
      </c>
      <c r="CD8" s="90">
        <v>460</v>
      </c>
      <c r="CE8" s="90">
        <v>460</v>
      </c>
      <c r="CF8" s="90">
        <v>460</v>
      </c>
      <c r="CG8" s="90">
        <v>460</v>
      </c>
      <c r="CH8" s="90">
        <v>460</v>
      </c>
      <c r="CI8" s="90">
        <v>460</v>
      </c>
      <c r="CJ8" s="90">
        <v>460</v>
      </c>
      <c r="CK8" s="90">
        <v>460</v>
      </c>
      <c r="CL8" s="90">
        <v>460</v>
      </c>
      <c r="CM8" s="90">
        <v>460</v>
      </c>
      <c r="CN8" s="90">
        <v>460</v>
      </c>
      <c r="CO8" s="90">
        <v>460</v>
      </c>
      <c r="CP8" s="90">
        <v>460</v>
      </c>
      <c r="CQ8" s="90">
        <v>460</v>
      </c>
      <c r="CR8" s="90">
        <v>460</v>
      </c>
      <c r="CS8" s="90">
        <v>460</v>
      </c>
      <c r="CT8" s="90">
        <v>460</v>
      </c>
      <c r="CU8" s="90">
        <v>460</v>
      </c>
      <c r="CV8" s="90">
        <v>460</v>
      </c>
      <c r="CW8" s="90">
        <f t="shared" ref="CW8:CW16" si="0">+D8-CV8</f>
        <v>0</v>
      </c>
      <c r="CX8" s="108"/>
      <c r="CY8" s="75">
        <v>0.02</v>
      </c>
      <c r="CZ8" s="92">
        <f t="shared" ref="CZ8:CZ16" si="1">+AE8*CY8</f>
        <v>9.2000000000000011</v>
      </c>
      <c r="DA8" s="93">
        <f>+EVEN(+CV8+CZ8)</f>
        <v>470</v>
      </c>
    </row>
    <row r="9" spans="1:105" ht="14.45">
      <c r="A9" s="75">
        <f t="shared" ref="A9:A16" si="2">+D9/($D$21+$D$19)</f>
        <v>9.8990160284680773E-2</v>
      </c>
      <c r="B9" s="1" t="s">
        <v>103</v>
      </c>
      <c r="C9" s="1" t="s">
        <v>105</v>
      </c>
      <c r="D9" s="90">
        <f>153+2+2+2</f>
        <v>159</v>
      </c>
      <c r="F9" s="90">
        <v>137</v>
      </c>
      <c r="G9" s="90">
        <v>141</v>
      </c>
      <c r="H9" s="144">
        <v>141</v>
      </c>
      <c r="I9" s="144">
        <v>141</v>
      </c>
      <c r="J9" s="144">
        <v>141</v>
      </c>
      <c r="K9" s="144">
        <v>142</v>
      </c>
      <c r="L9" s="144">
        <v>142</v>
      </c>
      <c r="M9" s="144">
        <v>142</v>
      </c>
      <c r="N9" s="144">
        <v>142</v>
      </c>
      <c r="O9" s="144">
        <v>142</v>
      </c>
      <c r="P9" s="144">
        <v>142</v>
      </c>
      <c r="Q9" s="144">
        <v>141</v>
      </c>
      <c r="R9" s="144">
        <v>141</v>
      </c>
      <c r="S9" s="144">
        <v>141</v>
      </c>
      <c r="T9" s="163">
        <v>136</v>
      </c>
      <c r="U9" s="163">
        <v>136</v>
      </c>
      <c r="V9" s="163">
        <v>136</v>
      </c>
      <c r="W9" s="163">
        <v>136</v>
      </c>
      <c r="X9" s="163">
        <v>136</v>
      </c>
      <c r="Y9" s="163">
        <v>141</v>
      </c>
      <c r="Z9" s="163">
        <v>141</v>
      </c>
      <c r="AA9" s="163">
        <v>146</v>
      </c>
      <c r="AB9" s="163">
        <v>146</v>
      </c>
      <c r="AC9" s="163">
        <v>143</v>
      </c>
      <c r="AD9" s="163">
        <v>143</v>
      </c>
      <c r="AE9" s="163">
        <v>143</v>
      </c>
      <c r="AF9" s="163">
        <v>141</v>
      </c>
      <c r="AG9" s="163">
        <v>143</v>
      </c>
      <c r="AH9" s="163">
        <v>147</v>
      </c>
      <c r="AI9" s="163">
        <v>149</v>
      </c>
      <c r="AJ9" s="163">
        <v>152</v>
      </c>
      <c r="AK9" s="163">
        <v>148</v>
      </c>
      <c r="AL9" s="90">
        <v>148</v>
      </c>
      <c r="AM9" s="90">
        <v>148</v>
      </c>
      <c r="AN9" s="163">
        <v>148</v>
      </c>
      <c r="AO9" s="90">
        <v>148</v>
      </c>
      <c r="AP9" s="90">
        <v>148</v>
      </c>
      <c r="AQ9" s="163">
        <v>144</v>
      </c>
      <c r="AR9" s="90">
        <v>144</v>
      </c>
      <c r="AS9" s="90">
        <v>144</v>
      </c>
      <c r="AT9" s="90">
        <v>144</v>
      </c>
      <c r="AU9" s="163">
        <v>142</v>
      </c>
      <c r="AV9" s="163">
        <v>142</v>
      </c>
      <c r="AW9" s="90">
        <v>142</v>
      </c>
      <c r="AX9" s="90">
        <v>142</v>
      </c>
      <c r="AY9" s="90">
        <v>142</v>
      </c>
      <c r="AZ9" s="90">
        <v>142</v>
      </c>
      <c r="BA9" s="163">
        <v>144</v>
      </c>
      <c r="BB9" s="90">
        <v>144</v>
      </c>
      <c r="BC9" s="90">
        <v>144</v>
      </c>
      <c r="BD9" s="163">
        <v>142</v>
      </c>
      <c r="BE9" s="204">
        <v>142</v>
      </c>
      <c r="BF9" s="90">
        <v>142</v>
      </c>
      <c r="BG9" s="90">
        <v>142</v>
      </c>
      <c r="BH9" s="90">
        <v>143</v>
      </c>
      <c r="BI9" s="90">
        <v>145</v>
      </c>
      <c r="BJ9" s="90">
        <v>145</v>
      </c>
      <c r="BK9" s="90">
        <v>145</v>
      </c>
      <c r="BL9" s="90">
        <v>145</v>
      </c>
      <c r="BM9" s="90">
        <v>145</v>
      </c>
      <c r="BN9" s="90">
        <v>145</v>
      </c>
      <c r="BO9" s="90">
        <v>145</v>
      </c>
      <c r="BP9" s="90">
        <v>145</v>
      </c>
      <c r="BQ9" s="90">
        <v>145</v>
      </c>
      <c r="BR9" s="90">
        <v>145</v>
      </c>
      <c r="BS9" s="90">
        <v>145</v>
      </c>
      <c r="BT9" s="90">
        <v>145</v>
      </c>
      <c r="BU9" s="90">
        <v>145</v>
      </c>
      <c r="BV9" s="90">
        <v>145</v>
      </c>
      <c r="BW9" s="163">
        <v>147</v>
      </c>
      <c r="BX9" s="1">
        <v>147</v>
      </c>
      <c r="BY9" s="1">
        <v>148</v>
      </c>
      <c r="BZ9" s="163">
        <v>149</v>
      </c>
      <c r="CA9" s="90">
        <v>149</v>
      </c>
      <c r="CB9" s="163">
        <v>151</v>
      </c>
      <c r="CC9" s="163">
        <v>151</v>
      </c>
      <c r="CD9" s="90">
        <v>151</v>
      </c>
      <c r="CE9" s="163">
        <v>153</v>
      </c>
      <c r="CF9" s="163">
        <v>153</v>
      </c>
      <c r="CG9" s="90">
        <v>153</v>
      </c>
      <c r="CH9" s="90">
        <v>155</v>
      </c>
      <c r="CI9" s="90">
        <v>157</v>
      </c>
      <c r="CJ9" s="163">
        <v>157</v>
      </c>
      <c r="CK9" s="90">
        <v>157</v>
      </c>
      <c r="CL9" s="90">
        <v>159</v>
      </c>
      <c r="CM9" s="90">
        <v>159</v>
      </c>
      <c r="CN9" s="90">
        <v>159</v>
      </c>
      <c r="CO9" s="90">
        <v>159</v>
      </c>
      <c r="CP9" s="90">
        <v>159</v>
      </c>
      <c r="CQ9" s="90">
        <v>159</v>
      </c>
      <c r="CR9" s="90">
        <v>159</v>
      </c>
      <c r="CS9" s="90">
        <v>159</v>
      </c>
      <c r="CT9" s="90">
        <v>159</v>
      </c>
      <c r="CU9" s="90">
        <v>159</v>
      </c>
      <c r="CV9" s="90">
        <v>159</v>
      </c>
      <c r="CW9" s="163">
        <f t="shared" si="0"/>
        <v>0</v>
      </c>
      <c r="CX9" s="108"/>
      <c r="CY9" s="75">
        <v>0.02</v>
      </c>
      <c r="CZ9" s="92">
        <f t="shared" si="1"/>
        <v>2.86</v>
      </c>
      <c r="DA9" s="93">
        <f>+EVEN(+CV9+CZ9)</f>
        <v>162</v>
      </c>
    </row>
    <row r="10" spans="1:105" ht="14.45">
      <c r="A10" s="75">
        <f t="shared" si="2"/>
        <v>8.6538567796041674E-2</v>
      </c>
      <c r="B10" s="1" t="s">
        <v>103</v>
      </c>
      <c r="C10" s="1" t="s">
        <v>106</v>
      </c>
      <c r="D10" s="90">
        <f>135+2+2</f>
        <v>139</v>
      </c>
      <c r="F10" s="90">
        <v>128</v>
      </c>
      <c r="G10" s="90">
        <v>129</v>
      </c>
      <c r="H10" s="144">
        <v>129</v>
      </c>
      <c r="I10" s="144">
        <v>129</v>
      </c>
      <c r="J10" s="144">
        <v>129</v>
      </c>
      <c r="K10" s="144">
        <v>129</v>
      </c>
      <c r="L10" s="144">
        <v>129</v>
      </c>
      <c r="M10" s="144">
        <v>129</v>
      </c>
      <c r="N10" s="144">
        <v>129</v>
      </c>
      <c r="O10" s="144">
        <v>129</v>
      </c>
      <c r="P10" s="144">
        <v>129</v>
      </c>
      <c r="Q10" s="144">
        <v>129</v>
      </c>
      <c r="R10" s="144">
        <v>129</v>
      </c>
      <c r="S10" s="144">
        <v>126</v>
      </c>
      <c r="T10" s="163">
        <v>121</v>
      </c>
      <c r="U10" s="163">
        <v>121</v>
      </c>
      <c r="V10" s="163">
        <v>121</v>
      </c>
      <c r="W10" s="163">
        <v>121</v>
      </c>
      <c r="X10" s="163">
        <v>121</v>
      </c>
      <c r="Y10" s="163">
        <v>121</v>
      </c>
      <c r="Z10" s="163">
        <v>121</v>
      </c>
      <c r="AA10" s="163">
        <v>121</v>
      </c>
      <c r="AB10" s="163">
        <v>121</v>
      </c>
      <c r="AC10" s="163">
        <v>121</v>
      </c>
      <c r="AD10" s="163">
        <v>121</v>
      </c>
      <c r="AE10" s="163">
        <v>121</v>
      </c>
      <c r="AF10" s="90">
        <v>121</v>
      </c>
      <c r="AG10" s="90">
        <v>121</v>
      </c>
      <c r="AH10" s="163">
        <v>130</v>
      </c>
      <c r="AI10" s="163">
        <v>130</v>
      </c>
      <c r="AJ10" s="163">
        <v>128</v>
      </c>
      <c r="AK10" s="163">
        <v>124</v>
      </c>
      <c r="AL10" s="163">
        <v>126</v>
      </c>
      <c r="AM10" s="90">
        <v>126</v>
      </c>
      <c r="AN10" s="163">
        <v>125</v>
      </c>
      <c r="AO10" s="90">
        <v>125</v>
      </c>
      <c r="AP10" s="90">
        <v>125</v>
      </c>
      <c r="AQ10" s="163">
        <v>129</v>
      </c>
      <c r="AR10" s="90">
        <v>129</v>
      </c>
      <c r="AS10" s="90">
        <v>129</v>
      </c>
      <c r="AT10" s="90">
        <v>129</v>
      </c>
      <c r="AU10" s="163">
        <v>127</v>
      </c>
      <c r="AV10" s="163">
        <v>127</v>
      </c>
      <c r="AW10" s="90">
        <v>127</v>
      </c>
      <c r="AX10" s="90">
        <v>127</v>
      </c>
      <c r="AY10" s="90">
        <v>127</v>
      </c>
      <c r="AZ10" s="90">
        <v>127</v>
      </c>
      <c r="BA10" s="163">
        <v>125</v>
      </c>
      <c r="BB10" s="90">
        <v>125</v>
      </c>
      <c r="BC10" s="90">
        <v>125</v>
      </c>
      <c r="BD10" s="90">
        <v>125</v>
      </c>
      <c r="BE10" s="90">
        <v>125</v>
      </c>
      <c r="BF10" s="90">
        <v>125</v>
      </c>
      <c r="BG10" s="90">
        <v>125</v>
      </c>
      <c r="BH10" s="90">
        <v>125</v>
      </c>
      <c r="BI10" s="90">
        <v>128</v>
      </c>
      <c r="BJ10" s="90">
        <v>128</v>
      </c>
      <c r="BK10" s="90">
        <v>128</v>
      </c>
      <c r="BL10" s="90">
        <v>128</v>
      </c>
      <c r="BM10" s="163">
        <v>133</v>
      </c>
      <c r="BN10" s="163">
        <v>131</v>
      </c>
      <c r="BO10" s="163">
        <v>131</v>
      </c>
      <c r="BP10" s="163">
        <v>131</v>
      </c>
      <c r="BQ10" s="163">
        <v>131</v>
      </c>
      <c r="BR10" s="90">
        <v>131</v>
      </c>
      <c r="BS10" s="90">
        <v>131</v>
      </c>
      <c r="BT10" s="90">
        <v>131</v>
      </c>
      <c r="BU10" s="90">
        <v>131</v>
      </c>
      <c r="BV10" s="90">
        <v>131</v>
      </c>
      <c r="BW10" s="163">
        <v>133</v>
      </c>
      <c r="BX10" s="1">
        <v>133</v>
      </c>
      <c r="BY10" s="1">
        <v>135</v>
      </c>
      <c r="BZ10" s="90">
        <v>135</v>
      </c>
      <c r="CA10" s="90">
        <v>135</v>
      </c>
      <c r="CB10" s="90">
        <v>135</v>
      </c>
      <c r="CC10" s="90">
        <v>135</v>
      </c>
      <c r="CD10" s="90">
        <v>135</v>
      </c>
      <c r="CE10" s="90">
        <v>135</v>
      </c>
      <c r="CF10" s="90">
        <v>135</v>
      </c>
      <c r="CG10" s="90">
        <v>135</v>
      </c>
      <c r="CH10" s="90">
        <v>137</v>
      </c>
      <c r="CI10" s="90">
        <v>137</v>
      </c>
      <c r="CJ10" s="90">
        <v>137</v>
      </c>
      <c r="CK10" s="90">
        <v>137</v>
      </c>
      <c r="CL10" s="90">
        <v>139</v>
      </c>
      <c r="CM10" s="90">
        <v>139</v>
      </c>
      <c r="CN10" s="90">
        <v>139</v>
      </c>
      <c r="CO10" s="90">
        <v>139</v>
      </c>
      <c r="CP10" s="90">
        <v>139</v>
      </c>
      <c r="CQ10" s="90">
        <v>139</v>
      </c>
      <c r="CR10" s="90">
        <v>139</v>
      </c>
      <c r="CS10" s="90">
        <v>139</v>
      </c>
      <c r="CT10" s="90">
        <v>139</v>
      </c>
      <c r="CU10" s="90">
        <v>139</v>
      </c>
      <c r="CV10" s="90">
        <v>139</v>
      </c>
      <c r="CW10" s="163">
        <f t="shared" si="0"/>
        <v>0</v>
      </c>
      <c r="CX10" s="108"/>
      <c r="CY10" s="75">
        <v>0.02</v>
      </c>
      <c r="CZ10" s="92">
        <f t="shared" si="1"/>
        <v>2.42</v>
      </c>
      <c r="DA10" s="93">
        <f>+EVEN(+CV10+CZ10)</f>
        <v>142</v>
      </c>
    </row>
    <row r="11" spans="1:105" ht="14.45">
      <c r="A11" s="75">
        <f t="shared" si="2"/>
        <v>0</v>
      </c>
      <c r="B11" s="1" t="s">
        <v>103</v>
      </c>
      <c r="C11" s="1" t="s">
        <v>107</v>
      </c>
      <c r="D11" s="90">
        <v>0</v>
      </c>
      <c r="F11" s="90">
        <v>27</v>
      </c>
      <c r="G11" s="90">
        <v>17</v>
      </c>
      <c r="H11" s="144">
        <v>17</v>
      </c>
      <c r="I11" s="144">
        <v>17</v>
      </c>
      <c r="J11" s="144">
        <v>17</v>
      </c>
      <c r="K11" s="144">
        <v>17</v>
      </c>
      <c r="L11" s="144">
        <v>17</v>
      </c>
      <c r="M11" s="144">
        <v>17</v>
      </c>
      <c r="N11" s="144">
        <v>17</v>
      </c>
      <c r="O11" s="144">
        <v>17</v>
      </c>
      <c r="P11" s="144">
        <v>36</v>
      </c>
      <c r="Q11" s="144">
        <v>18</v>
      </c>
      <c r="R11" s="144">
        <v>18</v>
      </c>
      <c r="S11" s="144">
        <v>5</v>
      </c>
      <c r="T11" s="90">
        <v>5</v>
      </c>
      <c r="U11" s="90">
        <v>5</v>
      </c>
      <c r="V11" s="90">
        <v>5</v>
      </c>
      <c r="W11" s="90">
        <v>5</v>
      </c>
      <c r="X11" s="90">
        <v>2</v>
      </c>
      <c r="Y11" s="90">
        <v>0</v>
      </c>
      <c r="Z11" s="90">
        <v>0</v>
      </c>
      <c r="AA11" s="90">
        <v>0</v>
      </c>
      <c r="AB11" s="90">
        <v>0</v>
      </c>
      <c r="AC11" s="90">
        <v>0</v>
      </c>
      <c r="AD11" s="90">
        <v>0</v>
      </c>
      <c r="AE11" s="90">
        <v>0</v>
      </c>
      <c r="AF11" s="90">
        <v>0</v>
      </c>
      <c r="AG11" s="90">
        <v>0</v>
      </c>
      <c r="AH11" s="163">
        <v>28</v>
      </c>
      <c r="AI11" s="163">
        <v>26</v>
      </c>
      <c r="AJ11" s="163">
        <v>28</v>
      </c>
      <c r="AK11" s="163">
        <v>39</v>
      </c>
      <c r="AL11" s="163">
        <v>46</v>
      </c>
      <c r="AM11" s="90">
        <v>46</v>
      </c>
      <c r="AN11" s="163">
        <v>7.5</v>
      </c>
      <c r="AO11" s="90">
        <v>7.5</v>
      </c>
      <c r="AP11" s="90">
        <v>7.5</v>
      </c>
      <c r="AQ11" s="163">
        <v>12</v>
      </c>
      <c r="AR11" s="90">
        <v>12</v>
      </c>
      <c r="AS11" s="90">
        <v>12</v>
      </c>
      <c r="AT11" s="90">
        <v>12</v>
      </c>
      <c r="AU11" s="90">
        <v>12</v>
      </c>
      <c r="AV11" s="90">
        <v>12</v>
      </c>
      <c r="AW11" s="90">
        <v>12</v>
      </c>
      <c r="AX11" s="163">
        <v>8</v>
      </c>
      <c r="AY11" s="163">
        <v>8</v>
      </c>
      <c r="AZ11" s="163">
        <v>8</v>
      </c>
      <c r="BA11" s="163">
        <v>0</v>
      </c>
      <c r="BB11" s="90">
        <v>0</v>
      </c>
      <c r="BC11" s="90">
        <v>0</v>
      </c>
      <c r="BD11" s="90">
        <v>0</v>
      </c>
      <c r="BE11" s="90">
        <v>0</v>
      </c>
      <c r="BF11" s="163">
        <v>0</v>
      </c>
      <c r="BG11" s="163">
        <v>8</v>
      </c>
      <c r="BH11" s="163">
        <v>8</v>
      </c>
      <c r="BI11" s="90">
        <v>0</v>
      </c>
      <c r="BJ11" s="90">
        <v>0</v>
      </c>
      <c r="BK11" s="90">
        <v>0</v>
      </c>
      <c r="BL11" s="90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0</v>
      </c>
      <c r="CN11" s="90">
        <v>0</v>
      </c>
      <c r="CO11" s="90">
        <v>0</v>
      </c>
      <c r="CP11" s="90">
        <v>0</v>
      </c>
      <c r="CQ11" s="90">
        <v>0</v>
      </c>
      <c r="CR11" s="90">
        <v>0</v>
      </c>
      <c r="CS11" s="90">
        <v>0</v>
      </c>
      <c r="CT11" s="90">
        <v>0</v>
      </c>
      <c r="CU11" s="90">
        <v>0</v>
      </c>
      <c r="CV11" s="90">
        <v>0</v>
      </c>
      <c r="CW11" s="90">
        <f t="shared" si="0"/>
        <v>0</v>
      </c>
      <c r="CX11" s="108"/>
      <c r="CY11" s="75">
        <v>0.02</v>
      </c>
      <c r="CZ11" s="92">
        <f t="shared" si="1"/>
        <v>0</v>
      </c>
      <c r="DA11" s="93">
        <f>+EVEN(+CV11+CZ11)</f>
        <v>0</v>
      </c>
    </row>
    <row r="12" spans="1:105" ht="14.45">
      <c r="A12" s="75">
        <f t="shared" si="2"/>
        <v>1.2451592488639091E-3</v>
      </c>
      <c r="B12" s="1" t="s">
        <v>103</v>
      </c>
      <c r="C12" s="1" t="s">
        <v>108</v>
      </c>
      <c r="D12" s="168">
        <f>2</f>
        <v>2</v>
      </c>
      <c r="F12" s="76">
        <v>5.5</v>
      </c>
      <c r="G12" s="76">
        <v>5.5</v>
      </c>
      <c r="H12" s="145">
        <v>5</v>
      </c>
      <c r="I12" s="145">
        <v>2.85</v>
      </c>
      <c r="J12" s="145"/>
      <c r="K12" s="145">
        <v>2</v>
      </c>
      <c r="L12" s="145">
        <v>2</v>
      </c>
      <c r="M12" s="145">
        <v>2</v>
      </c>
      <c r="N12" s="145">
        <v>2.2999999999999998</v>
      </c>
      <c r="O12" s="145">
        <v>2</v>
      </c>
      <c r="P12" s="145">
        <v>1.8</v>
      </c>
      <c r="Q12" s="145">
        <v>1.8</v>
      </c>
      <c r="R12" s="145">
        <v>2</v>
      </c>
      <c r="S12" s="145">
        <v>2</v>
      </c>
      <c r="T12" s="168">
        <v>2.1</v>
      </c>
      <c r="U12" s="168">
        <v>2.2000000000000002</v>
      </c>
      <c r="V12" s="168">
        <v>2.6</v>
      </c>
      <c r="W12" s="168">
        <v>2.6</v>
      </c>
      <c r="X12" s="168">
        <v>2.6</v>
      </c>
      <c r="Y12" s="168">
        <v>2.6</v>
      </c>
      <c r="Z12" s="168">
        <v>2.6</v>
      </c>
      <c r="AA12" s="168">
        <v>2.6</v>
      </c>
      <c r="AB12" s="168">
        <v>2.6</v>
      </c>
      <c r="AC12" s="168">
        <v>2.6</v>
      </c>
      <c r="AD12" s="168">
        <v>2.6</v>
      </c>
      <c r="AE12" s="168">
        <v>2.6</v>
      </c>
      <c r="AF12" s="145">
        <v>2.6</v>
      </c>
      <c r="AG12" s="145">
        <v>2.6</v>
      </c>
      <c r="AH12" s="168">
        <v>2.7</v>
      </c>
      <c r="AI12" s="168">
        <v>2.7</v>
      </c>
      <c r="AJ12" s="168">
        <v>2.7</v>
      </c>
      <c r="AK12" s="168">
        <v>2.7</v>
      </c>
      <c r="AL12" s="168">
        <v>2.9000000000000004</v>
      </c>
      <c r="AM12" s="168">
        <v>3</v>
      </c>
      <c r="AN12" s="168">
        <v>3.2</v>
      </c>
      <c r="AO12" s="145">
        <v>3.2</v>
      </c>
      <c r="AP12" s="145">
        <v>3.2</v>
      </c>
      <c r="AQ12" s="145">
        <v>3.2</v>
      </c>
      <c r="AR12" s="145">
        <v>3.2</v>
      </c>
      <c r="AS12" s="145">
        <v>3.2</v>
      </c>
      <c r="AT12" s="145">
        <v>3.2</v>
      </c>
      <c r="AU12" s="145">
        <v>3.2</v>
      </c>
      <c r="AV12" s="145">
        <v>3.2</v>
      </c>
      <c r="AW12" s="145">
        <v>3.2</v>
      </c>
      <c r="AX12" s="145">
        <v>3.2</v>
      </c>
      <c r="AY12" s="145">
        <v>3.2</v>
      </c>
      <c r="AZ12" s="145">
        <v>3.2</v>
      </c>
      <c r="BA12" s="145">
        <v>3.2</v>
      </c>
      <c r="BB12" s="145">
        <v>3.2</v>
      </c>
      <c r="BC12" s="145">
        <v>3.2</v>
      </c>
      <c r="BD12" s="145">
        <v>3.2</v>
      </c>
      <c r="BE12" s="145">
        <v>3.2</v>
      </c>
      <c r="BF12" s="203">
        <v>3.2</v>
      </c>
      <c r="BG12" s="203">
        <v>3.2</v>
      </c>
      <c r="BH12" s="203">
        <v>3.2</v>
      </c>
      <c r="BI12" s="145">
        <v>3.2</v>
      </c>
      <c r="BJ12" s="145">
        <v>3.2</v>
      </c>
      <c r="BK12" s="145">
        <v>3.2</v>
      </c>
      <c r="BL12" s="145">
        <v>3.2</v>
      </c>
      <c r="BM12" s="168">
        <v>0</v>
      </c>
      <c r="BN12" s="145">
        <v>0</v>
      </c>
      <c r="BO12" s="145">
        <v>0</v>
      </c>
      <c r="BP12" s="145">
        <v>1.3</v>
      </c>
      <c r="BQ12" s="145">
        <v>1.4</v>
      </c>
      <c r="BR12" s="168">
        <v>1.9</v>
      </c>
      <c r="BS12" s="168">
        <v>1.9</v>
      </c>
      <c r="BT12" s="145">
        <v>1.9</v>
      </c>
      <c r="BU12" s="145">
        <v>1.9</v>
      </c>
      <c r="BV12" s="145">
        <v>1.9</v>
      </c>
      <c r="BW12" s="168">
        <v>1.7</v>
      </c>
      <c r="BX12" s="234">
        <v>1.7</v>
      </c>
      <c r="BY12" s="234">
        <v>1.5</v>
      </c>
      <c r="BZ12" s="168">
        <v>1.3</v>
      </c>
      <c r="CA12" s="168">
        <v>1.2</v>
      </c>
      <c r="CB12" s="145">
        <v>1.2</v>
      </c>
      <c r="CC12" s="145">
        <v>1.1000000000000001</v>
      </c>
      <c r="CD12" s="145">
        <v>1.1000000000000001</v>
      </c>
      <c r="CE12" s="145">
        <v>1.1000000000000001</v>
      </c>
      <c r="CF12" s="145">
        <v>1.1000000000000001</v>
      </c>
      <c r="CG12" s="145">
        <v>1.1000000000000001</v>
      </c>
      <c r="CH12" s="145">
        <v>1.1000000000000001</v>
      </c>
      <c r="CI12" s="145">
        <v>1.1000000000000001</v>
      </c>
      <c r="CJ12" s="145">
        <v>1.3</v>
      </c>
      <c r="CK12" s="145">
        <v>1.3</v>
      </c>
      <c r="CL12" s="145">
        <v>1.3</v>
      </c>
      <c r="CM12" s="145">
        <v>1.5</v>
      </c>
      <c r="CN12" s="145">
        <v>1.5</v>
      </c>
      <c r="CO12" s="145">
        <v>1.6</v>
      </c>
      <c r="CP12" s="145">
        <v>1.6</v>
      </c>
      <c r="CQ12" s="145">
        <v>1.8</v>
      </c>
      <c r="CR12" s="145">
        <v>2</v>
      </c>
      <c r="CS12" s="145">
        <v>2</v>
      </c>
      <c r="CT12" s="145">
        <v>2</v>
      </c>
      <c r="CU12" s="145">
        <v>2</v>
      </c>
      <c r="CV12" s="145">
        <v>2</v>
      </c>
      <c r="CW12" s="185">
        <f t="shared" si="0"/>
        <v>0</v>
      </c>
      <c r="CX12" s="108"/>
      <c r="CY12" s="75">
        <v>0.01</v>
      </c>
      <c r="CZ12" s="92">
        <f t="shared" si="1"/>
        <v>2.6000000000000002E-2</v>
      </c>
      <c r="DA12" s="93">
        <f>++CV12+CZ12</f>
        <v>2.0259999999999998</v>
      </c>
    </row>
    <row r="13" spans="1:105" ht="14.45">
      <c r="A13" s="75">
        <f t="shared" si="2"/>
        <v>1.0272563803127249E-3</v>
      </c>
      <c r="B13" s="1" t="s">
        <v>103</v>
      </c>
      <c r="C13" s="1" t="s">
        <v>109</v>
      </c>
      <c r="D13" s="168">
        <f>1.55+0.1</f>
        <v>1.6500000000000001</v>
      </c>
      <c r="F13" s="91">
        <v>0.25</v>
      </c>
      <c r="G13" s="91">
        <v>0.25</v>
      </c>
      <c r="H13" s="146">
        <v>0.22</v>
      </c>
      <c r="I13" s="146">
        <v>0.12</v>
      </c>
      <c r="J13" s="146"/>
      <c r="K13" s="146">
        <v>0.1</v>
      </c>
      <c r="L13" s="146">
        <v>0.1</v>
      </c>
      <c r="M13" s="146">
        <v>0.1</v>
      </c>
      <c r="N13" s="146">
        <v>0.1</v>
      </c>
      <c r="O13" s="146">
        <v>0.1</v>
      </c>
      <c r="P13" s="146"/>
      <c r="Q13" s="146"/>
      <c r="R13" s="146">
        <v>0.05</v>
      </c>
      <c r="S13" s="146">
        <v>0.09</v>
      </c>
      <c r="T13" s="146">
        <v>0.09</v>
      </c>
      <c r="U13" s="146">
        <v>0.09</v>
      </c>
      <c r="V13" s="146">
        <v>0</v>
      </c>
      <c r="W13" s="146">
        <v>0</v>
      </c>
      <c r="X13" s="146">
        <v>0</v>
      </c>
      <c r="Y13" s="146">
        <v>0</v>
      </c>
      <c r="Z13" s="146">
        <v>0</v>
      </c>
      <c r="AA13" s="146">
        <v>0</v>
      </c>
      <c r="AB13" s="146">
        <v>0</v>
      </c>
      <c r="AC13" s="146">
        <v>0</v>
      </c>
      <c r="AD13" s="146">
        <v>0</v>
      </c>
      <c r="AE13" s="146">
        <v>0</v>
      </c>
      <c r="AF13" s="146">
        <v>0</v>
      </c>
      <c r="AG13" s="146">
        <v>0</v>
      </c>
      <c r="AH13" s="146">
        <v>0</v>
      </c>
      <c r="AI13" s="146">
        <v>0</v>
      </c>
      <c r="AJ13" s="146">
        <v>0</v>
      </c>
      <c r="AK13" s="146">
        <v>0</v>
      </c>
      <c r="AL13" s="146">
        <v>0</v>
      </c>
      <c r="AM13" s="146">
        <v>0</v>
      </c>
      <c r="AN13" s="193">
        <v>0</v>
      </c>
      <c r="AO13" s="146">
        <v>0</v>
      </c>
      <c r="AP13" s="146">
        <v>0</v>
      </c>
      <c r="AQ13" s="146">
        <v>0</v>
      </c>
      <c r="AR13" s="146">
        <v>0</v>
      </c>
      <c r="AS13" s="146">
        <v>0</v>
      </c>
      <c r="AT13" s="146">
        <v>0</v>
      </c>
      <c r="AU13" s="146">
        <v>0</v>
      </c>
      <c r="AV13" s="146">
        <v>0</v>
      </c>
      <c r="AW13" s="146">
        <v>0</v>
      </c>
      <c r="AX13" s="146">
        <v>0</v>
      </c>
      <c r="AY13" s="146">
        <v>0</v>
      </c>
      <c r="AZ13" s="146">
        <v>0</v>
      </c>
      <c r="BA13" s="193">
        <v>0.1</v>
      </c>
      <c r="BB13" s="193">
        <v>0.2</v>
      </c>
      <c r="BC13" s="202">
        <v>0.2</v>
      </c>
      <c r="BD13" s="202">
        <v>0.2</v>
      </c>
      <c r="BE13" s="193">
        <v>0.25</v>
      </c>
      <c r="BF13" s="146">
        <v>0.25</v>
      </c>
      <c r="BG13" s="146">
        <v>0.25</v>
      </c>
      <c r="BH13" s="146">
        <v>0.3</v>
      </c>
      <c r="BI13" s="146">
        <v>0.3</v>
      </c>
      <c r="BJ13" s="146">
        <v>0.2</v>
      </c>
      <c r="BK13" s="193">
        <v>0.25</v>
      </c>
      <c r="BL13" s="193">
        <v>0.3</v>
      </c>
      <c r="BM13" s="193">
        <v>0.3</v>
      </c>
      <c r="BN13" s="193">
        <v>0</v>
      </c>
      <c r="BO13" s="193">
        <v>0.1</v>
      </c>
      <c r="BP13" s="193">
        <v>0.6</v>
      </c>
      <c r="BQ13" s="193">
        <v>0.8</v>
      </c>
      <c r="BR13" s="168">
        <v>1</v>
      </c>
      <c r="BS13" s="168">
        <v>1</v>
      </c>
      <c r="BT13" s="234">
        <v>1</v>
      </c>
      <c r="BU13" s="168">
        <v>1.1000000000000001</v>
      </c>
      <c r="BV13" s="145">
        <v>1.1000000000000001</v>
      </c>
      <c r="BW13" s="168">
        <v>1.05</v>
      </c>
      <c r="BX13" s="234">
        <v>1.05</v>
      </c>
      <c r="BY13" s="234">
        <v>1.05</v>
      </c>
      <c r="BZ13" s="168">
        <v>1.1500000000000001</v>
      </c>
      <c r="CA13" s="168">
        <v>1.2</v>
      </c>
      <c r="CB13" s="145">
        <v>1.2</v>
      </c>
      <c r="CC13" s="145">
        <v>1.2</v>
      </c>
      <c r="CD13" s="145">
        <v>1.2</v>
      </c>
      <c r="CE13" s="145">
        <v>1.2</v>
      </c>
      <c r="CF13" s="145">
        <v>1.2</v>
      </c>
      <c r="CG13" s="145">
        <v>1.2</v>
      </c>
      <c r="CH13" s="145">
        <v>1.3</v>
      </c>
      <c r="CI13" s="145">
        <v>1.5</v>
      </c>
      <c r="CJ13" s="168">
        <v>1.5</v>
      </c>
      <c r="CK13" s="145">
        <v>1.5</v>
      </c>
      <c r="CL13" s="145">
        <v>1.65</v>
      </c>
      <c r="CM13" s="145">
        <v>1.8499999999999999</v>
      </c>
      <c r="CN13" s="145">
        <v>1.8499999999999999</v>
      </c>
      <c r="CO13" s="145">
        <v>1.95</v>
      </c>
      <c r="CP13" s="145">
        <v>1.95</v>
      </c>
      <c r="CQ13" s="145">
        <v>1.8</v>
      </c>
      <c r="CR13" s="145">
        <v>1.6</v>
      </c>
      <c r="CS13" s="145">
        <v>1.6</v>
      </c>
      <c r="CT13" s="145">
        <v>1.5</v>
      </c>
      <c r="CU13" s="145">
        <v>1.5</v>
      </c>
      <c r="CV13" s="168">
        <v>1.55</v>
      </c>
      <c r="CW13" s="185">
        <f t="shared" si="0"/>
        <v>0.10000000000000009</v>
      </c>
      <c r="CX13" s="143"/>
      <c r="CY13" s="75">
        <v>0.01</v>
      </c>
      <c r="CZ13" s="92">
        <f t="shared" si="1"/>
        <v>0</v>
      </c>
      <c r="DA13" s="93">
        <f>++CV13+CZ13</f>
        <v>1.55</v>
      </c>
    </row>
    <row r="14" spans="1:105" ht="14.45">
      <c r="A14" s="75">
        <f t="shared" si="2"/>
        <v>8.7161147420473646E-4</v>
      </c>
      <c r="B14" s="1" t="s">
        <v>103</v>
      </c>
      <c r="C14" s="1" t="s">
        <v>110</v>
      </c>
      <c r="D14" s="76">
        <f>1.3+0.1+0.2-0.2</f>
        <v>1.4000000000000001</v>
      </c>
      <c r="F14" s="76">
        <v>0</v>
      </c>
      <c r="G14" s="76">
        <v>0</v>
      </c>
      <c r="H14" s="145">
        <v>0</v>
      </c>
      <c r="I14" s="145">
        <v>0</v>
      </c>
      <c r="J14" s="145">
        <v>0</v>
      </c>
      <c r="K14" s="145"/>
      <c r="L14" s="145"/>
      <c r="M14" s="145"/>
      <c r="N14" s="145"/>
      <c r="O14" s="145"/>
      <c r="P14" s="145"/>
      <c r="Q14" s="145"/>
      <c r="R14" s="145"/>
      <c r="S14" s="145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49"/>
      <c r="BJ14" s="149"/>
      <c r="BK14" s="149"/>
      <c r="BL14" s="149"/>
      <c r="BM14" s="120">
        <v>1.1000000000000001</v>
      </c>
      <c r="BN14" s="149">
        <v>1.1000000000000001</v>
      </c>
      <c r="BO14" s="149">
        <v>1.1000000000000001</v>
      </c>
      <c r="BP14" s="149">
        <v>0.8</v>
      </c>
      <c r="BQ14" s="149">
        <v>1.1000000000000001</v>
      </c>
      <c r="BR14" s="185">
        <v>2</v>
      </c>
      <c r="BS14" s="185">
        <v>2</v>
      </c>
      <c r="BT14" s="76">
        <v>2</v>
      </c>
      <c r="BU14" s="76">
        <v>2</v>
      </c>
      <c r="BV14" s="185">
        <v>1.8</v>
      </c>
      <c r="BW14" s="185">
        <v>1.7</v>
      </c>
      <c r="BX14" s="185">
        <v>1.55</v>
      </c>
      <c r="BY14" s="185">
        <v>1.55</v>
      </c>
      <c r="BZ14" s="185">
        <v>1.45</v>
      </c>
      <c r="CA14" s="185">
        <v>1.35</v>
      </c>
      <c r="CB14" s="76">
        <v>1.35</v>
      </c>
      <c r="CC14" s="76">
        <v>1.35</v>
      </c>
      <c r="CD14" s="76">
        <v>1.35</v>
      </c>
      <c r="CE14" s="76">
        <v>1.35</v>
      </c>
      <c r="CF14" s="76">
        <v>1.35</v>
      </c>
      <c r="CG14" s="185">
        <v>1.2000000000000002</v>
      </c>
      <c r="CH14" s="185">
        <v>1.2000000000000002</v>
      </c>
      <c r="CI14" s="185">
        <v>1.2000000000000002</v>
      </c>
      <c r="CJ14" s="76">
        <v>1.2000000000000002</v>
      </c>
      <c r="CK14" s="185">
        <v>1.3000000000000003</v>
      </c>
      <c r="CL14" s="185">
        <v>1.3000000000000003</v>
      </c>
      <c r="CM14" s="185">
        <v>1.4000000000000001</v>
      </c>
      <c r="CN14" s="185">
        <v>1.6</v>
      </c>
      <c r="CO14" s="185">
        <v>1.6</v>
      </c>
      <c r="CP14" s="76">
        <v>1.6</v>
      </c>
      <c r="CQ14" s="76">
        <v>1.6</v>
      </c>
      <c r="CR14" s="76">
        <v>1.6</v>
      </c>
      <c r="CS14" s="185">
        <v>1.4000000000000001</v>
      </c>
      <c r="CT14" s="185">
        <v>1.4000000000000001</v>
      </c>
      <c r="CU14" s="185">
        <v>1.4000000000000001</v>
      </c>
      <c r="CV14" s="76">
        <v>1.4000000000000001</v>
      </c>
      <c r="CW14" s="185">
        <f t="shared" si="0"/>
        <v>0</v>
      </c>
      <c r="CX14" s="108"/>
      <c r="CY14" s="75">
        <v>5.0000000000000001E-3</v>
      </c>
      <c r="CZ14" s="92">
        <f t="shared" si="1"/>
        <v>0</v>
      </c>
      <c r="DA14" s="93">
        <f>++CV14+CZ14</f>
        <v>1.4000000000000001</v>
      </c>
    </row>
    <row r="15" spans="1:105" ht="14.45">
      <c r="A15" s="75">
        <f t="shared" si="2"/>
        <v>0</v>
      </c>
      <c r="B15" s="1" t="s">
        <v>103</v>
      </c>
      <c r="C15" s="1" t="s">
        <v>111</v>
      </c>
      <c r="D15" s="149">
        <v>0</v>
      </c>
      <c r="F15" s="90">
        <v>0.02</v>
      </c>
      <c r="G15" s="90">
        <v>0.02</v>
      </c>
      <c r="H15" s="144">
        <v>0.02</v>
      </c>
      <c r="I15" s="144">
        <v>2.1499999999999998E-2</v>
      </c>
      <c r="J15" s="144">
        <v>2.1499999999999998E-2</v>
      </c>
      <c r="K15" s="144">
        <v>2.1499999999999998E-2</v>
      </c>
      <c r="L15" s="144">
        <v>2.1499999999999998E-2</v>
      </c>
      <c r="M15" s="144">
        <v>0.02</v>
      </c>
      <c r="N15" s="144">
        <v>0.02</v>
      </c>
      <c r="O15" s="144">
        <v>1.8499999999999999E-2</v>
      </c>
      <c r="P15" s="144">
        <v>1.8499999999999999E-2</v>
      </c>
      <c r="Q15" s="144">
        <v>1.8499999999999999E-2</v>
      </c>
      <c r="R15" s="144">
        <v>1.8499999999999999E-2</v>
      </c>
      <c r="S15" s="144">
        <v>1.8499999999999999E-2</v>
      </c>
      <c r="T15" s="90">
        <v>1.8499999999999999E-2</v>
      </c>
      <c r="U15" s="90">
        <v>1.6999999999999998E-2</v>
      </c>
      <c r="V15" s="90">
        <v>1.6999999999999998E-2</v>
      </c>
      <c r="W15" s="90">
        <v>1.4999999999999998E-2</v>
      </c>
      <c r="X15" s="90">
        <v>1.2999999999999998E-2</v>
      </c>
      <c r="Y15" s="90">
        <v>1.2999999999999998E-2</v>
      </c>
      <c r="Z15" s="90">
        <v>1.0999999999999998E-2</v>
      </c>
      <c r="AA15" s="90">
        <v>1.0999999999999998E-2</v>
      </c>
      <c r="AB15" s="90">
        <v>9.9999999999999985E-3</v>
      </c>
      <c r="AC15" s="90">
        <v>9.9999999999999985E-3</v>
      </c>
      <c r="AD15" s="90">
        <v>8.4999999999999989E-3</v>
      </c>
      <c r="AE15" s="90">
        <v>8.4999999999999989E-3</v>
      </c>
      <c r="AF15" s="179">
        <v>9.9999999999999985E-3</v>
      </c>
      <c r="AG15" s="179">
        <v>8.4999999999999989E-3</v>
      </c>
      <c r="AH15" s="120">
        <v>8.4999999999999989E-3</v>
      </c>
      <c r="AI15" s="120">
        <v>8.4999999999999989E-3</v>
      </c>
      <c r="AJ15" s="120">
        <v>8.4999999999999989E-3</v>
      </c>
      <c r="AK15" s="149">
        <v>8.4999999999999989E-3</v>
      </c>
      <c r="AL15" s="149">
        <v>8.4999999999999989E-3</v>
      </c>
      <c r="AM15" s="120">
        <v>7.4999999999999997E-3</v>
      </c>
      <c r="AN15" s="149">
        <v>7.4999999999999997E-3</v>
      </c>
      <c r="AO15" s="120">
        <v>8.4999999999999989E-3</v>
      </c>
      <c r="AP15" s="120">
        <v>0.01</v>
      </c>
      <c r="AQ15" s="120">
        <v>1.15E-2</v>
      </c>
      <c r="AR15" s="120">
        <v>1.2999999999999999E-2</v>
      </c>
      <c r="AS15" s="120">
        <v>1.15E-2</v>
      </c>
      <c r="AT15" s="120">
        <v>1.35E-2</v>
      </c>
      <c r="AU15" s="120">
        <v>1.35E-2</v>
      </c>
      <c r="AV15" s="120">
        <v>1.4999999999999999E-2</v>
      </c>
      <c r="AW15" s="120">
        <v>1.6E-2</v>
      </c>
      <c r="AX15" s="149">
        <v>1.6E-2</v>
      </c>
      <c r="AY15" s="149">
        <v>1.6E-2</v>
      </c>
      <c r="AZ15" s="149">
        <v>1.6E-2</v>
      </c>
      <c r="BA15" s="149">
        <v>1.6E-2</v>
      </c>
      <c r="BB15" s="149">
        <v>1.6E-2</v>
      </c>
      <c r="BC15" s="120">
        <f>0.016+0.0015</f>
        <v>1.7500000000000002E-2</v>
      </c>
      <c r="BD15" s="149">
        <v>1.7500000000000002E-2</v>
      </c>
      <c r="BE15" s="149">
        <v>1.7500000000000002E-2</v>
      </c>
      <c r="BF15" s="120">
        <v>1.8500000000000003E-2</v>
      </c>
      <c r="BG15" s="149">
        <v>1.8500000000000003E-2</v>
      </c>
      <c r="BH15" s="149">
        <v>1.7500000000000002E-2</v>
      </c>
      <c r="BI15" s="120">
        <v>1.7999999999999999E-2</v>
      </c>
      <c r="BJ15" s="120">
        <v>1.7999999999999999E-2</v>
      </c>
      <c r="BK15" s="149">
        <v>1.7999999999999999E-2</v>
      </c>
      <c r="BL15" s="149">
        <v>1.7999999999999999E-2</v>
      </c>
      <c r="BM15" s="120">
        <v>0</v>
      </c>
      <c r="BN15" s="149">
        <v>0</v>
      </c>
      <c r="BO15" s="149">
        <v>0</v>
      </c>
      <c r="BP15" s="149">
        <v>0</v>
      </c>
      <c r="BQ15" s="149">
        <v>0</v>
      </c>
      <c r="BR15" s="149">
        <v>0</v>
      </c>
      <c r="BS15" s="149">
        <v>0</v>
      </c>
      <c r="BT15" s="149">
        <v>0</v>
      </c>
      <c r="BU15" s="149">
        <v>0</v>
      </c>
      <c r="BV15" s="149">
        <v>0</v>
      </c>
      <c r="BW15" s="149">
        <v>0</v>
      </c>
      <c r="BX15" s="149">
        <v>0</v>
      </c>
      <c r="BY15" s="149">
        <v>0</v>
      </c>
      <c r="BZ15" s="149">
        <v>0</v>
      </c>
      <c r="CA15" s="149">
        <v>0</v>
      </c>
      <c r="CB15" s="149">
        <v>0</v>
      </c>
      <c r="CC15" s="149">
        <v>0</v>
      </c>
      <c r="CD15" s="149">
        <v>0</v>
      </c>
      <c r="CE15" s="149">
        <v>0</v>
      </c>
      <c r="CF15" s="149">
        <v>0</v>
      </c>
      <c r="CG15" s="149">
        <v>0</v>
      </c>
      <c r="CH15" s="149">
        <v>0</v>
      </c>
      <c r="CI15" s="149">
        <v>0</v>
      </c>
      <c r="CJ15" s="149">
        <v>0</v>
      </c>
      <c r="CK15" s="149">
        <v>0</v>
      </c>
      <c r="CL15" s="149">
        <v>0</v>
      </c>
      <c r="CM15" s="149">
        <v>0</v>
      </c>
      <c r="CN15" s="149">
        <v>0</v>
      </c>
      <c r="CO15" s="149">
        <v>0</v>
      </c>
      <c r="CP15" s="149">
        <v>0</v>
      </c>
      <c r="CQ15" s="149">
        <v>0</v>
      </c>
      <c r="CR15" s="149">
        <v>0</v>
      </c>
      <c r="CS15" s="149">
        <v>0</v>
      </c>
      <c r="CT15" s="149">
        <v>0</v>
      </c>
      <c r="CU15" s="149">
        <v>0</v>
      </c>
      <c r="CV15" s="149">
        <v>0</v>
      </c>
      <c r="CW15" s="205">
        <f t="shared" si="0"/>
        <v>0</v>
      </c>
      <c r="CX15" s="176">
        <f>+CW15*1000000</f>
        <v>0</v>
      </c>
      <c r="CY15" s="75">
        <v>5.0000000000000001E-3</v>
      </c>
      <c r="CZ15" s="92">
        <f t="shared" si="1"/>
        <v>4.2499999999999996E-5</v>
      </c>
      <c r="DA15" s="93">
        <f>++CV15+CZ15</f>
        <v>4.2499999999999996E-5</v>
      </c>
    </row>
    <row r="16" spans="1:105" ht="14.45">
      <c r="A16" s="75">
        <f t="shared" si="2"/>
        <v>0</v>
      </c>
      <c r="B16" s="1" t="s">
        <v>103</v>
      </c>
      <c r="C16" s="1" t="s">
        <v>112</v>
      </c>
      <c r="D16" s="150">
        <v>0</v>
      </c>
      <c r="F16" s="90">
        <v>0</v>
      </c>
      <c r="G16" s="90">
        <v>0</v>
      </c>
      <c r="H16" s="144">
        <v>0</v>
      </c>
      <c r="I16" s="144">
        <v>0</v>
      </c>
      <c r="J16" s="144">
        <v>0</v>
      </c>
      <c r="K16" s="144"/>
      <c r="L16" s="144">
        <v>1.4499999999999999E-3</v>
      </c>
      <c r="M16" s="144">
        <v>1.75E-3</v>
      </c>
      <c r="N16" s="144">
        <v>1.75E-3</v>
      </c>
      <c r="O16" s="144">
        <v>1.75E-3</v>
      </c>
      <c r="P16" s="144">
        <v>1.75E-3</v>
      </c>
      <c r="Q16" s="144">
        <v>1.75E-3</v>
      </c>
      <c r="R16" s="144">
        <v>1.75E-3</v>
      </c>
      <c r="S16" s="144">
        <v>1.75E-3</v>
      </c>
      <c r="T16" s="150">
        <v>1.75E-3</v>
      </c>
      <c r="U16" s="150">
        <v>1.75E-3</v>
      </c>
      <c r="V16" s="150">
        <v>1.75E-3</v>
      </c>
      <c r="W16" s="150">
        <v>1.75E-3</v>
      </c>
      <c r="X16" s="150">
        <v>1.75E-3</v>
      </c>
      <c r="Y16" s="150">
        <v>1.75E-3</v>
      </c>
      <c r="Z16" s="150">
        <v>1.75E-3</v>
      </c>
      <c r="AA16" s="150">
        <v>1.75E-3</v>
      </c>
      <c r="AB16" s="150">
        <v>1.75E-3</v>
      </c>
      <c r="AC16" s="150">
        <v>1.75E-3</v>
      </c>
      <c r="AD16" s="150">
        <v>1.75E-3</v>
      </c>
      <c r="AE16" s="150">
        <v>1.75E-3</v>
      </c>
      <c r="AF16" s="150">
        <v>1.75E-3</v>
      </c>
      <c r="AG16" s="150">
        <v>1.75E-3</v>
      </c>
      <c r="AH16" s="150">
        <v>1.75E-3</v>
      </c>
      <c r="AI16" s="150">
        <v>1.75E-3</v>
      </c>
      <c r="AJ16" s="150">
        <v>1.75E-3</v>
      </c>
      <c r="AK16" s="150">
        <v>1.75E-3</v>
      </c>
      <c r="AL16" s="150">
        <v>1.75E-3</v>
      </c>
      <c r="AM16" s="150">
        <v>1.75E-3</v>
      </c>
      <c r="AN16" s="150">
        <v>1.75E-3</v>
      </c>
      <c r="AO16" s="150">
        <v>1.75E-3</v>
      </c>
      <c r="AP16" s="150">
        <v>1.75E-3</v>
      </c>
      <c r="AQ16" s="150">
        <v>1.75E-3</v>
      </c>
      <c r="AR16" s="150">
        <v>1.75E-3</v>
      </c>
      <c r="AS16" s="150">
        <v>1.75E-3</v>
      </c>
      <c r="AT16" s="150">
        <v>1.75E-3</v>
      </c>
      <c r="AU16" s="150">
        <v>1.75E-3</v>
      </c>
      <c r="AV16" s="150">
        <v>1.75E-3</v>
      </c>
      <c r="AW16" s="150">
        <v>1.75E-3</v>
      </c>
      <c r="AX16" s="150">
        <v>1.75E-3</v>
      </c>
      <c r="AY16" s="150">
        <v>1.75E-3</v>
      </c>
      <c r="AZ16" s="150">
        <v>1.75E-3</v>
      </c>
      <c r="BA16" s="150">
        <v>1.75E-3</v>
      </c>
      <c r="BB16" s="150">
        <v>1.75E-3</v>
      </c>
      <c r="BC16" s="150">
        <v>1.75E-3</v>
      </c>
      <c r="BD16" s="150">
        <v>1.75E-3</v>
      </c>
      <c r="BE16" s="150">
        <v>1.75E-3</v>
      </c>
      <c r="BF16" s="150">
        <v>1.75E-3</v>
      </c>
      <c r="BG16" s="150">
        <v>1.75E-3</v>
      </c>
      <c r="BH16" s="150">
        <v>1.75E-3</v>
      </c>
      <c r="BI16" s="150">
        <v>1.75E-3</v>
      </c>
      <c r="BJ16" s="150">
        <v>1.75E-3</v>
      </c>
      <c r="BK16" s="150">
        <v>1.75E-3</v>
      </c>
      <c r="BL16" s="150">
        <v>1.75E-3</v>
      </c>
      <c r="BM16" s="229">
        <v>0</v>
      </c>
      <c r="BN16" s="150">
        <v>0</v>
      </c>
      <c r="BO16" s="150">
        <v>0</v>
      </c>
      <c r="BP16" s="150">
        <v>0</v>
      </c>
      <c r="BQ16" s="150">
        <v>0</v>
      </c>
      <c r="BR16" s="150">
        <v>0</v>
      </c>
      <c r="BS16" s="150">
        <v>0</v>
      </c>
      <c r="BT16" s="150">
        <v>0</v>
      </c>
      <c r="BU16" s="150">
        <v>0</v>
      </c>
      <c r="BV16" s="150">
        <v>0</v>
      </c>
      <c r="BW16" s="150">
        <v>0</v>
      </c>
      <c r="BX16" s="150">
        <v>0</v>
      </c>
      <c r="BY16" s="150">
        <v>0</v>
      </c>
      <c r="BZ16" s="150">
        <v>0</v>
      </c>
      <c r="CA16" s="150">
        <v>0</v>
      </c>
      <c r="CB16" s="150">
        <v>0</v>
      </c>
      <c r="CC16" s="150">
        <v>0</v>
      </c>
      <c r="CD16" s="150">
        <v>0</v>
      </c>
      <c r="CE16" s="150">
        <v>0</v>
      </c>
      <c r="CF16" s="150">
        <v>0</v>
      </c>
      <c r="CG16" s="150">
        <v>0</v>
      </c>
      <c r="CH16" s="150">
        <v>0</v>
      </c>
      <c r="CI16" s="150">
        <v>0</v>
      </c>
      <c r="CJ16" s="150">
        <v>0</v>
      </c>
      <c r="CK16" s="150">
        <v>0</v>
      </c>
      <c r="CL16" s="150">
        <v>0</v>
      </c>
      <c r="CM16" s="150">
        <v>0</v>
      </c>
      <c r="CN16" s="150">
        <v>0</v>
      </c>
      <c r="CO16" s="150">
        <v>0</v>
      </c>
      <c r="CP16" s="150">
        <v>0</v>
      </c>
      <c r="CQ16" s="150">
        <v>0</v>
      </c>
      <c r="CR16" s="150">
        <v>0</v>
      </c>
      <c r="CS16" s="150">
        <v>0</v>
      </c>
      <c r="CT16" s="150">
        <v>0</v>
      </c>
      <c r="CU16" s="150">
        <v>0</v>
      </c>
      <c r="CV16" s="150">
        <v>0</v>
      </c>
      <c r="CW16" s="149">
        <f t="shared" si="0"/>
        <v>0</v>
      </c>
      <c r="CX16" s="176">
        <f>+CW16*1000000</f>
        <v>0</v>
      </c>
      <c r="CY16" s="75">
        <v>5.0000000000000001E-3</v>
      </c>
      <c r="CZ16" s="92">
        <f t="shared" si="1"/>
        <v>8.7500000000000009E-6</v>
      </c>
      <c r="DA16" s="93">
        <f>++CV16+CZ16</f>
        <v>8.7500000000000009E-6</v>
      </c>
    </row>
    <row r="18" spans="1:102" ht="14.45">
      <c r="B18" s="1" t="s">
        <v>103</v>
      </c>
      <c r="C18" s="2" t="s">
        <v>113</v>
      </c>
      <c r="D18" s="64">
        <f>+SUM(D8:D16)</f>
        <v>763.05</v>
      </c>
      <c r="F18" s="64">
        <v>757.77</v>
      </c>
      <c r="G18" s="64">
        <v>762.77</v>
      </c>
      <c r="H18" s="64">
        <v>762.24</v>
      </c>
      <c r="I18" s="64">
        <v>759.99149999999997</v>
      </c>
      <c r="J18" s="64">
        <v>757.02149999999995</v>
      </c>
      <c r="K18" s="64">
        <v>760.12149999999997</v>
      </c>
      <c r="L18" s="64">
        <v>760.12294999999995</v>
      </c>
      <c r="M18" s="64">
        <v>760.12175000000002</v>
      </c>
      <c r="N18" s="64">
        <v>760.42174999999997</v>
      </c>
      <c r="O18" s="64">
        <v>760.12025000000006</v>
      </c>
      <c r="P18" s="64">
        <v>778.82024999999999</v>
      </c>
      <c r="Q18" s="64">
        <v>759.82024999999999</v>
      </c>
      <c r="R18" s="64">
        <v>760.07024999999999</v>
      </c>
      <c r="S18" s="64">
        <v>744.11025000000006</v>
      </c>
      <c r="T18" s="64">
        <v>734.21025000000009</v>
      </c>
      <c r="U18" s="64">
        <v>734.30875000000015</v>
      </c>
      <c r="V18" s="64">
        <v>734.61875000000009</v>
      </c>
      <c r="W18" s="64">
        <v>734.61675000000002</v>
      </c>
      <c r="X18" s="64">
        <v>731.61475000000007</v>
      </c>
      <c r="Y18" s="64">
        <v>729.61475000000007</v>
      </c>
      <c r="Z18" s="64">
        <v>729.61275000000001</v>
      </c>
      <c r="AA18" s="64">
        <v>729.61275000000001</v>
      </c>
      <c r="AB18" s="64">
        <v>729.61175000000003</v>
      </c>
      <c r="AC18" s="64">
        <v>726.61175000000003</v>
      </c>
      <c r="AD18" s="64">
        <v>726.61025000000006</v>
      </c>
      <c r="AE18" s="64">
        <v>726.61025000000006</v>
      </c>
      <c r="AF18" s="64">
        <v>724.61175000000003</v>
      </c>
      <c r="AG18" s="64">
        <v>726.61025000000006</v>
      </c>
      <c r="AH18" s="64">
        <v>767.71025000000009</v>
      </c>
      <c r="AI18" s="64">
        <v>767.71025000000009</v>
      </c>
      <c r="AJ18" s="64">
        <v>770.71025000000009</v>
      </c>
      <c r="AK18" s="64">
        <v>743.71025000000009</v>
      </c>
      <c r="AL18" s="64">
        <v>752.91025000000002</v>
      </c>
      <c r="AM18" s="64">
        <v>753.00925000000007</v>
      </c>
      <c r="AN18" s="64">
        <v>743.70925000000011</v>
      </c>
      <c r="AO18" s="64">
        <v>743.71025000000009</v>
      </c>
      <c r="AP18" s="64">
        <v>743.71175000000005</v>
      </c>
      <c r="AQ18" s="64">
        <v>748.21325000000002</v>
      </c>
      <c r="AR18" s="64">
        <v>748.21475000000009</v>
      </c>
      <c r="AS18" s="64">
        <v>748.21325000000002</v>
      </c>
      <c r="AT18" s="64">
        <v>748.21525000000008</v>
      </c>
      <c r="AU18" s="64">
        <v>744.21525000000008</v>
      </c>
      <c r="AV18" s="64">
        <v>744.21675000000005</v>
      </c>
      <c r="AW18" s="64">
        <v>744.21775000000002</v>
      </c>
      <c r="AX18" s="64">
        <v>740.21775000000002</v>
      </c>
      <c r="AY18" s="64">
        <v>740.21775000000002</v>
      </c>
      <c r="AZ18" s="64">
        <v>740.21775000000002</v>
      </c>
      <c r="BA18" s="64">
        <v>732.31775000000005</v>
      </c>
      <c r="BB18" s="64">
        <v>732.41775000000007</v>
      </c>
      <c r="BC18" s="64">
        <f>+SUM(BC8:BC16)</f>
        <v>732.41925000000015</v>
      </c>
      <c r="BD18" s="64">
        <v>730.7192500000001</v>
      </c>
      <c r="BE18" s="64">
        <v>730.7192500000001</v>
      </c>
      <c r="BF18" s="64">
        <v>730.47025000000008</v>
      </c>
      <c r="BG18" s="64">
        <v>738.47025000000008</v>
      </c>
      <c r="BH18" s="64">
        <v>739.51925000000006</v>
      </c>
      <c r="BI18" s="64">
        <v>736.51975000000004</v>
      </c>
      <c r="BJ18" s="64">
        <v>736.41975000000014</v>
      </c>
      <c r="BK18" s="64">
        <v>736.46975000000009</v>
      </c>
      <c r="BL18" s="64">
        <v>736.51975000000004</v>
      </c>
      <c r="BM18" s="64">
        <v>739.4</v>
      </c>
      <c r="BN18" s="64">
        <v>737.1</v>
      </c>
      <c r="BO18" s="64">
        <v>737.2</v>
      </c>
      <c r="BP18" s="64">
        <v>738.69999999999993</v>
      </c>
      <c r="BQ18" s="64">
        <v>739.3</v>
      </c>
      <c r="BR18" s="64">
        <v>740.9</v>
      </c>
      <c r="BS18" s="64">
        <v>740.9</v>
      </c>
      <c r="BT18" s="64">
        <v>740.9</v>
      </c>
      <c r="BU18" s="64">
        <v>741</v>
      </c>
      <c r="BV18" s="64">
        <v>740.8</v>
      </c>
      <c r="BW18" s="64">
        <v>744.45</v>
      </c>
      <c r="BX18" s="64">
        <v>744.3</v>
      </c>
      <c r="BY18" s="64">
        <v>747.09999999999991</v>
      </c>
      <c r="BZ18" s="64">
        <v>747.9</v>
      </c>
      <c r="CA18" s="64">
        <v>747.75000000000011</v>
      </c>
      <c r="CB18" s="64">
        <v>749.75000000000011</v>
      </c>
      <c r="CC18" s="64">
        <v>749.65000000000009</v>
      </c>
      <c r="CD18" s="64">
        <v>749.65000000000009</v>
      </c>
      <c r="CE18" s="64">
        <v>751.65000000000009</v>
      </c>
      <c r="CF18" s="64">
        <v>751.65000000000009</v>
      </c>
      <c r="CG18" s="64">
        <v>751.50000000000011</v>
      </c>
      <c r="CH18" s="64">
        <v>755.6</v>
      </c>
      <c r="CI18" s="64">
        <v>757.80000000000007</v>
      </c>
      <c r="CJ18" s="64">
        <v>758</v>
      </c>
      <c r="CK18" s="64">
        <v>758.09999999999991</v>
      </c>
      <c r="CL18" s="64">
        <v>762.24999999999989</v>
      </c>
      <c r="CM18" s="64">
        <v>762.75</v>
      </c>
      <c r="CN18" s="64">
        <v>762.95</v>
      </c>
      <c r="CO18" s="64">
        <v>763.15000000000009</v>
      </c>
      <c r="CP18" s="64">
        <v>763.15000000000009</v>
      </c>
      <c r="CQ18" s="64">
        <v>763.19999999999993</v>
      </c>
      <c r="CR18" s="64">
        <v>763.2</v>
      </c>
      <c r="CS18" s="64">
        <v>763</v>
      </c>
      <c r="CT18" s="64">
        <v>762.9</v>
      </c>
      <c r="CU18" s="64">
        <v>762.9</v>
      </c>
      <c r="CV18" s="64">
        <v>762.94999999999993</v>
      </c>
    </row>
    <row r="19" spans="1:102" ht="15.6">
      <c r="B19" s="1" t="s">
        <v>103</v>
      </c>
      <c r="C19" s="2" t="s">
        <v>114</v>
      </c>
      <c r="D19" s="102">
        <f>+D21*1.5</f>
        <v>963.73214999999982</v>
      </c>
      <c r="F19" s="102">
        <v>638.04233999999997</v>
      </c>
      <c r="G19" s="102">
        <v>428.16779849843999</v>
      </c>
      <c r="H19" s="102">
        <v>427.87029212928002</v>
      </c>
      <c r="I19" s="102">
        <v>426.60813539143794</v>
      </c>
      <c r="J19" s="102">
        <v>424.94097705859798</v>
      </c>
      <c r="K19" s="102">
        <v>426.68110865179796</v>
      </c>
      <c r="L19" s="102">
        <v>426.68192258431736</v>
      </c>
      <c r="M19" s="102">
        <v>426.68124898499104</v>
      </c>
      <c r="N19" s="102">
        <v>426.84964881659096</v>
      </c>
      <c r="O19" s="102">
        <v>426.68040698583303</v>
      </c>
      <c r="P19" s="102">
        <v>983.64997574999995</v>
      </c>
      <c r="Q19" s="102">
        <v>639.76865050000004</v>
      </c>
      <c r="R19" s="102">
        <v>639.97915049999995</v>
      </c>
      <c r="S19" s="102">
        <v>626.54083050000008</v>
      </c>
      <c r="T19" s="102">
        <v>618.20503050000002</v>
      </c>
      <c r="U19" s="102">
        <v>618.28796750000015</v>
      </c>
      <c r="V19" s="102">
        <v>618.54898750000007</v>
      </c>
      <c r="W19" s="102">
        <v>618.5473035</v>
      </c>
      <c r="X19" s="102">
        <v>616.01961950000009</v>
      </c>
      <c r="Y19" s="102">
        <v>614.33561950000012</v>
      </c>
      <c r="Z19" s="102">
        <v>614.33393550000005</v>
      </c>
      <c r="AA19" s="102">
        <v>614.33393550000005</v>
      </c>
      <c r="AB19" s="102">
        <v>614.33309350000002</v>
      </c>
      <c r="AC19" s="102">
        <v>611.80709350000006</v>
      </c>
      <c r="AD19" s="102">
        <v>611.80583050000007</v>
      </c>
      <c r="AE19" s="102">
        <v>747.76254576537099</v>
      </c>
      <c r="AF19" s="102">
        <v>745.70586758375691</v>
      </c>
      <c r="AG19" s="102">
        <v>747.76254576537099</v>
      </c>
      <c r="AH19" s="102">
        <v>790.0590047417711</v>
      </c>
      <c r="AI19" s="102">
        <v>790.0590047417711</v>
      </c>
      <c r="AJ19" s="102">
        <v>793.14633751377107</v>
      </c>
      <c r="AK19" s="102">
        <v>626.20403050000004</v>
      </c>
      <c r="AL19" s="102">
        <v>633.95043050000004</v>
      </c>
      <c r="AM19" s="102">
        <v>634.03378850000001</v>
      </c>
      <c r="AN19" s="102">
        <v>626.20318850000012</v>
      </c>
      <c r="AO19" s="102">
        <v>626.20403050000004</v>
      </c>
      <c r="AP19" s="102">
        <v>626.20529350000004</v>
      </c>
      <c r="AQ19" s="102">
        <v>515.443464461605</v>
      </c>
      <c r="AR19" s="102">
        <v>515.44449781031506</v>
      </c>
      <c r="AS19" s="102">
        <v>515.443464461605</v>
      </c>
      <c r="AT19" s="102">
        <v>515.44484225988504</v>
      </c>
      <c r="AU19" s="102">
        <v>512.68924569988496</v>
      </c>
      <c r="AV19" s="102">
        <v>512.69027904859502</v>
      </c>
      <c r="AW19" s="102">
        <v>512.69096794773498</v>
      </c>
      <c r="AX19" s="102">
        <v>509.93537138773496</v>
      </c>
      <c r="AY19" s="102">
        <v>509.93537138773496</v>
      </c>
      <c r="AZ19" s="102">
        <v>509.93537138773496</v>
      </c>
      <c r="BA19" s="102">
        <v>504.493068181735</v>
      </c>
      <c r="BB19" s="102">
        <v>504.56195809573501</v>
      </c>
      <c r="BC19" s="102">
        <f>+BC21*0.81817</f>
        <v>504.56299144444512</v>
      </c>
      <c r="BD19" s="102">
        <v>503.39186290644506</v>
      </c>
      <c r="BE19" s="102">
        <v>503.39186290644506</v>
      </c>
      <c r="BF19" s="102">
        <v>503.22032702058505</v>
      </c>
      <c r="BG19" s="102">
        <v>508.73152014058508</v>
      </c>
      <c r="BH19" s="102">
        <v>509.454175338445</v>
      </c>
      <c r="BI19" s="102">
        <v>507.38782236801501</v>
      </c>
      <c r="BJ19" s="102">
        <v>507.31893245401511</v>
      </c>
      <c r="BK19" s="102">
        <v>507.353377411015</v>
      </c>
      <c r="BL19" s="102">
        <v>507.38782236801501</v>
      </c>
      <c r="BM19" s="102">
        <v>509.37202411599998</v>
      </c>
      <c r="BN19" s="102">
        <v>334.18946581019998</v>
      </c>
      <c r="BO19" s="102">
        <v>334.2348042264</v>
      </c>
      <c r="BP19" s="102">
        <v>334.91488046939992</v>
      </c>
      <c r="BQ19" s="102">
        <v>335.18691096659995</v>
      </c>
      <c r="BR19" s="102">
        <v>335.91232562580001</v>
      </c>
      <c r="BS19" s="102">
        <v>335.91232562580001</v>
      </c>
      <c r="BT19" s="102">
        <v>510.40537282599996</v>
      </c>
      <c r="BU19" s="102">
        <v>510.47426273999997</v>
      </c>
      <c r="BV19" s="102">
        <v>510.33648291199995</v>
      </c>
      <c r="BW19" s="102">
        <v>512.85096477299999</v>
      </c>
      <c r="BX19" s="102">
        <v>512.74762990199997</v>
      </c>
      <c r="BY19" s="102">
        <v>514.67654749399992</v>
      </c>
      <c r="BZ19" s="102">
        <v>515.227666806</v>
      </c>
      <c r="CA19" s="102">
        <v>515.1243319350001</v>
      </c>
      <c r="CB19" s="102">
        <v>516.50213021500008</v>
      </c>
      <c r="CC19" s="102">
        <v>516.43324030100007</v>
      </c>
      <c r="CD19" s="102">
        <v>631.20530000000008</v>
      </c>
      <c r="CE19" s="102">
        <v>632.88930000000005</v>
      </c>
      <c r="CF19" s="102">
        <v>773.53122602459996</v>
      </c>
      <c r="CG19" s="102">
        <v>773.37685938600009</v>
      </c>
      <c r="CH19" s="102">
        <v>954.32279999999992</v>
      </c>
      <c r="CI19" s="102">
        <v>957.10140000000013</v>
      </c>
      <c r="CJ19" s="102">
        <v>957.35400000000004</v>
      </c>
      <c r="CK19" s="102">
        <v>957.48029999999983</v>
      </c>
      <c r="CL19" s="102">
        <v>962.72174999999993</v>
      </c>
      <c r="CM19" s="102">
        <v>963.35325</v>
      </c>
      <c r="CN19" s="102">
        <v>963.60585000000003</v>
      </c>
      <c r="CO19" s="102">
        <v>963.85845000000006</v>
      </c>
      <c r="CP19" s="102">
        <v>963.85845000000006</v>
      </c>
      <c r="CQ19" s="102">
        <v>963.9215999999999</v>
      </c>
      <c r="CR19" s="102">
        <v>963.92160000000013</v>
      </c>
      <c r="CS19" s="102">
        <v>963.6690000000001</v>
      </c>
      <c r="CT19" s="102">
        <v>963.54269999999997</v>
      </c>
      <c r="CU19" s="102">
        <v>963.54269999999997</v>
      </c>
      <c r="CV19" s="102">
        <v>963.60584999999992</v>
      </c>
      <c r="CW19" s="98"/>
      <c r="CX19" s="233">
        <f>+D21+D19</f>
        <v>1606.2202499999999</v>
      </c>
    </row>
    <row r="20" spans="1:102" ht="14.45">
      <c r="B20" s="1" t="s">
        <v>115</v>
      </c>
      <c r="C20" s="2" t="s">
        <v>116</v>
      </c>
      <c r="D20" s="1">
        <v>15.8</v>
      </c>
      <c r="F20" s="1">
        <v>15.8</v>
      </c>
      <c r="G20" s="1">
        <v>15.8</v>
      </c>
      <c r="H20" s="1">
        <v>15.8</v>
      </c>
      <c r="I20" s="1">
        <v>15.8</v>
      </c>
      <c r="J20" s="1">
        <v>15.8</v>
      </c>
      <c r="K20" s="1">
        <v>15.8</v>
      </c>
      <c r="L20" s="1">
        <v>15.8</v>
      </c>
      <c r="M20" s="1">
        <v>15.8</v>
      </c>
      <c r="N20" s="1">
        <v>15.8</v>
      </c>
      <c r="O20" s="1">
        <v>15.8</v>
      </c>
      <c r="P20" s="1">
        <v>15.8</v>
      </c>
      <c r="Q20" s="1">
        <v>15.8</v>
      </c>
      <c r="R20" s="1">
        <v>15.8</v>
      </c>
      <c r="S20" s="1">
        <v>15.8</v>
      </c>
      <c r="T20" s="1">
        <v>15.8</v>
      </c>
      <c r="U20" s="1">
        <v>15.8</v>
      </c>
      <c r="V20" s="1">
        <v>15.8</v>
      </c>
      <c r="W20" s="1">
        <v>15.8</v>
      </c>
      <c r="X20" s="1">
        <v>15.8</v>
      </c>
      <c r="Y20" s="1">
        <v>15.8</v>
      </c>
      <c r="Z20" s="1">
        <v>15.8</v>
      </c>
      <c r="AA20" s="1">
        <v>15.8</v>
      </c>
      <c r="AB20" s="1">
        <v>15.8</v>
      </c>
      <c r="AC20" s="1">
        <v>15.8</v>
      </c>
      <c r="AD20" s="1">
        <v>15.8</v>
      </c>
      <c r="AE20" s="1">
        <v>15.8</v>
      </c>
      <c r="AF20" s="1">
        <v>15.8</v>
      </c>
      <c r="AG20" s="1">
        <v>15.8</v>
      </c>
      <c r="AH20" s="1">
        <v>15.8</v>
      </c>
      <c r="AI20" s="1">
        <v>15.8</v>
      </c>
      <c r="AJ20" s="1">
        <v>15.8</v>
      </c>
      <c r="AK20" s="1">
        <v>15.8</v>
      </c>
      <c r="AL20" s="1">
        <v>15.8</v>
      </c>
      <c r="AM20" s="1">
        <v>15.8</v>
      </c>
      <c r="AN20" s="1">
        <v>15.8</v>
      </c>
      <c r="AO20" s="1">
        <v>15.8</v>
      </c>
      <c r="AP20" s="1">
        <v>15.8</v>
      </c>
      <c r="AQ20" s="1">
        <v>15.8</v>
      </c>
      <c r="AR20" s="1">
        <v>15.8</v>
      </c>
      <c r="AS20" s="1">
        <v>15.8</v>
      </c>
      <c r="AT20" s="1">
        <v>15.8</v>
      </c>
      <c r="AU20" s="1">
        <v>15.8</v>
      </c>
      <c r="AV20" s="1">
        <v>15.8</v>
      </c>
      <c r="AW20" s="1">
        <v>15.8</v>
      </c>
      <c r="AX20" s="1">
        <v>15.8</v>
      </c>
      <c r="AY20" s="1">
        <v>15.8</v>
      </c>
      <c r="AZ20" s="1">
        <v>15.8</v>
      </c>
      <c r="BA20" s="1">
        <v>15.8</v>
      </c>
      <c r="BB20" s="1">
        <v>15.8</v>
      </c>
      <c r="BC20" s="1">
        <v>15.8</v>
      </c>
      <c r="BD20" s="1">
        <v>15.8</v>
      </c>
      <c r="BE20" s="1">
        <v>15.8</v>
      </c>
      <c r="BF20" s="1">
        <v>15.8</v>
      </c>
      <c r="BG20" s="1">
        <v>15.8</v>
      </c>
      <c r="BH20" s="1">
        <v>15.8</v>
      </c>
      <c r="BI20" s="1">
        <v>15.8</v>
      </c>
      <c r="BJ20" s="1">
        <v>15.8</v>
      </c>
      <c r="BK20" s="1">
        <v>15.8</v>
      </c>
      <c r="BL20" s="1">
        <v>15.8</v>
      </c>
      <c r="BM20" s="1">
        <v>15.8</v>
      </c>
      <c r="BN20" s="1">
        <v>15.8</v>
      </c>
      <c r="BO20" s="1">
        <v>15.8</v>
      </c>
      <c r="BP20" s="1">
        <v>15.8</v>
      </c>
      <c r="BQ20" s="1">
        <v>15.8</v>
      </c>
      <c r="BR20" s="1">
        <v>15.8</v>
      </c>
      <c r="BS20" s="1">
        <v>15.8</v>
      </c>
      <c r="BT20" s="1">
        <v>15.8</v>
      </c>
      <c r="BU20" s="1">
        <v>15.8</v>
      </c>
      <c r="BV20" s="1">
        <v>15.8</v>
      </c>
      <c r="BW20" s="1">
        <v>15.8</v>
      </c>
      <c r="BX20" s="1">
        <v>15.8</v>
      </c>
      <c r="BY20" s="1">
        <v>15.8</v>
      </c>
      <c r="BZ20" s="1">
        <v>15.8</v>
      </c>
      <c r="CA20" s="1">
        <v>15.8</v>
      </c>
      <c r="CB20" s="1">
        <v>15.8</v>
      </c>
      <c r="CC20" s="1">
        <v>15.8</v>
      </c>
      <c r="CD20" s="1">
        <v>15.8</v>
      </c>
      <c r="CE20" s="1">
        <v>15.8</v>
      </c>
      <c r="CF20" s="1">
        <v>15.8</v>
      </c>
      <c r="CG20" s="1">
        <v>15.8</v>
      </c>
      <c r="CH20" s="1">
        <v>15.8</v>
      </c>
      <c r="CI20" s="1">
        <v>15.8</v>
      </c>
      <c r="CJ20" s="1">
        <v>15.8</v>
      </c>
      <c r="CK20" s="1">
        <v>15.8</v>
      </c>
      <c r="CL20" s="1">
        <v>15.8</v>
      </c>
      <c r="CM20" s="1">
        <v>15.8</v>
      </c>
      <c r="CN20" s="1">
        <v>15.8</v>
      </c>
      <c r="CO20" s="1">
        <v>15.8</v>
      </c>
      <c r="CP20" s="1">
        <v>15.8</v>
      </c>
      <c r="CQ20" s="1">
        <v>15.8</v>
      </c>
      <c r="CR20" s="1">
        <v>15.8</v>
      </c>
      <c r="CS20" s="1">
        <v>15.8</v>
      </c>
      <c r="CT20" s="1">
        <v>15.8</v>
      </c>
      <c r="CU20" s="1">
        <v>15.8</v>
      </c>
      <c r="CV20" s="1">
        <v>15.8</v>
      </c>
    </row>
    <row r="21" spans="1:102" ht="14.45">
      <c r="B21" s="1" t="s">
        <v>103</v>
      </c>
      <c r="C21" s="2" t="s">
        <v>117</v>
      </c>
      <c r="D21" s="1">
        <f>+D18-D18*(D20/100)</f>
        <v>642.48809999999992</v>
      </c>
      <c r="F21" s="1">
        <v>638.04233999999997</v>
      </c>
      <c r="G21" s="1">
        <v>642.25234</v>
      </c>
      <c r="H21" s="1">
        <v>641.80608000000007</v>
      </c>
      <c r="I21" s="1">
        <v>639.91284299999995</v>
      </c>
      <c r="J21" s="1">
        <v>637.412103</v>
      </c>
      <c r="K21" s="1">
        <v>640.02230299999997</v>
      </c>
      <c r="L21" s="1">
        <v>640.02352389999999</v>
      </c>
      <c r="M21" s="1">
        <v>640.02251350000006</v>
      </c>
      <c r="N21" s="1">
        <v>640.27511349999997</v>
      </c>
      <c r="O21" s="1">
        <v>640.02125050000006</v>
      </c>
      <c r="P21" s="1">
        <v>655.76665049999997</v>
      </c>
      <c r="Q21" s="1">
        <v>639.76865050000004</v>
      </c>
      <c r="R21" s="1">
        <v>639.97915049999995</v>
      </c>
      <c r="S21" s="1">
        <v>626.54083050000008</v>
      </c>
      <c r="T21" s="1">
        <v>618.20503050000002</v>
      </c>
      <c r="U21" s="1">
        <v>618.28796750000015</v>
      </c>
      <c r="V21" s="1">
        <v>618.54898750000007</v>
      </c>
      <c r="W21" s="1">
        <v>618.5473035</v>
      </c>
      <c r="X21" s="1">
        <v>616.01961950000009</v>
      </c>
      <c r="Y21" s="1">
        <v>614.33561950000012</v>
      </c>
      <c r="Z21" s="1">
        <v>614.33393550000005</v>
      </c>
      <c r="AA21" s="1">
        <v>614.33393550000005</v>
      </c>
      <c r="AB21" s="1">
        <v>614.33309350000002</v>
      </c>
      <c r="AC21" s="1">
        <v>611.80709350000006</v>
      </c>
      <c r="AD21" s="1">
        <v>611.80583050000007</v>
      </c>
      <c r="AE21" s="1">
        <v>611.80583050000007</v>
      </c>
      <c r="AF21" s="1">
        <v>610.12309349999998</v>
      </c>
      <c r="AG21" s="1">
        <v>611.80583050000007</v>
      </c>
      <c r="AH21" s="1">
        <v>646.41203050000013</v>
      </c>
      <c r="AI21" s="1">
        <v>646.41203050000013</v>
      </c>
      <c r="AJ21" s="1">
        <v>648.93803050000008</v>
      </c>
      <c r="AK21" s="1">
        <v>626.20403050000004</v>
      </c>
      <c r="AL21" s="1">
        <v>633.95043050000004</v>
      </c>
      <c r="AM21" s="1">
        <v>634.03378850000001</v>
      </c>
      <c r="AN21" s="1">
        <v>626.20318850000012</v>
      </c>
      <c r="AO21" s="1">
        <v>626.20403050000004</v>
      </c>
      <c r="AP21" s="1">
        <v>626.20529350000004</v>
      </c>
      <c r="AQ21" s="1">
        <v>629.99555650000002</v>
      </c>
      <c r="AR21" s="1">
        <v>629.99681950000013</v>
      </c>
      <c r="AS21" s="1">
        <v>629.99555650000002</v>
      </c>
      <c r="AT21" s="1">
        <v>629.99724050000009</v>
      </c>
      <c r="AU21" s="1">
        <v>626.62924050000004</v>
      </c>
      <c r="AV21" s="1">
        <v>626.63050350000003</v>
      </c>
      <c r="AW21" s="1">
        <v>626.63134550000007</v>
      </c>
      <c r="AX21" s="1">
        <v>623.26334550000001</v>
      </c>
      <c r="AY21" s="1">
        <v>623.26334550000001</v>
      </c>
      <c r="AZ21" s="1">
        <v>623.26334550000001</v>
      </c>
      <c r="BA21" s="1">
        <v>616.61154550000003</v>
      </c>
      <c r="BB21" s="1">
        <v>616.69574550000004</v>
      </c>
      <c r="BC21" s="1">
        <f>+BC18-BC18*(BC20/100)</f>
        <v>616.69700850000015</v>
      </c>
      <c r="BD21" s="1">
        <v>615.2656085000001</v>
      </c>
      <c r="BE21" s="1">
        <v>615.2656085000001</v>
      </c>
      <c r="BF21" s="1">
        <v>615.05595050000011</v>
      </c>
      <c r="BG21" s="1">
        <v>621.7919505000001</v>
      </c>
      <c r="BH21" s="1">
        <v>622.67520850000005</v>
      </c>
      <c r="BI21" s="1">
        <v>620.14962950000006</v>
      </c>
      <c r="BJ21" s="1">
        <v>620.06542950000016</v>
      </c>
      <c r="BK21" s="1">
        <v>620.10752950000006</v>
      </c>
      <c r="BL21" s="1">
        <v>620.14962950000006</v>
      </c>
      <c r="BM21" s="1">
        <v>622.57479999999998</v>
      </c>
      <c r="BN21" s="1">
        <v>620.63819999999998</v>
      </c>
      <c r="BO21" s="1">
        <v>620.72239999999999</v>
      </c>
      <c r="BP21" s="1">
        <v>621.98539999999991</v>
      </c>
      <c r="BQ21" s="1">
        <v>622.49059999999997</v>
      </c>
      <c r="BR21" s="1">
        <v>623.83780000000002</v>
      </c>
      <c r="BS21" s="1">
        <v>623.83780000000002</v>
      </c>
      <c r="BT21" s="1">
        <v>623.83780000000002</v>
      </c>
      <c r="BU21" s="1">
        <v>623.92200000000003</v>
      </c>
      <c r="BV21" s="1">
        <v>623.75360000000001</v>
      </c>
      <c r="BW21" s="1">
        <v>626.82690000000002</v>
      </c>
      <c r="BX21" s="1">
        <v>626.70060000000001</v>
      </c>
      <c r="BY21" s="1">
        <v>629.05819999999994</v>
      </c>
      <c r="BZ21" s="1">
        <v>629.73180000000002</v>
      </c>
      <c r="CA21" s="1">
        <v>629.60550000000012</v>
      </c>
      <c r="CB21" s="1">
        <v>631.28950000000009</v>
      </c>
      <c r="CC21" s="1">
        <v>631.20530000000008</v>
      </c>
      <c r="CD21" s="1">
        <v>631.20530000000008</v>
      </c>
      <c r="CE21" s="1">
        <v>632.88930000000005</v>
      </c>
      <c r="CF21" s="1">
        <v>632.88930000000005</v>
      </c>
      <c r="CG21" s="1">
        <v>632.76300000000015</v>
      </c>
      <c r="CH21" s="1">
        <v>636.21519999999998</v>
      </c>
      <c r="CI21" s="1">
        <v>638.06760000000008</v>
      </c>
      <c r="CJ21" s="1">
        <v>638.23599999999999</v>
      </c>
      <c r="CK21" s="1">
        <v>638.32019999999989</v>
      </c>
      <c r="CL21" s="1">
        <v>641.81449999999995</v>
      </c>
      <c r="CM21" s="1">
        <v>642.2355</v>
      </c>
      <c r="CN21" s="1">
        <v>642.40390000000002</v>
      </c>
      <c r="CO21" s="1">
        <v>642.57230000000004</v>
      </c>
      <c r="CP21" s="1">
        <v>642.57230000000004</v>
      </c>
      <c r="CQ21" s="1">
        <v>642.61439999999993</v>
      </c>
      <c r="CR21" s="1">
        <v>642.61440000000005</v>
      </c>
      <c r="CS21" s="1">
        <v>642.44600000000003</v>
      </c>
      <c r="CT21" s="1">
        <v>642.36180000000002</v>
      </c>
      <c r="CU21" s="1">
        <v>642.36180000000002</v>
      </c>
      <c r="CV21" s="1">
        <v>642.40389999999991</v>
      </c>
    </row>
    <row r="22" spans="1:102" ht="15.6">
      <c r="B22" s="1" t="s">
        <v>103</v>
      </c>
      <c r="C22" s="2" t="s">
        <v>118</v>
      </c>
      <c r="D22" s="101">
        <v>122079</v>
      </c>
      <c r="F22" s="101">
        <v>115000</v>
      </c>
      <c r="G22" s="101">
        <v>115000</v>
      </c>
      <c r="H22" s="101">
        <v>115000</v>
      </c>
      <c r="I22" s="101">
        <v>70000</v>
      </c>
      <c r="J22" s="101">
        <v>115000</v>
      </c>
      <c r="K22" s="101">
        <v>115000</v>
      </c>
      <c r="L22" s="101">
        <v>115000</v>
      </c>
      <c r="M22" s="101">
        <v>115000</v>
      </c>
      <c r="N22" s="101">
        <v>120000</v>
      </c>
      <c r="O22" s="101">
        <v>120000</v>
      </c>
      <c r="P22" s="101">
        <v>120000</v>
      </c>
      <c r="Q22" s="101">
        <v>114400</v>
      </c>
      <c r="R22" s="101">
        <v>114400</v>
      </c>
      <c r="S22" s="101">
        <v>114400</v>
      </c>
      <c r="T22" s="101">
        <v>114400</v>
      </c>
      <c r="U22" s="101">
        <v>114400</v>
      </c>
      <c r="V22" s="101">
        <v>125000</v>
      </c>
      <c r="W22" s="101">
        <v>125000</v>
      </c>
      <c r="X22" s="101">
        <v>120580</v>
      </c>
      <c r="Y22" s="101">
        <v>117500</v>
      </c>
      <c r="Z22" s="101">
        <v>117500</v>
      </c>
      <c r="AA22" s="101">
        <v>117500</v>
      </c>
      <c r="AB22" s="101">
        <v>117500</v>
      </c>
      <c r="AC22" s="101">
        <v>117500</v>
      </c>
      <c r="AD22" s="101">
        <v>117500</v>
      </c>
      <c r="AE22" s="101">
        <v>107500</v>
      </c>
      <c r="AF22" s="101">
        <v>107500</v>
      </c>
      <c r="AG22" s="101">
        <v>99100</v>
      </c>
      <c r="AH22" s="101">
        <v>117000</v>
      </c>
      <c r="AI22" s="101">
        <v>117000</v>
      </c>
      <c r="AJ22" s="101">
        <v>117000</v>
      </c>
      <c r="AK22" s="101">
        <v>117000</v>
      </c>
      <c r="AL22" s="101">
        <v>117000</v>
      </c>
      <c r="AM22" s="101">
        <v>117000</v>
      </c>
      <c r="AN22" s="101">
        <v>117000</v>
      </c>
      <c r="AO22" s="101">
        <v>117000</v>
      </c>
      <c r="AP22" s="101">
        <v>117000</v>
      </c>
      <c r="AQ22" s="101">
        <v>117000</v>
      </c>
      <c r="AR22" s="101">
        <v>117000</v>
      </c>
      <c r="AS22" s="101">
        <v>117000</v>
      </c>
      <c r="AT22" s="101">
        <v>117000</v>
      </c>
      <c r="AU22" s="101">
        <v>117000</v>
      </c>
      <c r="AV22" s="101">
        <v>117000</v>
      </c>
      <c r="AW22" s="101">
        <v>117000</v>
      </c>
      <c r="AX22" s="101">
        <v>117000</v>
      </c>
      <c r="AY22" s="101">
        <v>117000</v>
      </c>
      <c r="AZ22" s="101">
        <v>117000</v>
      </c>
      <c r="BA22" s="101">
        <v>117000</v>
      </c>
      <c r="BB22" s="101">
        <v>117000</v>
      </c>
      <c r="BC22" s="101">
        <v>117000</v>
      </c>
      <c r="BD22" s="101">
        <v>117000</v>
      </c>
      <c r="BE22" s="101">
        <v>117000</v>
      </c>
      <c r="BF22" s="101">
        <v>117000</v>
      </c>
      <c r="BG22" s="101">
        <v>117000</v>
      </c>
      <c r="BH22" s="101">
        <v>124300</v>
      </c>
      <c r="BI22" s="101">
        <v>120000</v>
      </c>
      <c r="BJ22" s="101">
        <v>120000</v>
      </c>
      <c r="BK22" s="101">
        <v>120000</v>
      </c>
      <c r="BL22" s="101">
        <v>120000</v>
      </c>
      <c r="BM22" s="101">
        <v>120000</v>
      </c>
      <c r="BN22" s="101">
        <v>120000</v>
      </c>
      <c r="BO22" s="101">
        <v>120000</v>
      </c>
      <c r="BP22" s="101">
        <v>120000</v>
      </c>
      <c r="BQ22" s="101">
        <v>120000</v>
      </c>
      <c r="BR22" s="101">
        <v>120000</v>
      </c>
      <c r="BS22" s="101">
        <v>120000</v>
      </c>
      <c r="BT22" s="101">
        <v>120000</v>
      </c>
      <c r="BU22" s="101">
        <v>120000</v>
      </c>
      <c r="BV22" s="101">
        <v>120000</v>
      </c>
      <c r="BW22" s="101">
        <v>120000</v>
      </c>
      <c r="BX22" s="101">
        <v>120000</v>
      </c>
      <c r="BY22" s="101">
        <v>120000</v>
      </c>
      <c r="BZ22" s="101">
        <v>120000</v>
      </c>
      <c r="CA22" s="101">
        <v>120000</v>
      </c>
      <c r="CB22" s="101">
        <v>120000</v>
      </c>
      <c r="CC22" s="101">
        <v>120000</v>
      </c>
      <c r="CD22" s="101">
        <v>107000</v>
      </c>
      <c r="CE22" s="101">
        <v>107000</v>
      </c>
      <c r="CF22" s="101">
        <v>107000</v>
      </c>
      <c r="CG22" s="101">
        <v>107000</v>
      </c>
      <c r="CH22" s="101">
        <v>107000</v>
      </c>
      <c r="CI22" s="101">
        <v>107000</v>
      </c>
      <c r="CJ22" s="101">
        <v>107000</v>
      </c>
      <c r="CK22" s="101">
        <v>107000</v>
      </c>
      <c r="CL22" s="101">
        <v>109700</v>
      </c>
      <c r="CM22" s="101">
        <v>109700</v>
      </c>
      <c r="CN22" s="101">
        <v>110900</v>
      </c>
      <c r="CO22" s="101">
        <v>113200</v>
      </c>
      <c r="CP22" s="101">
        <v>113200</v>
      </c>
      <c r="CQ22" s="101">
        <v>113200</v>
      </c>
      <c r="CR22" s="101">
        <v>115200</v>
      </c>
      <c r="CS22" s="101">
        <v>115200</v>
      </c>
      <c r="CT22" s="101">
        <v>115200</v>
      </c>
      <c r="CU22" s="101">
        <v>115200</v>
      </c>
      <c r="CV22" s="101">
        <v>120438</v>
      </c>
      <c r="CW22" s="109"/>
      <c r="CX22" s="109"/>
    </row>
    <row r="23" spans="1:102" ht="14.45">
      <c r="B23" s="1" t="s">
        <v>119</v>
      </c>
      <c r="C23" s="2" t="s">
        <v>120</v>
      </c>
      <c r="D23" s="1">
        <v>20</v>
      </c>
      <c r="F23" s="1">
        <v>20</v>
      </c>
      <c r="G23" s="1">
        <v>20</v>
      </c>
      <c r="H23" s="1">
        <v>20</v>
      </c>
      <c r="I23" s="1">
        <v>20</v>
      </c>
      <c r="J23" s="1">
        <v>20</v>
      </c>
      <c r="K23" s="1">
        <v>20</v>
      </c>
      <c r="L23" s="1">
        <v>20</v>
      </c>
      <c r="M23" s="1">
        <v>20</v>
      </c>
      <c r="N23" s="1">
        <v>20</v>
      </c>
      <c r="O23" s="1">
        <v>20</v>
      </c>
      <c r="P23" s="1">
        <v>20</v>
      </c>
      <c r="Q23" s="1">
        <v>20</v>
      </c>
      <c r="R23" s="1">
        <v>20</v>
      </c>
      <c r="S23" s="1">
        <v>20</v>
      </c>
      <c r="T23" s="1">
        <v>20</v>
      </c>
      <c r="U23" s="1">
        <v>20</v>
      </c>
      <c r="V23" s="1">
        <v>20</v>
      </c>
      <c r="W23" s="1">
        <v>20</v>
      </c>
      <c r="X23" s="1">
        <v>20</v>
      </c>
      <c r="Y23" s="1">
        <v>20</v>
      </c>
      <c r="Z23" s="1">
        <v>20</v>
      </c>
      <c r="AA23" s="1">
        <v>20</v>
      </c>
      <c r="AB23" s="1">
        <v>20</v>
      </c>
      <c r="AC23" s="1">
        <v>20</v>
      </c>
      <c r="AD23" s="1">
        <v>20</v>
      </c>
      <c r="AE23" s="1">
        <v>20</v>
      </c>
      <c r="AF23" s="1">
        <v>20</v>
      </c>
      <c r="AG23" s="1">
        <v>20</v>
      </c>
      <c r="AH23" s="1">
        <v>20</v>
      </c>
      <c r="AI23" s="1">
        <v>20</v>
      </c>
      <c r="AJ23" s="1">
        <v>20</v>
      </c>
      <c r="AK23" s="1">
        <v>20</v>
      </c>
      <c r="AL23" s="1">
        <v>20</v>
      </c>
      <c r="AM23" s="1">
        <v>20</v>
      </c>
      <c r="AN23" s="1">
        <v>20</v>
      </c>
      <c r="AO23" s="1">
        <v>20</v>
      </c>
      <c r="AP23" s="1">
        <v>20</v>
      </c>
      <c r="AQ23" s="1">
        <v>20</v>
      </c>
      <c r="AR23" s="1">
        <v>20</v>
      </c>
      <c r="AS23" s="1">
        <v>20</v>
      </c>
      <c r="AT23" s="1">
        <v>20</v>
      </c>
      <c r="AU23" s="1">
        <v>20</v>
      </c>
      <c r="AV23" s="1">
        <v>20</v>
      </c>
      <c r="AW23" s="1">
        <v>20</v>
      </c>
      <c r="AX23" s="1">
        <v>20</v>
      </c>
      <c r="AY23" s="1">
        <v>20</v>
      </c>
      <c r="AZ23" s="1">
        <v>20</v>
      </c>
      <c r="BA23" s="1">
        <v>20</v>
      </c>
      <c r="BB23" s="1">
        <v>20</v>
      </c>
      <c r="BC23" s="1">
        <v>20</v>
      </c>
      <c r="BD23" s="1">
        <v>20</v>
      </c>
      <c r="BE23" s="1">
        <v>20</v>
      </c>
      <c r="BF23" s="1">
        <v>20</v>
      </c>
      <c r="BG23" s="1">
        <v>20</v>
      </c>
      <c r="BH23" s="1">
        <v>20</v>
      </c>
      <c r="BI23" s="1">
        <v>20</v>
      </c>
      <c r="BJ23" s="1">
        <v>20</v>
      </c>
      <c r="BK23" s="1">
        <v>20</v>
      </c>
      <c r="BL23" s="1">
        <v>20</v>
      </c>
      <c r="BM23" s="1">
        <v>20</v>
      </c>
      <c r="BN23" s="1">
        <v>20</v>
      </c>
      <c r="BO23" s="1">
        <v>20</v>
      </c>
      <c r="BP23" s="1">
        <v>20</v>
      </c>
      <c r="BQ23" s="1">
        <v>20</v>
      </c>
      <c r="BR23" s="1">
        <v>20</v>
      </c>
      <c r="BS23" s="1">
        <v>20</v>
      </c>
      <c r="BT23" s="1">
        <v>20</v>
      </c>
      <c r="BU23" s="1">
        <v>20</v>
      </c>
      <c r="BV23" s="1">
        <v>20</v>
      </c>
      <c r="BW23" s="1">
        <v>20</v>
      </c>
      <c r="BX23" s="1">
        <v>20</v>
      </c>
      <c r="BY23" s="1">
        <v>20</v>
      </c>
      <c r="BZ23" s="1">
        <v>20</v>
      </c>
      <c r="CA23" s="1">
        <v>20</v>
      </c>
      <c r="CB23" s="1">
        <v>20</v>
      </c>
      <c r="CC23" s="1">
        <v>20</v>
      </c>
      <c r="CD23" s="1">
        <v>20</v>
      </c>
      <c r="CE23" s="1">
        <v>20</v>
      </c>
      <c r="CF23" s="1">
        <v>20</v>
      </c>
      <c r="CG23" s="1">
        <v>20</v>
      </c>
      <c r="CH23" s="1">
        <v>20</v>
      </c>
      <c r="CI23" s="1">
        <v>20</v>
      </c>
      <c r="CJ23" s="1">
        <v>20</v>
      </c>
      <c r="CK23" s="1">
        <v>20</v>
      </c>
      <c r="CL23" s="1">
        <v>20</v>
      </c>
      <c r="CM23" s="1">
        <v>20</v>
      </c>
      <c r="CN23" s="1">
        <v>20</v>
      </c>
      <c r="CO23" s="1">
        <v>20</v>
      </c>
      <c r="CP23" s="1">
        <v>20</v>
      </c>
      <c r="CQ23" s="1">
        <v>20</v>
      </c>
      <c r="CR23" s="1">
        <v>20</v>
      </c>
      <c r="CS23" s="1">
        <v>20</v>
      </c>
      <c r="CT23" s="1">
        <v>20</v>
      </c>
      <c r="CU23" s="1">
        <v>20</v>
      </c>
      <c r="CV23" s="1">
        <v>20</v>
      </c>
    </row>
    <row r="24" spans="1:102" ht="15.6">
      <c r="B24" s="1" t="s">
        <v>121</v>
      </c>
      <c r="C24" s="2" t="s">
        <v>122</v>
      </c>
      <c r="D24" s="100">
        <f>+D22/(D21+D19)</f>
        <v>76.003897971028579</v>
      </c>
      <c r="F24" s="100">
        <v>90.119411197695754</v>
      </c>
      <c r="G24" s="100">
        <v>107.43445107574236</v>
      </c>
      <c r="H24" s="100">
        <v>107.50915229723445</v>
      </c>
      <c r="I24" s="100">
        <v>65.633964467887267</v>
      </c>
      <c r="J24" s="100">
        <v>108.25026270329707</v>
      </c>
      <c r="K24" s="100">
        <v>107.8087861572709</v>
      </c>
      <c r="L24" s="100">
        <v>107.80858050272525</v>
      </c>
      <c r="M24" s="100">
        <v>107.80875069953463</v>
      </c>
      <c r="N24" s="100">
        <v>112.45170596500394</v>
      </c>
      <c r="O24" s="100">
        <v>112.49630968309781</v>
      </c>
      <c r="P24" s="100">
        <v>73.196768947310176</v>
      </c>
      <c r="Q24" s="100">
        <v>89.407319279080554</v>
      </c>
      <c r="R24" s="100">
        <v>89.377911694952957</v>
      </c>
      <c r="S24" s="100">
        <v>91.294927984745271</v>
      </c>
      <c r="T24" s="100">
        <v>92.525937476984012</v>
      </c>
      <c r="U24" s="100">
        <v>92.51352606987291</v>
      </c>
      <c r="V24" s="100">
        <v>101.04292669301313</v>
      </c>
      <c r="W24" s="100">
        <v>101.04320178319232</v>
      </c>
      <c r="X24" s="100">
        <v>97.870259471500475</v>
      </c>
      <c r="Y24" s="100">
        <v>95.631765658999015</v>
      </c>
      <c r="Z24" s="100">
        <v>95.632027802898406</v>
      </c>
      <c r="AA24" s="100">
        <v>95.632027802898406</v>
      </c>
      <c r="AB24" s="100">
        <v>95.632158875387034</v>
      </c>
      <c r="AC24" s="100">
        <v>96.027000379981686</v>
      </c>
      <c r="AD24" s="100">
        <v>96.027198616244618</v>
      </c>
      <c r="AE24" s="100">
        <v>79.069211873914099</v>
      </c>
      <c r="AF24" s="100">
        <v>79.287287029236978</v>
      </c>
      <c r="AG24" s="100">
        <v>72.890780434464062</v>
      </c>
      <c r="AH24" s="100">
        <v>81.44960610382779</v>
      </c>
      <c r="AI24" s="100">
        <v>81.44960610382779</v>
      </c>
      <c r="AJ24" s="100">
        <v>81.132562418069782</v>
      </c>
      <c r="AK24" s="100">
        <v>93.420031093204528</v>
      </c>
      <c r="AL24" s="100">
        <v>92.278508201123458</v>
      </c>
      <c r="AM24" s="100">
        <v>92.26637611601042</v>
      </c>
      <c r="AN24" s="100">
        <v>93.420156706851373</v>
      </c>
      <c r="AO24" s="100">
        <v>93.420031093204528</v>
      </c>
      <c r="AP24" s="100">
        <v>93.419842673367626</v>
      </c>
      <c r="AQ24" s="100">
        <v>102.14424151691428</v>
      </c>
      <c r="AR24" s="100">
        <v>102.14403674099626</v>
      </c>
      <c r="AS24" s="100">
        <v>102.14424151691428</v>
      </c>
      <c r="AT24" s="100">
        <v>102.14396848253941</v>
      </c>
      <c r="AU24" s="100">
        <v>102.69297076908239</v>
      </c>
      <c r="AV24" s="100">
        <v>102.69276378710281</v>
      </c>
      <c r="AW24" s="100">
        <v>102.69262579957996</v>
      </c>
      <c r="AX24" s="100">
        <v>103.24755778168702</v>
      </c>
      <c r="AY24" s="100">
        <v>103.24755778168702</v>
      </c>
      <c r="AZ24" s="100">
        <v>103.24755778168702</v>
      </c>
      <c r="BA24" s="100">
        <v>104.36135805004776</v>
      </c>
      <c r="BB24" s="100">
        <v>104.34710916571224</v>
      </c>
      <c r="BC24" s="100">
        <f>+BC22/(BC21+BC19)</f>
        <v>104.34689546206674</v>
      </c>
      <c r="BD24" s="100">
        <v>104.58965589609872</v>
      </c>
      <c r="BE24" s="100">
        <v>104.58965589609872</v>
      </c>
      <c r="BF24" s="100">
        <v>104.62530803158012</v>
      </c>
      <c r="BG24" s="100">
        <v>103.49188056547348</v>
      </c>
      <c r="BH24" s="100">
        <v>109.79310472321212</v>
      </c>
      <c r="BI24" s="100">
        <v>106.42662006587318</v>
      </c>
      <c r="BJ24" s="100">
        <v>106.44107196237184</v>
      </c>
      <c r="BK24" s="100">
        <v>106.43384552354239</v>
      </c>
      <c r="BL24" s="100">
        <v>106.42662006587318</v>
      </c>
      <c r="BM24" s="100">
        <v>106.01204707095198</v>
      </c>
      <c r="BN24" s="100">
        <v>125.67712928403304</v>
      </c>
      <c r="BO24" s="100">
        <v>125.6600813826109</v>
      </c>
      <c r="BP24" s="100">
        <v>125.40491673921859</v>
      </c>
      <c r="BQ24" s="100">
        <v>125.30314080246282</v>
      </c>
      <c r="BR24" s="100">
        <v>125.03254419659974</v>
      </c>
      <c r="BS24" s="100">
        <v>125.03254419659974</v>
      </c>
      <c r="BT24" s="100">
        <v>105.79741882070712</v>
      </c>
      <c r="BU24" s="100">
        <v>105.78314116634533</v>
      </c>
      <c r="BV24" s="100">
        <v>105.81170032972717</v>
      </c>
      <c r="BW24" s="100">
        <v>105.29291101385169</v>
      </c>
      <c r="BX24" s="100">
        <v>105.31413086693792</v>
      </c>
      <c r="BY24" s="100">
        <v>104.919431942527</v>
      </c>
      <c r="BZ24" s="100">
        <v>104.80720364254834</v>
      </c>
      <c r="CA24" s="100">
        <v>104.82822815681963</v>
      </c>
      <c r="CB24" s="100">
        <v>104.54859300335031</v>
      </c>
      <c r="CC24" s="100">
        <v>104.56253932403374</v>
      </c>
      <c r="CD24" s="100">
        <v>84.758477154738713</v>
      </c>
      <c r="CE24" s="100">
        <v>84.532950707177378</v>
      </c>
      <c r="CF24" s="100">
        <v>76.079663244425973</v>
      </c>
      <c r="CG24" s="100">
        <v>76.094848805951784</v>
      </c>
      <c r="CH24" s="100">
        <v>67.27283472636303</v>
      </c>
      <c r="CI24" s="100">
        <v>67.077532223858398</v>
      </c>
      <c r="CJ24" s="100">
        <v>67.059833666543398</v>
      </c>
      <c r="CK24" s="100">
        <v>67.050987889776962</v>
      </c>
      <c r="CL24" s="100">
        <v>68.368664154518171</v>
      </c>
      <c r="CM24" s="100">
        <v>68.323846937766604</v>
      </c>
      <c r="CN24" s="100">
        <v>69.053129970101352</v>
      </c>
      <c r="CO24" s="100">
        <v>70.466778602189976</v>
      </c>
      <c r="CP24" s="100">
        <v>70.466778602189976</v>
      </c>
      <c r="CQ24" s="100">
        <v>70.46216206795242</v>
      </c>
      <c r="CR24" s="100">
        <v>71.707076592121183</v>
      </c>
      <c r="CS24" s="100">
        <v>71.725872680349781</v>
      </c>
      <c r="CT24" s="100">
        <v>71.735274420116511</v>
      </c>
      <c r="CU24" s="100">
        <v>71.735274420116511</v>
      </c>
      <c r="CV24" s="100">
        <v>74.992072744265727</v>
      </c>
    </row>
    <row r="25" spans="1:102" ht="14.45">
      <c r="B25" s="1" t="s">
        <v>121</v>
      </c>
      <c r="C25" s="2" t="s">
        <v>123</v>
      </c>
      <c r="D25" s="1">
        <f>+D24/D23</f>
        <v>3.8001948985514291</v>
      </c>
      <c r="F25" s="1">
        <v>4.5059705598847879</v>
      </c>
      <c r="G25" s="1">
        <v>5.3717225537871176</v>
      </c>
      <c r="H25" s="1">
        <v>5.3754576148617224</v>
      </c>
      <c r="I25" s="1">
        <v>3.2816982233943635</v>
      </c>
      <c r="J25" s="1">
        <v>5.4125131351648532</v>
      </c>
      <c r="K25" s="1">
        <v>5.3904393078635451</v>
      </c>
      <c r="L25" s="1">
        <v>5.3904290251362621</v>
      </c>
      <c r="M25" s="1">
        <v>5.3904375349767317</v>
      </c>
      <c r="N25" s="1">
        <v>5.6225852982501969</v>
      </c>
      <c r="O25" s="1">
        <v>5.6248154841548903</v>
      </c>
      <c r="P25" s="1">
        <v>3.6598384473655088</v>
      </c>
      <c r="Q25" s="1">
        <v>4.4703659639540279</v>
      </c>
      <c r="R25" s="1">
        <v>4.4688955847476475</v>
      </c>
      <c r="S25" s="1">
        <v>4.5647463992372632</v>
      </c>
      <c r="T25" s="1">
        <v>4.626296873849201</v>
      </c>
      <c r="U25" s="1">
        <v>4.6256763034936457</v>
      </c>
      <c r="V25" s="1">
        <v>5.0521463346506561</v>
      </c>
      <c r="W25" s="1">
        <v>5.0521600891596155</v>
      </c>
      <c r="X25" s="1">
        <v>4.8935129735750236</v>
      </c>
      <c r="Y25" s="1">
        <v>4.7815882829499508</v>
      </c>
      <c r="Z25" s="1">
        <v>4.7816013901449201</v>
      </c>
      <c r="AA25" s="1">
        <v>4.7816013901449201</v>
      </c>
      <c r="AB25" s="1">
        <v>4.7816079437693517</v>
      </c>
      <c r="AC25" s="1">
        <v>4.8013500189990843</v>
      </c>
      <c r="AD25" s="1">
        <v>4.8013599308122306</v>
      </c>
      <c r="AE25" s="1">
        <v>3.9534605936957048</v>
      </c>
      <c r="AF25" s="1">
        <v>3.9643643514618487</v>
      </c>
      <c r="AG25" s="1">
        <v>3.6445390217232032</v>
      </c>
      <c r="AH25" s="1">
        <v>4.0724803051913891</v>
      </c>
      <c r="AI25" s="1">
        <v>4.0724803051913891</v>
      </c>
      <c r="AJ25" s="1">
        <v>4.0566281209034889</v>
      </c>
      <c r="AK25" s="1">
        <v>4.6710015546602266</v>
      </c>
      <c r="AL25" s="1">
        <v>4.6139254100561731</v>
      </c>
      <c r="AM25" s="1">
        <v>4.613318805800521</v>
      </c>
      <c r="AN25" s="1">
        <v>4.6710078353425688</v>
      </c>
      <c r="AO25" s="1">
        <v>4.6710015546602266</v>
      </c>
      <c r="AP25" s="1">
        <v>4.6709921336683813</v>
      </c>
      <c r="AQ25" s="1">
        <v>5.1072120758457142</v>
      </c>
      <c r="AR25" s="1">
        <v>5.1072018370498125</v>
      </c>
      <c r="AS25" s="1">
        <v>5.1072120758457142</v>
      </c>
      <c r="AT25" s="1">
        <v>5.1071984241269703</v>
      </c>
      <c r="AU25" s="1">
        <v>5.1346485384541198</v>
      </c>
      <c r="AV25" s="1">
        <v>5.1346381893551403</v>
      </c>
      <c r="AW25" s="1">
        <v>5.1346312899789979</v>
      </c>
      <c r="AX25" s="1">
        <v>5.1623778890843512</v>
      </c>
      <c r="AY25" s="1">
        <v>5.1623778890843512</v>
      </c>
      <c r="AZ25" s="1">
        <v>5.1623778890843512</v>
      </c>
      <c r="BA25" s="1">
        <v>5.2180679025023879</v>
      </c>
      <c r="BB25" s="1">
        <v>5.2173554582856116</v>
      </c>
      <c r="BC25" s="1">
        <f>+BC24/BC23</f>
        <v>5.2173447731033367</v>
      </c>
      <c r="BD25" s="1">
        <v>5.2294827948049356</v>
      </c>
      <c r="BE25" s="1">
        <v>5.2294827948049356</v>
      </c>
      <c r="BF25" s="1">
        <v>5.2312654015790061</v>
      </c>
      <c r="BG25" s="1">
        <v>5.174594028273674</v>
      </c>
      <c r="BH25" s="1">
        <v>5.4896552361606066</v>
      </c>
      <c r="BI25" s="1">
        <v>5.3213310032936594</v>
      </c>
      <c r="BJ25" s="1">
        <v>5.3220535981185915</v>
      </c>
      <c r="BK25" s="1">
        <v>5.321692276177119</v>
      </c>
      <c r="BL25" s="1">
        <v>5.3213310032936594</v>
      </c>
      <c r="BM25" s="1">
        <v>5.3006023535475988</v>
      </c>
      <c r="BN25" s="1">
        <v>6.2838564642016523</v>
      </c>
      <c r="BO25" s="1">
        <v>6.2830040691305449</v>
      </c>
      <c r="BP25" s="1">
        <v>6.27024583696093</v>
      </c>
      <c r="BQ25" s="1">
        <v>6.2651570401231407</v>
      </c>
      <c r="BR25" s="1">
        <v>6.2516272098299872</v>
      </c>
      <c r="BS25" s="1">
        <v>6.2516272098299872</v>
      </c>
      <c r="BT25" s="1">
        <v>5.2898709410353559</v>
      </c>
      <c r="BU25" s="1">
        <v>5.2891570583172669</v>
      </c>
      <c r="BV25" s="1">
        <v>5.290585016486359</v>
      </c>
      <c r="BW25" s="1">
        <v>5.2646455506925847</v>
      </c>
      <c r="BX25" s="1">
        <v>5.2657065433468961</v>
      </c>
      <c r="BY25" s="1">
        <v>5.2459715971263501</v>
      </c>
      <c r="BZ25" s="1">
        <v>5.2403601821274171</v>
      </c>
      <c r="CA25" s="1">
        <v>5.2414114078409817</v>
      </c>
      <c r="CB25" s="1">
        <v>5.2274296501675153</v>
      </c>
      <c r="CC25" s="1">
        <v>5.2281269662016872</v>
      </c>
      <c r="CD25" s="1">
        <v>4.237923857736936</v>
      </c>
      <c r="CE25" s="1">
        <v>4.2266475353588691</v>
      </c>
      <c r="CF25" s="1">
        <v>3.8039831622212987</v>
      </c>
      <c r="CG25" s="1">
        <v>3.8047424402975891</v>
      </c>
      <c r="CH25" s="1">
        <v>3.3636417363181517</v>
      </c>
      <c r="CI25" s="1">
        <v>3.3538766111929199</v>
      </c>
      <c r="CJ25" s="1">
        <v>3.3529916833271698</v>
      </c>
      <c r="CK25" s="1">
        <v>3.352549394488848</v>
      </c>
      <c r="CL25" s="1">
        <v>3.4184332077259088</v>
      </c>
      <c r="CM25" s="1">
        <v>3.4161923468883302</v>
      </c>
      <c r="CN25" s="1">
        <v>3.4526564985050676</v>
      </c>
      <c r="CO25" s="1">
        <v>3.5233389301094986</v>
      </c>
      <c r="CP25" s="1">
        <v>3.5233389301094986</v>
      </c>
      <c r="CQ25" s="1">
        <v>3.5231081033976208</v>
      </c>
      <c r="CR25" s="1">
        <v>3.585353829606059</v>
      </c>
      <c r="CS25" s="1">
        <v>3.5862936340174891</v>
      </c>
      <c r="CT25" s="1">
        <v>3.5867637210058256</v>
      </c>
      <c r="CU25" s="1">
        <v>3.5867637210058256</v>
      </c>
      <c r="CV25" s="1">
        <v>3.7496036372132862</v>
      </c>
    </row>
    <row r="26" spans="1:102" ht="14.45">
      <c r="B26" s="1" t="s">
        <v>124</v>
      </c>
      <c r="C26" s="2" t="s">
        <v>125</v>
      </c>
      <c r="D26" s="141">
        <f>60/D25</f>
        <v>15.788663897967707</v>
      </c>
      <c r="F26" s="1">
        <v>13.315666226086956</v>
      </c>
      <c r="G26" s="1">
        <v>11.169601445201113</v>
      </c>
      <c r="H26" s="1">
        <v>11.16184040482727</v>
      </c>
      <c r="I26" s="1">
        <v>18.283216772424648</v>
      </c>
      <c r="J26" s="1">
        <v>11.085423444089717</v>
      </c>
      <c r="K26" s="1">
        <v>11.1308182085405</v>
      </c>
      <c r="L26" s="1">
        <v>11.130839441575485</v>
      </c>
      <c r="M26" s="1">
        <v>11.130821869408601</v>
      </c>
      <c r="N26" s="1">
        <v>10.671247623165909</v>
      </c>
      <c r="O26" s="1">
        <v>10.66701657485833</v>
      </c>
      <c r="P26" s="1">
        <v>16.394166262499997</v>
      </c>
      <c r="Q26" s="1">
        <v>13.42171994055944</v>
      </c>
      <c r="R26" s="1">
        <v>13.426136024475523</v>
      </c>
      <c r="S26" s="1">
        <v>13.144213227272729</v>
      </c>
      <c r="T26" s="141">
        <v>12.969336304195805</v>
      </c>
      <c r="U26" s="141">
        <v>12.971076241258745</v>
      </c>
      <c r="V26" s="141">
        <v>11.876140560000001</v>
      </c>
      <c r="W26" s="141">
        <v>11.876108227200001</v>
      </c>
      <c r="X26" s="141">
        <v>12.261130260408029</v>
      </c>
      <c r="Y26" s="141">
        <v>12.548131802553195</v>
      </c>
      <c r="Z26" s="141">
        <v>12.548097405957447</v>
      </c>
      <c r="AA26" s="141">
        <v>12.548097405957447</v>
      </c>
      <c r="AB26" s="141">
        <v>12.548080207659575</v>
      </c>
      <c r="AC26" s="141">
        <v>12.496485314042555</v>
      </c>
      <c r="AD26" s="141">
        <v>12.496459516595747</v>
      </c>
      <c r="AE26" s="141">
        <v>15.176577223427399</v>
      </c>
      <c r="AF26" s="141">
        <v>15.134834914423333</v>
      </c>
      <c r="AG26" s="141">
        <v>16.46298740180066</v>
      </c>
      <c r="AH26" s="141">
        <v>14.733036258889964</v>
      </c>
      <c r="AI26" s="141">
        <v>14.733036258889964</v>
      </c>
      <c r="AJ26" s="141">
        <v>14.790608902705346</v>
      </c>
      <c r="AK26" s="141">
        <v>12.845210882051282</v>
      </c>
      <c r="AL26" s="141">
        <v>13.004111394871796</v>
      </c>
      <c r="AM26" s="141">
        <v>13.005821302564103</v>
      </c>
      <c r="AN26" s="141">
        <v>12.845193610256413</v>
      </c>
      <c r="AO26" s="141">
        <v>12.845210882051282</v>
      </c>
      <c r="AP26" s="141">
        <v>12.84523678974359</v>
      </c>
      <c r="AQ26" s="141">
        <v>11.748092522683125</v>
      </c>
      <c r="AR26" s="141">
        <v>11.748116074977593</v>
      </c>
      <c r="AS26" s="141">
        <v>11.748092522683125</v>
      </c>
      <c r="AT26" s="141">
        <v>11.748123925742412</v>
      </c>
      <c r="AU26" s="141">
        <v>11.685317807178308</v>
      </c>
      <c r="AV26" s="141">
        <v>11.685341359472771</v>
      </c>
      <c r="AW26" s="141">
        <v>11.68535706100241</v>
      </c>
      <c r="AX26" s="141">
        <v>11.622550942438306</v>
      </c>
      <c r="AY26" s="141">
        <v>11.622550942438306</v>
      </c>
      <c r="AZ26" s="141">
        <v>11.622550942438306</v>
      </c>
      <c r="BA26" s="141">
        <v>11.498508858274203</v>
      </c>
      <c r="BB26" s="141">
        <v>11.500079011238311</v>
      </c>
      <c r="BC26" s="141">
        <f>60/BC25</f>
        <v>11.500102563532774</v>
      </c>
      <c r="BD26" s="141">
        <v>11.473409963143029</v>
      </c>
      <c r="BE26" s="141">
        <v>11.473409963143029</v>
      </c>
      <c r="BF26" s="141">
        <v>11.469500282262413</v>
      </c>
      <c r="BG26" s="141">
        <v>11.595112519390616</v>
      </c>
      <c r="BH26" s="141">
        <v>10.929648114289089</v>
      </c>
      <c r="BI26" s="141">
        <v>11.275374518680149</v>
      </c>
      <c r="BJ26" s="141">
        <v>11.273843619540154</v>
      </c>
      <c r="BK26" s="141">
        <v>11.274609069110154</v>
      </c>
      <c r="BL26" s="141">
        <v>11.275374518680149</v>
      </c>
      <c r="BM26" s="141">
        <v>11.319468241160001</v>
      </c>
      <c r="BN26" s="141">
        <v>9.5482766581019991</v>
      </c>
      <c r="BO26" s="141">
        <v>9.5495720422639998</v>
      </c>
      <c r="BP26" s="141">
        <v>9.5690028046939979</v>
      </c>
      <c r="BQ26" s="141">
        <v>9.5767751096660003</v>
      </c>
      <c r="BR26" s="141">
        <v>9.5975012562580009</v>
      </c>
      <c r="BS26" s="141">
        <v>9.5975012562580009</v>
      </c>
      <c r="BT26" s="141">
        <v>11.342431728259999</v>
      </c>
      <c r="BU26" s="141">
        <v>11.3439626274</v>
      </c>
      <c r="BV26" s="141">
        <v>11.340900829120001</v>
      </c>
      <c r="BW26" s="141">
        <v>11.396778647730001</v>
      </c>
      <c r="BX26" s="141">
        <v>11.39448229902</v>
      </c>
      <c r="BY26" s="141">
        <v>11.437347474939996</v>
      </c>
      <c r="BZ26" s="141">
        <v>11.44959466806</v>
      </c>
      <c r="CA26" s="141">
        <v>11.447298319350002</v>
      </c>
      <c r="CB26" s="141">
        <v>11.477916302150001</v>
      </c>
      <c r="CC26" s="141">
        <v>11.476385403010001</v>
      </c>
      <c r="CD26" s="141">
        <v>14.157875887850468</v>
      </c>
      <c r="CE26" s="141">
        <v>14.19564785046729</v>
      </c>
      <c r="CF26" s="141">
        <v>15.77294047878056</v>
      </c>
      <c r="CG26" s="141">
        <v>15.76979281554393</v>
      </c>
      <c r="CH26" s="141">
        <v>17.83780934579439</v>
      </c>
      <c r="CI26" s="141">
        <v>17.889745794392528</v>
      </c>
      <c r="CJ26" s="141">
        <v>17.894467289719628</v>
      </c>
      <c r="CK26" s="141">
        <v>17.896828037383173</v>
      </c>
      <c r="CL26" s="141">
        <v>17.551900638103916</v>
      </c>
      <c r="CM26" s="141">
        <v>17.563413855970829</v>
      </c>
      <c r="CN26" s="141">
        <v>17.377923354373312</v>
      </c>
      <c r="CO26" s="141">
        <v>17.029301236749117</v>
      </c>
      <c r="CP26" s="141">
        <v>17.029301236749117</v>
      </c>
      <c r="CQ26" s="141">
        <v>17.03041696113074</v>
      </c>
      <c r="CR26" s="141">
        <v>16.734750000000002</v>
      </c>
      <c r="CS26" s="141">
        <v>16.730364583333333</v>
      </c>
      <c r="CT26" s="141">
        <v>16.728171875000001</v>
      </c>
      <c r="CU26" s="141">
        <v>16.728171875000001</v>
      </c>
      <c r="CV26" s="141">
        <v>16.001691326657699</v>
      </c>
    </row>
    <row r="27" spans="1:102" ht="14.45">
      <c r="B27" s="1" t="s">
        <v>121</v>
      </c>
      <c r="C27" s="2" t="s">
        <v>126</v>
      </c>
      <c r="D27">
        <f>+D24/3</f>
        <v>25.334632657009525</v>
      </c>
      <c r="F27">
        <v>30.03980373256525</v>
      </c>
      <c r="G27">
        <v>35.81148369191412</v>
      </c>
      <c r="H27">
        <v>35.836384099078153</v>
      </c>
      <c r="I27">
        <v>21.877988155962424</v>
      </c>
      <c r="J27">
        <v>36.083420901099025</v>
      </c>
      <c r="K27">
        <v>35.936262052423636</v>
      </c>
      <c r="L27">
        <v>35.936193500908416</v>
      </c>
      <c r="M27">
        <v>35.936250233178207</v>
      </c>
      <c r="N27">
        <v>37.483901988334644</v>
      </c>
      <c r="O27">
        <v>37.498769894365935</v>
      </c>
      <c r="P27">
        <v>24.398922982436726</v>
      </c>
      <c r="Q27">
        <v>29.802439759693517</v>
      </c>
      <c r="R27">
        <v>29.792637231650986</v>
      </c>
      <c r="S27">
        <v>30.431642661581758</v>
      </c>
      <c r="T27">
        <v>30.841979158994672</v>
      </c>
      <c r="U27">
        <v>30.837842023290971</v>
      </c>
      <c r="V27">
        <v>33.680975564337707</v>
      </c>
      <c r="W27">
        <v>33.681067261064108</v>
      </c>
      <c r="X27">
        <v>32.623419823833494</v>
      </c>
      <c r="Y27">
        <v>31.877255219666338</v>
      </c>
      <c r="Z27">
        <v>31.877342600966134</v>
      </c>
      <c r="AA27">
        <v>31.877342600966134</v>
      </c>
      <c r="AB27">
        <v>31.877386291795677</v>
      </c>
      <c r="AC27">
        <v>32.00900012666056</v>
      </c>
      <c r="AD27">
        <v>32.009066205414875</v>
      </c>
      <c r="AE27">
        <v>26.356403957971366</v>
      </c>
      <c r="AF27">
        <v>26.429095676412327</v>
      </c>
      <c r="AG27">
        <v>24.296926811488021</v>
      </c>
      <c r="AH27">
        <v>27.149868701275931</v>
      </c>
      <c r="AI27">
        <v>27.149868701275931</v>
      </c>
      <c r="AJ27">
        <v>27.044187472689927</v>
      </c>
      <c r="AK27">
        <v>31.140010364401508</v>
      </c>
      <c r="AL27">
        <v>30.759502733707819</v>
      </c>
      <c r="AM27">
        <v>30.755458705336807</v>
      </c>
      <c r="AN27">
        <v>31.140052235617123</v>
      </c>
      <c r="AO27">
        <v>31.140010364401508</v>
      </c>
      <c r="AP27">
        <v>31.13994755778921</v>
      </c>
      <c r="AQ27">
        <v>34.04808050563809</v>
      </c>
      <c r="AR27">
        <v>34.048012246998752</v>
      </c>
      <c r="AS27">
        <v>34.04808050563809</v>
      </c>
      <c r="AT27">
        <v>34.047989494179802</v>
      </c>
      <c r="AU27">
        <v>34.230990256360798</v>
      </c>
      <c r="AV27">
        <v>34.230921262367602</v>
      </c>
      <c r="AW27">
        <v>34.230875266526652</v>
      </c>
      <c r="AX27">
        <v>34.415852593895671</v>
      </c>
      <c r="AY27">
        <v>34.415852593895671</v>
      </c>
      <c r="AZ27">
        <v>34.415852593895671</v>
      </c>
      <c r="BA27">
        <v>34.787119350015921</v>
      </c>
      <c r="BB27">
        <v>34.782369721904082</v>
      </c>
      <c r="BC27">
        <f>+BC24/3</f>
        <v>34.782298487355582</v>
      </c>
      <c r="BD27">
        <v>34.863218632032904</v>
      </c>
      <c r="BE27">
        <v>34.863218632032904</v>
      </c>
      <c r="BF27">
        <v>34.875102677193375</v>
      </c>
      <c r="BG27">
        <v>34.497293521824496</v>
      </c>
      <c r="BH27">
        <v>36.597701574404041</v>
      </c>
      <c r="BI27">
        <v>35.475540021957727</v>
      </c>
      <c r="BJ27">
        <v>35.48035732079061</v>
      </c>
      <c r="BK27">
        <v>35.477948507847465</v>
      </c>
      <c r="BL27">
        <v>35.475540021957727</v>
      </c>
      <c r="BM27">
        <v>35.33734902365066</v>
      </c>
      <c r="BN27">
        <v>41.892376428011012</v>
      </c>
      <c r="BO27">
        <v>41.88669379420363</v>
      </c>
      <c r="BP27">
        <v>41.801638913072864</v>
      </c>
      <c r="BQ27">
        <v>41.76771360082094</v>
      </c>
      <c r="BR27">
        <v>41.677514732199917</v>
      </c>
      <c r="BS27">
        <v>41.677514732199917</v>
      </c>
      <c r="BT27">
        <v>35.265806273569041</v>
      </c>
      <c r="BU27">
        <v>35.261047055448444</v>
      </c>
      <c r="BV27">
        <v>35.270566776575727</v>
      </c>
      <c r="BW27">
        <v>35.097637004617233</v>
      </c>
      <c r="BX27">
        <v>35.104710288979305</v>
      </c>
      <c r="BY27">
        <v>34.97314398084233</v>
      </c>
      <c r="BZ27">
        <v>34.935734547516113</v>
      </c>
      <c r="CA27">
        <v>34.942742718939876</v>
      </c>
      <c r="CB27">
        <v>34.849531001116766</v>
      </c>
      <c r="CC27">
        <v>34.85417977467791</v>
      </c>
      <c r="CD27">
        <v>28.252825718246239</v>
      </c>
      <c r="CE27">
        <v>28.177650235725793</v>
      </c>
      <c r="CF27">
        <v>25.35988774814199</v>
      </c>
      <c r="CG27">
        <v>25.364949601983927</v>
      </c>
      <c r="CH27">
        <v>22.424278242121009</v>
      </c>
      <c r="CI27">
        <v>22.359177407952799</v>
      </c>
      <c r="CJ27">
        <v>22.353277888847799</v>
      </c>
      <c r="CK27">
        <v>22.350329296592321</v>
      </c>
      <c r="CL27">
        <v>22.789554718172724</v>
      </c>
      <c r="CM27">
        <v>22.7746156459222</v>
      </c>
      <c r="CN27">
        <v>23.017709990033783</v>
      </c>
      <c r="CO27">
        <v>23.488926200729992</v>
      </c>
      <c r="CP27">
        <v>23.488926200729992</v>
      </c>
      <c r="CQ27">
        <v>23.48738735598414</v>
      </c>
      <c r="CR27">
        <v>23.902358864040394</v>
      </c>
      <c r="CS27">
        <v>23.90862422678326</v>
      </c>
      <c r="CT27">
        <v>23.911758140038838</v>
      </c>
      <c r="CU27">
        <v>23.911758140038838</v>
      </c>
      <c r="CV27">
        <v>24.997357581421909</v>
      </c>
    </row>
    <row r="28" spans="1:102" ht="14.45">
      <c r="C28" s="6"/>
    </row>
    <row r="29" spans="1:102" ht="15.6">
      <c r="C29" s="4" t="s">
        <v>127</v>
      </c>
      <c r="D29" s="99">
        <f>+D19/(D19+D21)</f>
        <v>0.6</v>
      </c>
      <c r="F29" s="99">
        <v>0.5</v>
      </c>
      <c r="G29" s="99">
        <v>0.39999975999990406</v>
      </c>
      <c r="H29" s="99">
        <v>0.399999759999904</v>
      </c>
      <c r="I29" s="99">
        <v>0.399999759999904</v>
      </c>
      <c r="J29" s="99">
        <v>0.399999759999904</v>
      </c>
      <c r="K29" s="99">
        <v>0.39999975999990395</v>
      </c>
      <c r="L29" s="99">
        <v>0.399999759999904</v>
      </c>
      <c r="M29" s="99">
        <v>0.399999759999904</v>
      </c>
      <c r="N29" s="99">
        <v>0.399999759999904</v>
      </c>
      <c r="O29" s="99">
        <v>0.399999759999904</v>
      </c>
      <c r="P29" s="99">
        <v>0.60000000000000009</v>
      </c>
      <c r="Q29" s="99">
        <v>0.5</v>
      </c>
      <c r="R29" s="99">
        <v>0.5</v>
      </c>
      <c r="S29" s="99">
        <v>0.5</v>
      </c>
      <c r="T29" s="99">
        <v>0.5</v>
      </c>
      <c r="U29" s="99">
        <v>0.5</v>
      </c>
      <c r="V29" s="99">
        <v>0.5</v>
      </c>
      <c r="W29" s="99">
        <v>0.5</v>
      </c>
      <c r="X29" s="99">
        <v>0.5</v>
      </c>
      <c r="Y29" s="99">
        <v>0.5</v>
      </c>
      <c r="Z29" s="99">
        <v>0.5</v>
      </c>
      <c r="AA29" s="99">
        <v>0.5</v>
      </c>
      <c r="AB29" s="99">
        <v>0.5</v>
      </c>
      <c r="AC29" s="99">
        <v>0.5</v>
      </c>
      <c r="AD29" s="99">
        <v>0.5</v>
      </c>
      <c r="AE29" s="99">
        <v>0.54999995499999543</v>
      </c>
      <c r="AF29" s="99">
        <v>0.54999995499999543</v>
      </c>
      <c r="AG29" s="99">
        <v>0.54999995499999543</v>
      </c>
      <c r="AH29" s="99">
        <v>0.54999995499999543</v>
      </c>
      <c r="AI29" s="99">
        <v>0.54999995499999543</v>
      </c>
      <c r="AJ29" s="99">
        <v>0.54999995499999554</v>
      </c>
      <c r="AK29" s="99">
        <v>0.5</v>
      </c>
      <c r="AL29" s="99">
        <v>0.5</v>
      </c>
      <c r="AM29" s="99">
        <v>0.5</v>
      </c>
      <c r="AN29" s="99">
        <v>0.5</v>
      </c>
      <c r="AO29" s="99">
        <v>0.5</v>
      </c>
      <c r="AP29" s="99">
        <v>0.5</v>
      </c>
      <c r="AQ29" s="99">
        <v>0.4499964249767624</v>
      </c>
      <c r="AR29" s="99">
        <v>0.44999642497676229</v>
      </c>
      <c r="AS29" s="99">
        <v>0.4499964249767624</v>
      </c>
      <c r="AT29" s="99">
        <v>0.44999642497676234</v>
      </c>
      <c r="AU29" s="99">
        <v>0.44999642497676234</v>
      </c>
      <c r="AV29" s="99">
        <v>0.44999642497676229</v>
      </c>
      <c r="AW29" s="99">
        <v>0.44999642497676229</v>
      </c>
      <c r="AX29" s="99">
        <v>0.44999642497676234</v>
      </c>
      <c r="AY29" s="99">
        <v>0.44999642497676234</v>
      </c>
      <c r="AZ29" s="99">
        <v>0.44999642497676234</v>
      </c>
      <c r="BA29" s="99">
        <v>0.4499964249767624</v>
      </c>
      <c r="BB29" s="99">
        <v>0.44999642497676229</v>
      </c>
      <c r="BC29" s="99">
        <f>+BC19/(BC19+BC21)</f>
        <v>0.44999642497676234</v>
      </c>
      <c r="BD29" s="99">
        <v>0.44999642497676229</v>
      </c>
      <c r="BE29" s="99">
        <v>0.44999642497676229</v>
      </c>
      <c r="BF29" s="99">
        <v>0.44999642497676234</v>
      </c>
      <c r="BG29" s="99">
        <v>0.44999642497676234</v>
      </c>
      <c r="BH29" s="99">
        <v>0.4499964249767624</v>
      </c>
      <c r="BI29" s="99">
        <v>0.44999642497676234</v>
      </c>
      <c r="BJ29" s="99">
        <v>0.44999642497676234</v>
      </c>
      <c r="BK29" s="99">
        <v>0.44999642497676229</v>
      </c>
      <c r="BL29" s="99">
        <v>0.44999642497676234</v>
      </c>
      <c r="BM29" s="99">
        <v>0.44999642497676234</v>
      </c>
      <c r="BN29" s="99">
        <v>0.34999977249992037</v>
      </c>
      <c r="BO29" s="99">
        <v>0.34999977249992037</v>
      </c>
      <c r="BP29" s="99">
        <v>0.34999977249992037</v>
      </c>
      <c r="BQ29" s="99">
        <v>0.34999977249992037</v>
      </c>
      <c r="BR29" s="99">
        <v>0.34999977249992037</v>
      </c>
      <c r="BS29" s="99">
        <v>0.34999977249992037</v>
      </c>
      <c r="BT29" s="99">
        <v>0.44999642497676234</v>
      </c>
      <c r="BU29" s="99">
        <v>0.44999642497676229</v>
      </c>
      <c r="BV29" s="99">
        <v>0.44999642497676229</v>
      </c>
      <c r="BW29" s="99">
        <v>0.44999642497676234</v>
      </c>
      <c r="BX29" s="99">
        <v>0.44999642497676229</v>
      </c>
      <c r="BY29" s="99">
        <v>0.4499964249767624</v>
      </c>
      <c r="BZ29" s="99">
        <v>0.4499964249767624</v>
      </c>
      <c r="CA29" s="99">
        <v>0.44999642497676234</v>
      </c>
      <c r="CB29" s="99">
        <v>0.44999642497676234</v>
      </c>
      <c r="CC29" s="99">
        <v>0.44999642497676234</v>
      </c>
      <c r="CD29" s="99">
        <v>0.5</v>
      </c>
      <c r="CE29" s="99">
        <v>0.5</v>
      </c>
      <c r="CF29" s="99">
        <v>0.54999995499999554</v>
      </c>
      <c r="CG29" s="99">
        <v>0.54999995499999543</v>
      </c>
      <c r="CH29" s="99">
        <v>0.6</v>
      </c>
      <c r="CI29" s="99">
        <v>0.6</v>
      </c>
      <c r="CJ29" s="99">
        <v>0.6</v>
      </c>
      <c r="CK29" s="99">
        <v>0.6</v>
      </c>
      <c r="CL29" s="99">
        <v>0.6</v>
      </c>
      <c r="CM29" s="99">
        <v>0.60000000000000009</v>
      </c>
      <c r="CN29" s="99">
        <v>0.6</v>
      </c>
      <c r="CO29" s="99">
        <v>0.60000000000000009</v>
      </c>
      <c r="CP29" s="99">
        <v>0.60000000000000009</v>
      </c>
      <c r="CQ29" s="99">
        <v>0.6</v>
      </c>
      <c r="CR29" s="99">
        <v>0.60000000000000009</v>
      </c>
      <c r="CS29" s="99">
        <v>0.6</v>
      </c>
      <c r="CT29" s="99">
        <v>0.6</v>
      </c>
      <c r="CU29" s="99">
        <v>0.6</v>
      </c>
      <c r="CV29" s="99">
        <v>0.60000000000000009</v>
      </c>
      <c r="CW29" s="110"/>
      <c r="CX29" s="110"/>
    </row>
    <row r="30" spans="1:102" ht="14.45">
      <c r="A30" s="75">
        <f>+D30/($D$21+$D$19)</f>
        <v>0</v>
      </c>
      <c r="B30" s="1" t="s">
        <v>103</v>
      </c>
      <c r="C30" s="1" t="s">
        <v>128</v>
      </c>
      <c r="D30" s="10">
        <f>+$D$19*'Proporción de vidrio'!$I13</f>
        <v>0</v>
      </c>
      <c r="F30" s="10">
        <v>0</v>
      </c>
      <c r="G30" s="10">
        <v>0</v>
      </c>
      <c r="H30" s="10">
        <v>0</v>
      </c>
      <c r="I30" s="10">
        <v>106.65203384785949</v>
      </c>
      <c r="J30" s="10">
        <v>212.47048852929899</v>
      </c>
      <c r="K30" s="10">
        <v>213.34055432589898</v>
      </c>
      <c r="L30" s="10">
        <v>213.34096129215868</v>
      </c>
      <c r="M30" s="10">
        <v>213.34062449249552</v>
      </c>
      <c r="N30" s="10">
        <v>213.42482440829548</v>
      </c>
      <c r="O30" s="10">
        <v>213.34020349291652</v>
      </c>
      <c r="P30" s="10">
        <v>491.82498787499998</v>
      </c>
      <c r="Q30" s="10">
        <v>319.88432525000002</v>
      </c>
      <c r="R30" s="10">
        <v>479.98436287499999</v>
      </c>
      <c r="S30" s="10">
        <v>626.54083050000008</v>
      </c>
      <c r="T30" s="10">
        <v>618.20503050000002</v>
      </c>
      <c r="U30" s="10">
        <v>618.28796750000015</v>
      </c>
      <c r="V30" s="10">
        <v>618.54898750000007</v>
      </c>
      <c r="W30" s="10">
        <v>618.5473035</v>
      </c>
      <c r="X30" s="10">
        <v>616.01961950000009</v>
      </c>
      <c r="Y30" s="10">
        <v>614.33561950000012</v>
      </c>
      <c r="Z30" s="10">
        <v>614.33393550000005</v>
      </c>
      <c r="AA30" s="10">
        <v>614.33393550000005</v>
      </c>
      <c r="AB30" s="10">
        <v>614.33309350000002</v>
      </c>
      <c r="AC30" s="10">
        <v>611.80709350000006</v>
      </c>
      <c r="AD30" s="10">
        <v>611.80583050000007</v>
      </c>
      <c r="AE30" s="10">
        <v>747.76254576537099</v>
      </c>
      <c r="AF30" s="10">
        <v>745.70586758375691</v>
      </c>
      <c r="AG30" s="10">
        <v>747.76254576537099</v>
      </c>
      <c r="AH30" s="10">
        <v>790.0590047417711</v>
      </c>
      <c r="AI30" s="10">
        <v>790.0590047417711</v>
      </c>
      <c r="AJ30" s="10">
        <v>594.85975313532833</v>
      </c>
      <c r="AK30" s="10">
        <v>469.65302287500003</v>
      </c>
      <c r="AL30" s="10">
        <v>316.97521525000002</v>
      </c>
      <c r="AM30" s="10">
        <v>317.01689425000001</v>
      </c>
      <c r="AN30" s="10">
        <v>313.10159425000006</v>
      </c>
      <c r="AO30" s="10">
        <v>313.10201525000002</v>
      </c>
      <c r="AP30" s="10">
        <v>313.10264675000002</v>
      </c>
      <c r="AQ30" s="10">
        <v>343.62897630773665</v>
      </c>
      <c r="AR30" s="10">
        <v>343.62966520687667</v>
      </c>
      <c r="AS30" s="10">
        <v>343.62897630773665</v>
      </c>
      <c r="AT30" s="10">
        <v>343.62989483992334</v>
      </c>
      <c r="AU30" s="10">
        <v>256.34462284994248</v>
      </c>
      <c r="AV30" s="10">
        <v>256.34513952429751</v>
      </c>
      <c r="AW30" s="10">
        <v>256.34548397386749</v>
      </c>
      <c r="AX30" s="10">
        <v>254.96768569386748</v>
      </c>
      <c r="AY30" s="10">
        <v>254.96768569386748</v>
      </c>
      <c r="AZ30" s="10">
        <v>254.96768569386748</v>
      </c>
      <c r="BA30" s="10">
        <v>252.2465340908675</v>
      </c>
      <c r="BB30" s="10">
        <v>252.2809790478675</v>
      </c>
      <c r="BC30" s="10">
        <f>+$D$19*'Proporción de vidrio'!$I13</f>
        <v>0</v>
      </c>
      <c r="BD30" s="10">
        <v>251.69593145322253</v>
      </c>
      <c r="BE30" s="10">
        <v>251.69593145322253</v>
      </c>
      <c r="BF30" s="10">
        <v>251.61016351029252</v>
      </c>
      <c r="BG30" s="10">
        <v>254.36576007029254</v>
      </c>
      <c r="BH30" s="10">
        <v>254.7270876692225</v>
      </c>
      <c r="BI30" s="10">
        <v>338.25854824534332</v>
      </c>
      <c r="BJ30" s="10">
        <v>338.21262163601006</v>
      </c>
      <c r="BK30" s="10">
        <v>507.353377411015</v>
      </c>
      <c r="BL30" s="10">
        <v>507.38782236801501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98"/>
      <c r="CX30" s="98"/>
    </row>
    <row r="31" spans="1:102" ht="14.45">
      <c r="A31" s="75">
        <f>+D31/($D$21+$D$19)</f>
        <v>0</v>
      </c>
      <c r="B31" s="1" t="s">
        <v>103</v>
      </c>
      <c r="C31" s="1" t="s">
        <v>129</v>
      </c>
      <c r="D31" s="10">
        <f>+$D$19*'Proporción de vidrio'!$I14</f>
        <v>0</v>
      </c>
      <c r="F31" s="10">
        <v>319.02116999999998</v>
      </c>
      <c r="G31" s="10">
        <v>214.08389924922</v>
      </c>
      <c r="H31" s="10">
        <v>213.93514606464001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198.28658437844277</v>
      </c>
      <c r="AK31" s="10">
        <v>156.55100762500001</v>
      </c>
      <c r="AL31" s="10">
        <v>316.97521525000002</v>
      </c>
      <c r="AM31" s="10">
        <v>317.01689425000001</v>
      </c>
      <c r="AN31" s="10">
        <v>313.10159425000006</v>
      </c>
      <c r="AO31" s="10">
        <v>313.10201525000002</v>
      </c>
      <c r="AP31" s="10">
        <v>313.10264675000002</v>
      </c>
      <c r="AQ31" s="10">
        <v>171.81448815386833</v>
      </c>
      <c r="AR31" s="10">
        <v>171.81483260343833</v>
      </c>
      <c r="AS31" s="10">
        <v>171.81448815386833</v>
      </c>
      <c r="AT31" s="10">
        <v>171.81494741996167</v>
      </c>
      <c r="AU31" s="10">
        <v>256.34462284994248</v>
      </c>
      <c r="AV31" s="10">
        <v>256.34513952429751</v>
      </c>
      <c r="AW31" s="10">
        <v>256.34548397386749</v>
      </c>
      <c r="AX31" s="10">
        <v>254.96768569386748</v>
      </c>
      <c r="AY31" s="10">
        <v>254.96768569386748</v>
      </c>
      <c r="AZ31" s="10">
        <v>254.96768569386748</v>
      </c>
      <c r="BA31" s="10">
        <v>252.2465340908675</v>
      </c>
      <c r="BB31" s="10">
        <v>252.2809790478675</v>
      </c>
      <c r="BC31" s="10">
        <f>+$D$19*'Proporción de vidrio'!$I14</f>
        <v>0</v>
      </c>
      <c r="BD31" s="10">
        <v>251.69593145322253</v>
      </c>
      <c r="BE31" s="10">
        <v>251.69593145322253</v>
      </c>
      <c r="BF31" s="10">
        <v>251.61016351029252</v>
      </c>
      <c r="BG31" s="10">
        <v>254.36576007029254</v>
      </c>
      <c r="BH31" s="10">
        <v>254.7270876692225</v>
      </c>
      <c r="BI31" s="10">
        <v>169.12927412267166</v>
      </c>
      <c r="BJ31" s="10">
        <v>169.10631081800503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98"/>
      <c r="CX31" s="98"/>
    </row>
    <row r="32" spans="1:102" ht="14.45">
      <c r="A32" s="75">
        <f>+D32/($D$21+$D$19)</f>
        <v>0</v>
      </c>
      <c r="B32" s="1" t="s">
        <v>103</v>
      </c>
      <c r="C32" s="1" t="s">
        <v>130</v>
      </c>
      <c r="D32" s="10">
        <f>+$D$19*'Proporción de vidrio'!$I15</f>
        <v>0</v>
      </c>
      <c r="F32" s="10">
        <v>319.02116999999998</v>
      </c>
      <c r="G32" s="10">
        <v>214.08389924922</v>
      </c>
      <c r="H32" s="10">
        <v>213.93514606464001</v>
      </c>
      <c r="I32" s="10">
        <v>319.95610154357848</v>
      </c>
      <c r="J32" s="10">
        <v>212.47048852929899</v>
      </c>
      <c r="K32" s="10">
        <v>213.34055432589898</v>
      </c>
      <c r="L32" s="10">
        <v>213.34096129215868</v>
      </c>
      <c r="M32" s="10">
        <v>213.34062449249552</v>
      </c>
      <c r="N32" s="10">
        <v>213.42482440829548</v>
      </c>
      <c r="O32" s="10">
        <v>213.34020349291652</v>
      </c>
      <c r="P32" s="10">
        <v>491.82498787499998</v>
      </c>
      <c r="Q32" s="10">
        <v>319.88432525000002</v>
      </c>
      <c r="R32" s="10">
        <v>159.99478762499999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f>+$D$19*'Proporción de vidrio'!$I15</f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98"/>
      <c r="CX32" s="98"/>
    </row>
    <row r="33" spans="1:102" ht="14.45">
      <c r="A33" s="75">
        <f t="shared" ref="A33:A39" si="3">+D33/($D$21+$D$19)</f>
        <v>0.19999999999999996</v>
      </c>
      <c r="B33" s="1" t="s">
        <v>103</v>
      </c>
      <c r="C33" s="1" t="s">
        <v>131</v>
      </c>
      <c r="D33" s="10">
        <f>+$D$19*'Proporción de vidrio'!$I16</f>
        <v>321.2440499999999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f>+$D$19*'Proporción de vidrio'!$I16</f>
        <v>321.2440499999999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257.613833403</v>
      </c>
      <c r="CA33" s="10">
        <v>257.56216596750005</v>
      </c>
      <c r="CB33" s="10">
        <v>258.25106510750004</v>
      </c>
      <c r="CC33" s="10">
        <v>258.21662015050003</v>
      </c>
      <c r="CD33" s="10">
        <v>315.60265000000004</v>
      </c>
      <c r="CE33" s="10">
        <v>316.44465000000002</v>
      </c>
      <c r="CF33" s="10">
        <v>386.76561301229998</v>
      </c>
      <c r="CG33" s="10">
        <v>386.68842969300005</v>
      </c>
      <c r="CH33" s="10">
        <v>477.16139999999996</v>
      </c>
      <c r="CI33" s="10">
        <v>478.55070000000006</v>
      </c>
      <c r="CJ33" s="10">
        <v>478.67700000000002</v>
      </c>
      <c r="CK33" s="10">
        <v>478.74014999999991</v>
      </c>
      <c r="CL33" s="10">
        <v>481.36087499999996</v>
      </c>
      <c r="CM33" s="10">
        <v>481.676625</v>
      </c>
      <c r="CN33" s="10">
        <v>481.80292500000002</v>
      </c>
      <c r="CO33" s="10">
        <v>481.92922500000003</v>
      </c>
      <c r="CP33" s="10">
        <v>321.28615000000002</v>
      </c>
      <c r="CQ33" s="10">
        <v>321.30719999999997</v>
      </c>
      <c r="CR33" s="10">
        <v>321.30720000000002</v>
      </c>
      <c r="CS33" s="10">
        <v>321.22300000000001</v>
      </c>
      <c r="CT33" s="10">
        <v>321.18089999999995</v>
      </c>
      <c r="CU33" s="10">
        <v>321.18089999999995</v>
      </c>
      <c r="CV33" s="10">
        <v>321.20194999999995</v>
      </c>
      <c r="CW33" s="98"/>
      <c r="CX33" s="98"/>
    </row>
    <row r="34" spans="1:102" ht="14.45">
      <c r="A34" s="75">
        <f t="shared" si="3"/>
        <v>0</v>
      </c>
      <c r="B34" s="1" t="s">
        <v>103</v>
      </c>
      <c r="C34" s="1" t="s">
        <v>132</v>
      </c>
      <c r="D34" s="10">
        <f>+$D$19*'Proporción de vidrio'!$I17</f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f>+$D$19*'Proporción de vidrio'!$I17</f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98"/>
      <c r="CX34" s="98"/>
    </row>
    <row r="35" spans="1:102" ht="14.45">
      <c r="A35" s="75">
        <f t="shared" si="3"/>
        <v>0.39999999999999991</v>
      </c>
      <c r="B35" s="1" t="s">
        <v>103</v>
      </c>
      <c r="C35" s="1" t="s">
        <v>133</v>
      </c>
      <c r="D35" s="10">
        <f>+$D$19*'Proporción de vidrio'!$I18</f>
        <v>642.4880999999998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f>+$D$19*'Proporción de vidrio'!$I18</f>
        <v>642.4880999999998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509.37202411599998</v>
      </c>
      <c r="BN35" s="10">
        <v>334.18946581019998</v>
      </c>
      <c r="BO35" s="10">
        <v>334.2348042264</v>
      </c>
      <c r="BP35" s="10">
        <v>334.91488046939992</v>
      </c>
      <c r="BQ35" s="10">
        <v>335.18691096659995</v>
      </c>
      <c r="BR35" s="10">
        <v>335.91232562580001</v>
      </c>
      <c r="BS35" s="10">
        <v>335.91232562580001</v>
      </c>
      <c r="BT35" s="10">
        <v>510.40537282599996</v>
      </c>
      <c r="BU35" s="10">
        <v>510.47426273999997</v>
      </c>
      <c r="BV35" s="10">
        <v>510.33648291199995</v>
      </c>
      <c r="BW35" s="10">
        <v>512.85096477299999</v>
      </c>
      <c r="BX35" s="10">
        <v>512.74762990199997</v>
      </c>
      <c r="BY35" s="10">
        <v>514.67654749399992</v>
      </c>
      <c r="BZ35" s="10">
        <v>257.613833403</v>
      </c>
      <c r="CA35" s="10">
        <v>257.56216596750005</v>
      </c>
      <c r="CB35" s="10">
        <v>258.25106510750004</v>
      </c>
      <c r="CC35" s="10">
        <v>258.21662015050003</v>
      </c>
      <c r="CD35" s="10">
        <v>315.60265000000004</v>
      </c>
      <c r="CE35" s="10">
        <v>316.44465000000002</v>
      </c>
      <c r="CF35" s="10">
        <v>386.76561301229998</v>
      </c>
      <c r="CG35" s="10">
        <v>386.68842969300005</v>
      </c>
      <c r="CH35" s="10">
        <v>477.16139999999996</v>
      </c>
      <c r="CI35" s="10">
        <v>478.55070000000006</v>
      </c>
      <c r="CJ35" s="10">
        <v>478.67700000000002</v>
      </c>
      <c r="CK35" s="10">
        <v>478.74014999999991</v>
      </c>
      <c r="CL35" s="10">
        <v>481.36087499999996</v>
      </c>
      <c r="CM35" s="10">
        <v>481.676625</v>
      </c>
      <c r="CN35" s="10">
        <v>481.80292500000002</v>
      </c>
      <c r="CO35" s="10">
        <v>481.92922500000003</v>
      </c>
      <c r="CP35" s="10">
        <v>642.57230000000004</v>
      </c>
      <c r="CQ35" s="10">
        <v>642.61439999999993</v>
      </c>
      <c r="CR35" s="10">
        <v>642.61440000000005</v>
      </c>
      <c r="CS35" s="10">
        <v>642.44600000000003</v>
      </c>
      <c r="CT35" s="10">
        <v>642.3617999999999</v>
      </c>
      <c r="CU35" s="10">
        <v>642.3617999999999</v>
      </c>
      <c r="CV35" s="10">
        <v>642.40389999999991</v>
      </c>
      <c r="CW35" s="98"/>
      <c r="CX35" s="98"/>
    </row>
    <row r="36" spans="1:102" ht="14.45">
      <c r="A36" s="75">
        <f t="shared" si="3"/>
        <v>0</v>
      </c>
      <c r="B36" s="1" t="s">
        <v>103</v>
      </c>
      <c r="C36" s="1" t="s">
        <v>134</v>
      </c>
      <c r="D36" s="10">
        <f>+$D$19*'Proporción de vidrio'!$I19</f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f>+$D$19*'Proporción de vidrio'!$I19</f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98"/>
      <c r="CX36" s="98"/>
    </row>
    <row r="37" spans="1:102" ht="14.45">
      <c r="A37" s="75">
        <f t="shared" si="3"/>
        <v>0</v>
      </c>
      <c r="B37" s="1" t="s">
        <v>103</v>
      </c>
      <c r="C37" s="1" t="s">
        <v>135</v>
      </c>
      <c r="D37" s="10">
        <f>+$D$19*'Proporción de vidrio'!$I20</f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f>+$D$19*'Proporción de vidrio'!$I20</f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98"/>
      <c r="CX37" s="98"/>
    </row>
    <row r="38" spans="1:102" ht="14.45">
      <c r="A38" s="75">
        <f t="shared" si="3"/>
        <v>0</v>
      </c>
      <c r="B38" s="1" t="s">
        <v>103</v>
      </c>
      <c r="C38" s="1" t="s">
        <v>136</v>
      </c>
      <c r="D38" s="10">
        <f>+$D$19*'Proporción de vidrio'!$I21</f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f>+$D$19*'Proporción de vidrio'!$I21</f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98"/>
      <c r="CX38" s="98"/>
    </row>
    <row r="39" spans="1:102" ht="14.45">
      <c r="A39" s="75">
        <f t="shared" si="3"/>
        <v>0</v>
      </c>
      <c r="B39" s="1" t="s">
        <v>103</v>
      </c>
      <c r="C39" s="1" t="s">
        <v>137</v>
      </c>
      <c r="D39" s="10">
        <f>+$D$19*'Proporción de vidrio'!$I22</f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f>+$D$19*'Proporción de vidrio'!$I22</f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98"/>
      <c r="CX39" s="98"/>
    </row>
    <row r="40" spans="1:102" ht="14.45">
      <c r="A40" s="75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CW40" s="98"/>
      <c r="CX40" s="98"/>
    </row>
    <row r="41" spans="1:102" ht="14.45">
      <c r="B41" s="1" t="s">
        <v>138</v>
      </c>
      <c r="C41" s="1" t="s">
        <v>139</v>
      </c>
      <c r="D41" s="1">
        <f>+D12*1</f>
        <v>2</v>
      </c>
      <c r="M41">
        <v>2</v>
      </c>
      <c r="N41">
        <v>2.2999999999999998</v>
      </c>
      <c r="O41">
        <v>2</v>
      </c>
      <c r="P41">
        <v>1.8</v>
      </c>
      <c r="Q41">
        <v>1.8</v>
      </c>
      <c r="R41">
        <v>2</v>
      </c>
      <c r="S41">
        <v>2</v>
      </c>
      <c r="T41" s="1">
        <v>2.1</v>
      </c>
      <c r="U41" s="1">
        <v>2.2000000000000002</v>
      </c>
      <c r="V41" s="1">
        <v>2.6</v>
      </c>
      <c r="W41" s="1">
        <v>2.6</v>
      </c>
      <c r="X41" s="1">
        <v>2.6</v>
      </c>
      <c r="Y41" s="1">
        <v>2.6</v>
      </c>
      <c r="Z41" s="1">
        <v>2.6</v>
      </c>
      <c r="AA41" s="1">
        <v>2.6</v>
      </c>
      <c r="AB41" s="1">
        <v>2.6</v>
      </c>
      <c r="AC41" s="1">
        <v>2.6</v>
      </c>
      <c r="AD41" s="1">
        <v>2.6</v>
      </c>
      <c r="AE41" s="1">
        <v>2.6</v>
      </c>
      <c r="AF41" s="1">
        <v>2.6</v>
      </c>
      <c r="AG41" s="1">
        <v>2.6</v>
      </c>
      <c r="AH41" s="1">
        <v>2.7</v>
      </c>
      <c r="AI41" s="1">
        <v>2.7</v>
      </c>
      <c r="AJ41" s="1">
        <v>2.7</v>
      </c>
      <c r="AK41" s="1">
        <v>2.7</v>
      </c>
      <c r="AL41" s="1">
        <v>2.9000000000000004</v>
      </c>
      <c r="AM41" s="1">
        <v>3</v>
      </c>
      <c r="AN41" s="1">
        <v>3.2</v>
      </c>
      <c r="AO41" s="1">
        <v>3.2</v>
      </c>
      <c r="AP41" s="1">
        <v>3.2</v>
      </c>
      <c r="AQ41" s="1">
        <v>3.2</v>
      </c>
      <c r="AR41" s="1">
        <v>3.2</v>
      </c>
      <c r="AS41" s="1">
        <v>3.2</v>
      </c>
      <c r="AT41" s="1">
        <v>3.2</v>
      </c>
      <c r="AU41" s="1">
        <v>3.2</v>
      </c>
      <c r="AV41" s="1">
        <v>3.2</v>
      </c>
      <c r="AW41" s="1">
        <v>3.2</v>
      </c>
      <c r="AX41" s="1">
        <v>3.2</v>
      </c>
      <c r="AY41" s="1">
        <v>3.2</v>
      </c>
      <c r="AZ41" s="1">
        <v>3.2</v>
      </c>
      <c r="BA41" s="1">
        <v>3.2</v>
      </c>
      <c r="BB41" s="1">
        <v>3.2</v>
      </c>
      <c r="BC41" s="1">
        <v>3.5</v>
      </c>
      <c r="BD41" s="1">
        <v>3.5</v>
      </c>
      <c r="BE41" s="1">
        <v>3.5</v>
      </c>
      <c r="BF41" s="1">
        <v>3.2</v>
      </c>
      <c r="BG41" s="1">
        <v>3.2</v>
      </c>
      <c r="BH41" s="1">
        <v>3.2</v>
      </c>
      <c r="BI41" s="1">
        <v>3.2</v>
      </c>
      <c r="BJ41" s="1">
        <v>3.2</v>
      </c>
      <c r="BK41" s="1">
        <v>3.2</v>
      </c>
      <c r="BL41" s="1">
        <v>3.2</v>
      </c>
      <c r="BM41" s="1">
        <v>0</v>
      </c>
      <c r="BN41" s="1">
        <v>0</v>
      </c>
      <c r="BO41" s="1">
        <v>0</v>
      </c>
      <c r="BP41" s="1">
        <v>1.3</v>
      </c>
      <c r="BQ41" s="1">
        <v>1.4</v>
      </c>
      <c r="BR41" s="1">
        <v>1.9</v>
      </c>
      <c r="BS41" s="1">
        <v>1.9</v>
      </c>
      <c r="BT41" s="1">
        <v>1.9</v>
      </c>
      <c r="BU41" s="1">
        <v>1.9</v>
      </c>
      <c r="BV41" s="1">
        <v>1.9</v>
      </c>
      <c r="BW41" s="1">
        <v>1.7</v>
      </c>
      <c r="BX41" s="1">
        <v>1.7</v>
      </c>
      <c r="BY41" s="1">
        <v>1.5</v>
      </c>
      <c r="BZ41" s="1">
        <v>1.3</v>
      </c>
      <c r="CA41" s="1">
        <v>1.2</v>
      </c>
      <c r="CB41" s="1">
        <v>1.2</v>
      </c>
      <c r="CC41" s="1">
        <v>1.1000000000000001</v>
      </c>
      <c r="CD41" s="1">
        <v>1.1000000000000001</v>
      </c>
      <c r="CE41" s="1">
        <v>1.1000000000000001</v>
      </c>
      <c r="CF41" s="1">
        <v>1.1000000000000001</v>
      </c>
      <c r="CG41" s="1">
        <v>1.1000000000000001</v>
      </c>
      <c r="CH41" s="1">
        <v>1.1000000000000001</v>
      </c>
      <c r="CI41" s="1">
        <v>1.1000000000000001</v>
      </c>
      <c r="CJ41" s="1">
        <v>1.3</v>
      </c>
      <c r="CK41" s="1">
        <v>1.3</v>
      </c>
      <c r="CL41" s="1">
        <v>1.3</v>
      </c>
      <c r="CM41" s="1">
        <v>1.5</v>
      </c>
      <c r="CN41" s="1">
        <v>1.5</v>
      </c>
      <c r="CO41" s="1">
        <v>1.6</v>
      </c>
      <c r="CP41" s="1">
        <v>1.6</v>
      </c>
      <c r="CQ41" s="1">
        <v>1.8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</row>
    <row r="42" spans="1:102" ht="14.45">
      <c r="B42" s="1" t="s">
        <v>138</v>
      </c>
      <c r="C42" s="1" t="s">
        <v>140</v>
      </c>
      <c r="D42" s="1">
        <f>+D13*-23.7</f>
        <v>-39.105000000000004</v>
      </c>
      <c r="M42">
        <v>-2.37</v>
      </c>
      <c r="N42">
        <v>-2.37</v>
      </c>
      <c r="O42">
        <v>-2.37</v>
      </c>
      <c r="P42">
        <v>0</v>
      </c>
      <c r="Q42">
        <v>0</v>
      </c>
      <c r="R42">
        <v>-1.1850000000000001</v>
      </c>
      <c r="S42">
        <v>-2.133</v>
      </c>
      <c r="T42" s="1">
        <v>-2.133</v>
      </c>
      <c r="U42" s="1">
        <v>-2.133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-2.37</v>
      </c>
      <c r="BB42" s="1">
        <v>-4.74</v>
      </c>
      <c r="BC42" s="1">
        <v>-4.74</v>
      </c>
      <c r="BD42" s="1">
        <v>-4.74</v>
      </c>
      <c r="BE42" s="1">
        <v>-4.74</v>
      </c>
      <c r="BF42" s="1">
        <v>-5.9249999999999998</v>
      </c>
      <c r="BG42" s="1">
        <v>-5.9249999999999998</v>
      </c>
      <c r="BH42" s="1">
        <v>-7.1099999999999994</v>
      </c>
      <c r="BI42" s="1">
        <v>-7.1099999999999994</v>
      </c>
      <c r="BJ42" s="1">
        <v>-4.74</v>
      </c>
      <c r="BK42" s="1">
        <v>-5.9249999999999998</v>
      </c>
      <c r="BL42" s="1">
        <v>-7.1099999999999994</v>
      </c>
      <c r="BM42" s="1">
        <v>-7.1099999999999994</v>
      </c>
      <c r="BN42" s="1">
        <v>0</v>
      </c>
      <c r="BO42" s="1">
        <v>-2.37</v>
      </c>
      <c r="BP42" s="1">
        <v>-14.219999999999999</v>
      </c>
      <c r="BQ42" s="1">
        <v>-18.96</v>
      </c>
      <c r="BR42" s="1">
        <v>-23.7</v>
      </c>
      <c r="BS42" s="1">
        <v>-23.7</v>
      </c>
      <c r="BT42" s="1">
        <v>-23.7</v>
      </c>
      <c r="BU42" s="1">
        <v>-26.07</v>
      </c>
      <c r="BV42" s="1">
        <v>-26.07</v>
      </c>
      <c r="BW42" s="1">
        <v>-24.885000000000002</v>
      </c>
      <c r="BX42" s="1">
        <v>-24.885000000000002</v>
      </c>
      <c r="BY42" s="1">
        <v>-24.885000000000002</v>
      </c>
      <c r="BZ42" s="1">
        <v>-27.255000000000003</v>
      </c>
      <c r="CA42" s="1">
        <v>-28.439999999999998</v>
      </c>
      <c r="CB42" s="1">
        <v>-28.439999999999998</v>
      </c>
      <c r="CC42" s="1">
        <v>-28.439999999999998</v>
      </c>
      <c r="CD42" s="1">
        <v>-28.439999999999998</v>
      </c>
      <c r="CE42" s="1">
        <v>-28.439999999999998</v>
      </c>
      <c r="CF42" s="1">
        <v>-28.439999999999998</v>
      </c>
      <c r="CG42" s="1">
        <v>-28.439999999999998</v>
      </c>
      <c r="CH42" s="1">
        <v>-30.81</v>
      </c>
      <c r="CI42" s="1">
        <v>-35.549999999999997</v>
      </c>
      <c r="CJ42" s="1">
        <v>-35.549999999999997</v>
      </c>
      <c r="CK42" s="1">
        <v>-35.549999999999997</v>
      </c>
      <c r="CL42" s="1">
        <v>-39.104999999999997</v>
      </c>
      <c r="CM42" s="1">
        <v>-43.844999999999999</v>
      </c>
      <c r="CN42" s="1">
        <v>-43.844999999999999</v>
      </c>
      <c r="CO42" s="1">
        <v>-46.214999999999996</v>
      </c>
      <c r="CP42" s="1">
        <v>-46.214999999999996</v>
      </c>
      <c r="CQ42" s="1">
        <v>-42.66</v>
      </c>
      <c r="CR42" s="1">
        <v>-37.92</v>
      </c>
      <c r="CS42" s="1">
        <v>-37.92</v>
      </c>
      <c r="CT42" s="1">
        <v>-35.549999999999997</v>
      </c>
      <c r="CU42" s="1">
        <v>-35.549999999999997</v>
      </c>
      <c r="CV42" s="1">
        <v>-36.734999999999999</v>
      </c>
    </row>
    <row r="43" spans="1:102" ht="14.45">
      <c r="B43" s="1" t="s">
        <v>138</v>
      </c>
      <c r="C43" s="1" t="s">
        <v>141</v>
      </c>
      <c r="D43" s="7">
        <f>+D42+D41</f>
        <v>-37.105000000000004</v>
      </c>
      <c r="M43">
        <v>-0.37000000000000011</v>
      </c>
      <c r="N43">
        <v>-7.0000000000000284E-2</v>
      </c>
      <c r="O43">
        <v>-0.37000000000000011</v>
      </c>
      <c r="P43">
        <v>1.8</v>
      </c>
      <c r="Q43">
        <v>1.8</v>
      </c>
      <c r="R43">
        <v>0.81499999999999995</v>
      </c>
      <c r="S43">
        <v>-0.13300000000000001</v>
      </c>
      <c r="T43" s="7">
        <v>-3.2999999999999918E-2</v>
      </c>
      <c r="U43" s="7">
        <v>6.7000000000000171E-2</v>
      </c>
      <c r="V43" s="7">
        <v>2.6</v>
      </c>
      <c r="W43" s="7">
        <v>2.6</v>
      </c>
      <c r="X43" s="7">
        <v>2.6</v>
      </c>
      <c r="Y43" s="7">
        <v>2.6</v>
      </c>
      <c r="Z43" s="7">
        <v>2.6</v>
      </c>
      <c r="AA43" s="7">
        <v>2.6</v>
      </c>
      <c r="AB43" s="7">
        <v>2.6</v>
      </c>
      <c r="AC43" s="7">
        <v>2.6</v>
      </c>
      <c r="AD43" s="7">
        <v>2.6</v>
      </c>
      <c r="AE43" s="7">
        <v>2.6</v>
      </c>
      <c r="AF43" s="7">
        <v>2.6</v>
      </c>
      <c r="AG43" s="7">
        <v>2.6</v>
      </c>
      <c r="AH43" s="7">
        <v>2.7</v>
      </c>
      <c r="AI43" s="7">
        <v>2.7</v>
      </c>
      <c r="AJ43" s="7">
        <v>2.7</v>
      </c>
      <c r="AK43" s="7">
        <v>2.7</v>
      </c>
      <c r="AL43" s="7">
        <v>2.9000000000000004</v>
      </c>
      <c r="AM43" s="7">
        <v>3</v>
      </c>
      <c r="AN43" s="7">
        <v>3.2</v>
      </c>
      <c r="AO43" s="7">
        <v>3.2</v>
      </c>
      <c r="AP43" s="7">
        <v>3.2</v>
      </c>
      <c r="AQ43" s="7">
        <v>3.2</v>
      </c>
      <c r="AR43" s="7">
        <v>3.2</v>
      </c>
      <c r="AS43" s="7">
        <v>3.2</v>
      </c>
      <c r="AT43" s="7">
        <v>3.2</v>
      </c>
      <c r="AU43" s="7">
        <v>3.2</v>
      </c>
      <c r="AV43" s="7">
        <v>3.2</v>
      </c>
      <c r="AW43" s="7">
        <v>3.2</v>
      </c>
      <c r="AX43" s="7">
        <v>3.2</v>
      </c>
      <c r="AY43" s="7">
        <v>3.2</v>
      </c>
      <c r="AZ43" s="7">
        <v>3.2</v>
      </c>
      <c r="BA43" s="7">
        <v>0.83000000000000007</v>
      </c>
      <c r="BB43" s="7">
        <v>-1.54</v>
      </c>
      <c r="BC43" s="7">
        <v>-1.2400000000000002</v>
      </c>
      <c r="BD43" s="7">
        <v>-1.2400000000000002</v>
      </c>
      <c r="BE43" s="7">
        <v>-1.2400000000000002</v>
      </c>
      <c r="BF43" s="7">
        <v>-2.7249999999999996</v>
      </c>
      <c r="BG43" s="7">
        <v>-2.7249999999999996</v>
      </c>
      <c r="BH43" s="7">
        <v>-3.9099999999999993</v>
      </c>
      <c r="BI43" s="7">
        <v>-3.9099999999999993</v>
      </c>
      <c r="BJ43" s="7">
        <v>-1.54</v>
      </c>
      <c r="BK43" s="7">
        <v>-2.7249999999999996</v>
      </c>
      <c r="BL43" s="7">
        <v>-3.9099999999999993</v>
      </c>
      <c r="BM43" s="7">
        <v>-7.1099999999999994</v>
      </c>
      <c r="BN43" s="7">
        <v>0</v>
      </c>
      <c r="BO43" s="7">
        <v>-2.37</v>
      </c>
      <c r="BP43" s="7">
        <v>-12.919999999999998</v>
      </c>
      <c r="BQ43" s="7">
        <v>-17.560000000000002</v>
      </c>
      <c r="BR43" s="7">
        <v>-21.8</v>
      </c>
      <c r="BS43" s="7">
        <v>-21.8</v>
      </c>
      <c r="BT43" s="7">
        <v>-21.8</v>
      </c>
      <c r="BU43" s="7">
        <v>-24.17</v>
      </c>
      <c r="BV43" s="7">
        <v>-24.17</v>
      </c>
      <c r="BW43" s="7">
        <v>-23.185000000000002</v>
      </c>
      <c r="BX43" s="7">
        <v>-23.185000000000002</v>
      </c>
      <c r="BY43" s="7">
        <v>-23.385000000000002</v>
      </c>
      <c r="BZ43" s="7">
        <v>-25.955000000000002</v>
      </c>
      <c r="CA43" s="7">
        <v>-27.24</v>
      </c>
      <c r="CB43" s="7">
        <v>-27.24</v>
      </c>
      <c r="CC43" s="7">
        <v>-27.339999999999996</v>
      </c>
      <c r="CD43" s="7">
        <v>-27.339999999999996</v>
      </c>
      <c r="CE43" s="7">
        <v>-27.339999999999996</v>
      </c>
      <c r="CF43" s="7">
        <v>-27.339999999999996</v>
      </c>
      <c r="CG43" s="7">
        <v>-27.339999999999996</v>
      </c>
      <c r="CH43" s="7">
        <v>-29.709999999999997</v>
      </c>
      <c r="CI43" s="7">
        <v>-34.449999999999996</v>
      </c>
      <c r="CJ43" s="7">
        <v>-34.25</v>
      </c>
      <c r="CK43" s="7">
        <v>-34.25</v>
      </c>
      <c r="CL43" s="7">
        <v>-37.805</v>
      </c>
      <c r="CM43" s="7">
        <v>-42.344999999999999</v>
      </c>
      <c r="CN43" s="7">
        <v>-42.344999999999999</v>
      </c>
      <c r="CO43" s="7">
        <v>-44.614999999999995</v>
      </c>
      <c r="CP43" s="7">
        <v>-44.614999999999995</v>
      </c>
      <c r="CQ43" s="7">
        <v>-40.86</v>
      </c>
      <c r="CR43" s="7">
        <v>-35.92</v>
      </c>
      <c r="CS43" s="7">
        <v>-35.92</v>
      </c>
      <c r="CT43" s="7">
        <v>-33.549999999999997</v>
      </c>
      <c r="CU43" s="7">
        <v>-33.549999999999997</v>
      </c>
      <c r="CV43" s="7">
        <v>-34.734999999999999</v>
      </c>
    </row>
    <row r="44" spans="1:102" ht="14.45">
      <c r="B44" s="1" t="s">
        <v>138</v>
      </c>
      <c r="C44" s="2" t="s">
        <v>142</v>
      </c>
      <c r="D44" s="37">
        <f>+D12/D18</f>
        <v>2.6210602188585282E-3</v>
      </c>
      <c r="F44" s="37">
        <v>7.2581390131570269E-3</v>
      </c>
      <c r="G44" s="37">
        <v>7.2105615060896475E-3</v>
      </c>
      <c r="H44" s="37">
        <v>6.559613769941226E-3</v>
      </c>
      <c r="I44" s="37">
        <v>3.7500419412585537E-3</v>
      </c>
      <c r="J44" s="37">
        <v>0</v>
      </c>
      <c r="K44" s="37">
        <v>2.6311583082441426E-3</v>
      </c>
      <c r="L44" s="37">
        <v>2.6311532890830359E-3</v>
      </c>
      <c r="M44" s="37">
        <v>2.6311574428701718E-3</v>
      </c>
      <c r="N44" s="37">
        <v>3.024637314753293E-3</v>
      </c>
      <c r="O44" s="37">
        <v>2.6311626351225347E-3</v>
      </c>
      <c r="P44" s="37">
        <v>2.3111879795113185E-3</v>
      </c>
      <c r="Q44" s="37">
        <v>2.3689813478911625E-3</v>
      </c>
      <c r="R44" s="37">
        <v>2.6313357219283351E-3</v>
      </c>
      <c r="S44" s="37">
        <v>2.6877737539564867E-3</v>
      </c>
      <c r="T44" s="37">
        <v>2.8602161301888658E-3</v>
      </c>
      <c r="U44" s="37">
        <v>2.9960149596474231E-3</v>
      </c>
      <c r="V44" s="37">
        <v>3.5392508018615093E-3</v>
      </c>
      <c r="W44" s="37">
        <v>3.5392604375002338E-3</v>
      </c>
      <c r="X44" s="37">
        <v>3.5537829164871263E-3</v>
      </c>
      <c r="Y44" s="37">
        <v>3.5635244490328627E-3</v>
      </c>
      <c r="Z44" s="37">
        <v>3.5635342172954079E-3</v>
      </c>
      <c r="AA44" s="37">
        <v>3.5635342172954079E-3</v>
      </c>
      <c r="AB44" s="37">
        <v>3.5635391014467626E-3</v>
      </c>
      <c r="AC44" s="37">
        <v>3.5782520720315904E-3</v>
      </c>
      <c r="AD44" s="37">
        <v>3.5782594589052383E-3</v>
      </c>
      <c r="AE44" s="37">
        <v>3.5782594589052383E-3</v>
      </c>
      <c r="AF44" s="37">
        <v>3.5881284011748359E-3</v>
      </c>
      <c r="AG44" s="37">
        <v>3.5782594589052383E-3</v>
      </c>
      <c r="AH44" s="37">
        <v>3.5169518708392912E-3</v>
      </c>
      <c r="AI44" s="37">
        <v>3.5169518708392912E-3</v>
      </c>
      <c r="AJ44" s="37">
        <v>3.5032620884437437E-3</v>
      </c>
      <c r="AK44" s="37">
        <v>3.6304461314066866E-3</v>
      </c>
      <c r="AL44" s="37">
        <v>3.8517207064188599E-3</v>
      </c>
      <c r="AM44" s="37">
        <v>3.9840148045990134E-3</v>
      </c>
      <c r="AN44" s="37">
        <v>4.3027567560844507E-3</v>
      </c>
      <c r="AO44" s="37">
        <v>4.3027509705560732E-3</v>
      </c>
      <c r="AP44" s="37">
        <v>4.3027422922926788E-3</v>
      </c>
      <c r="AQ44" s="37">
        <v>4.2768555622344296E-3</v>
      </c>
      <c r="AR44" s="37">
        <v>4.2768469881140402E-3</v>
      </c>
      <c r="AS44" s="37">
        <v>4.2768555622344296E-3</v>
      </c>
      <c r="AT44" s="37">
        <v>4.2768441300815507E-3</v>
      </c>
      <c r="AU44" s="37">
        <v>4.2998312652152721E-3</v>
      </c>
      <c r="AV44" s="37">
        <v>4.2998225987254382E-3</v>
      </c>
      <c r="AW44" s="37">
        <v>4.2998168210849584E-3</v>
      </c>
      <c r="AX44" s="37">
        <v>4.323052236993777E-3</v>
      </c>
      <c r="AY44" s="37">
        <v>4.323052236993777E-3</v>
      </c>
      <c r="AZ44" s="37">
        <v>4.323052236993777E-3</v>
      </c>
      <c r="BA44" s="37">
        <v>4.3696878848013716E-3</v>
      </c>
      <c r="BB44" s="37">
        <v>4.3690912733887182E-3</v>
      </c>
      <c r="BC44" s="37">
        <v>4.7898012814086939E-3</v>
      </c>
      <c r="BD44" s="37">
        <v>4.7898012814086939E-3</v>
      </c>
      <c r="BE44" s="37">
        <v>4.7898012814086939E-3</v>
      </c>
      <c r="BF44" s="37">
        <v>4.3807396673581156E-3</v>
      </c>
      <c r="BG44" s="37">
        <v>4.3332822141447132E-3</v>
      </c>
      <c r="BH44" s="37">
        <v>4.3271355005295668E-3</v>
      </c>
      <c r="BI44" s="37">
        <v>4.344757896852053E-3</v>
      </c>
      <c r="BJ44" s="37">
        <v>4.345347880743285E-3</v>
      </c>
      <c r="BK44" s="37">
        <v>4.3450528687702375E-3</v>
      </c>
      <c r="BL44" s="37">
        <v>4.344757896852053E-3</v>
      </c>
      <c r="BM44" s="37">
        <v>0</v>
      </c>
      <c r="BN44" s="37">
        <v>0</v>
      </c>
      <c r="BO44" s="37">
        <v>0</v>
      </c>
      <c r="BP44" s="37">
        <v>1.759848382293218E-3</v>
      </c>
      <c r="BQ44" s="37">
        <v>1.8936832138509402E-3</v>
      </c>
      <c r="BR44" s="37">
        <v>2.5644486435416384E-3</v>
      </c>
      <c r="BS44" s="37">
        <v>2.5644486435416384E-3</v>
      </c>
      <c r="BT44" s="37">
        <v>2.5644486435416384E-3</v>
      </c>
      <c r="BU44" s="37">
        <v>2.5641025641025641E-3</v>
      </c>
      <c r="BV44" s="37">
        <v>2.5647948164146867E-3</v>
      </c>
      <c r="BW44" s="37">
        <v>2.2835650480220295E-3</v>
      </c>
      <c r="BX44" s="37">
        <v>2.2840252586322721E-3</v>
      </c>
      <c r="BY44" s="37">
        <v>2.0077633516262885E-3</v>
      </c>
      <c r="BZ44" s="37">
        <v>1.7382002941569729E-3</v>
      </c>
      <c r="CA44" s="37">
        <v>1.6048144433299897E-3</v>
      </c>
      <c r="CB44" s="37">
        <v>1.6005335111703898E-3</v>
      </c>
      <c r="CC44" s="37">
        <v>1.4673514306676448E-3</v>
      </c>
      <c r="CD44" s="37">
        <v>1.4673514306676448E-3</v>
      </c>
      <c r="CE44" s="37">
        <v>1.4634470830838821E-3</v>
      </c>
      <c r="CF44" s="37">
        <v>1.4634470830838821E-3</v>
      </c>
      <c r="CG44" s="37">
        <v>1.4637391882900864E-3</v>
      </c>
      <c r="CH44" s="37">
        <v>1.4557967178401271E-3</v>
      </c>
      <c r="CI44" s="37">
        <v>1.4515703351807865E-3</v>
      </c>
      <c r="CJ44" s="37">
        <v>1.7150395778364118E-3</v>
      </c>
      <c r="CK44" s="37">
        <v>1.7148133491623799E-3</v>
      </c>
      <c r="CL44" s="37">
        <v>1.7054772056411941E-3</v>
      </c>
      <c r="CM44" s="37">
        <v>1.9665683382497543E-3</v>
      </c>
      <c r="CN44" s="37">
        <v>1.9660528212857983E-3</v>
      </c>
      <c r="CO44" s="37">
        <v>2.0965734128284086E-3</v>
      </c>
      <c r="CP44" s="37">
        <v>2.0965734128284086E-3</v>
      </c>
      <c r="CQ44" s="37">
        <v>2.3584905660377362E-3</v>
      </c>
      <c r="CR44" s="37">
        <v>2.6205450733752618E-3</v>
      </c>
      <c r="CS44" s="37">
        <v>2.6212319790301442E-3</v>
      </c>
      <c r="CT44" s="37">
        <v>2.6215755669157163E-3</v>
      </c>
      <c r="CU44" s="37">
        <v>2.6215755669157163E-3</v>
      </c>
      <c r="CV44" s="37">
        <v>2.6214037617143982E-3</v>
      </c>
      <c r="CW44" s="111"/>
      <c r="CX44" s="111"/>
    </row>
    <row r="45" spans="1:102" ht="14.45">
      <c r="B45" s="1" t="s">
        <v>138</v>
      </c>
      <c r="C45" s="2" t="s">
        <v>143</v>
      </c>
      <c r="D45" s="38">
        <f>+D12/D8</f>
        <v>4.3478260869565218E-3</v>
      </c>
      <c r="F45" s="38">
        <v>1.1956521739130435E-2</v>
      </c>
      <c r="G45" s="38">
        <v>1.1702127659574468E-2</v>
      </c>
      <c r="H45" s="38">
        <v>1.0638297872340425E-2</v>
      </c>
      <c r="I45" s="38">
        <v>6.0638297872340425E-3</v>
      </c>
      <c r="J45" s="38">
        <v>0</v>
      </c>
      <c r="K45" s="38">
        <v>4.2553191489361703E-3</v>
      </c>
      <c r="L45" s="38">
        <v>4.2553191489361703E-3</v>
      </c>
      <c r="M45" s="38">
        <v>4.2553191489361703E-3</v>
      </c>
      <c r="N45" s="38">
        <v>4.8936170212765953E-3</v>
      </c>
      <c r="O45" s="38">
        <v>4.2553191489361703E-3</v>
      </c>
      <c r="P45" s="38">
        <v>3.8297872340425534E-3</v>
      </c>
      <c r="Q45" s="38">
        <v>3.8297872340425534E-3</v>
      </c>
      <c r="R45" s="38">
        <v>4.2553191489361703E-3</v>
      </c>
      <c r="S45" s="38">
        <v>4.2553191489361703E-3</v>
      </c>
      <c r="T45" s="38">
        <v>4.4680851063829789E-3</v>
      </c>
      <c r="U45" s="38">
        <v>4.6808510638297876E-3</v>
      </c>
      <c r="V45" s="38">
        <v>5.5319148936170213E-3</v>
      </c>
      <c r="W45" s="38">
        <v>5.5319148936170213E-3</v>
      </c>
      <c r="X45" s="38">
        <v>5.5319148936170213E-3</v>
      </c>
      <c r="Y45" s="38">
        <v>5.5913978494623656E-3</v>
      </c>
      <c r="Z45" s="38">
        <v>5.5913978494623656E-3</v>
      </c>
      <c r="AA45" s="38">
        <v>5.6521739130434784E-3</v>
      </c>
      <c r="AB45" s="38">
        <v>5.6521739130434784E-3</v>
      </c>
      <c r="AC45" s="38">
        <v>5.6521739130434784E-3</v>
      </c>
      <c r="AD45" s="38">
        <v>5.6521739130434784E-3</v>
      </c>
      <c r="AE45" s="38">
        <v>5.6521739130434784E-3</v>
      </c>
      <c r="AF45" s="38">
        <v>5.6521739130434784E-3</v>
      </c>
      <c r="AG45" s="38">
        <v>5.6521739130434784E-3</v>
      </c>
      <c r="AH45" s="38">
        <v>5.8695652173913048E-3</v>
      </c>
      <c r="AI45" s="38">
        <v>5.8695652173913048E-3</v>
      </c>
      <c r="AJ45" s="38">
        <v>5.8695652173913048E-3</v>
      </c>
      <c r="AK45" s="38">
        <v>6.2790697674418609E-3</v>
      </c>
      <c r="AL45" s="38">
        <v>6.7441860465116289E-3</v>
      </c>
      <c r="AM45" s="38">
        <v>6.9767441860465115E-3</v>
      </c>
      <c r="AN45" s="38">
        <v>6.956521739130435E-3</v>
      </c>
      <c r="AO45" s="38">
        <v>6.956521739130435E-3</v>
      </c>
      <c r="AP45" s="38">
        <v>6.956521739130435E-3</v>
      </c>
      <c r="AQ45" s="38">
        <v>6.956521739130435E-3</v>
      </c>
      <c r="AR45" s="38">
        <v>6.956521739130435E-3</v>
      </c>
      <c r="AS45" s="38">
        <v>6.956521739130435E-3</v>
      </c>
      <c r="AT45" s="38">
        <v>6.956521739130435E-3</v>
      </c>
      <c r="AU45" s="38">
        <v>6.956521739130435E-3</v>
      </c>
      <c r="AV45" s="38">
        <v>6.956521739130435E-3</v>
      </c>
      <c r="AW45" s="38">
        <v>6.956521739130435E-3</v>
      </c>
      <c r="AX45" s="38">
        <v>6.956521739130435E-3</v>
      </c>
      <c r="AY45" s="38">
        <v>6.956521739130435E-3</v>
      </c>
      <c r="AZ45" s="38">
        <v>6.956521739130435E-3</v>
      </c>
      <c r="BA45" s="38">
        <v>6.956521739130435E-3</v>
      </c>
      <c r="BB45" s="38">
        <v>6.956521739130435E-3</v>
      </c>
      <c r="BC45" s="38">
        <v>7.6086956521739134E-3</v>
      </c>
      <c r="BD45" s="38">
        <v>7.6086956521739134E-3</v>
      </c>
      <c r="BE45" s="38">
        <v>7.6086956521739134E-3</v>
      </c>
      <c r="BF45" s="38">
        <v>6.956521739130435E-3</v>
      </c>
      <c r="BG45" s="38">
        <v>6.956521739130435E-3</v>
      </c>
      <c r="BH45" s="38">
        <v>6.956521739130435E-3</v>
      </c>
      <c r="BI45" s="38">
        <v>6.956521739130435E-3</v>
      </c>
      <c r="BJ45" s="38">
        <v>6.956521739130435E-3</v>
      </c>
      <c r="BK45" s="38">
        <v>6.956521739130435E-3</v>
      </c>
      <c r="BL45" s="38">
        <v>6.956521739130435E-3</v>
      </c>
      <c r="BM45" s="38">
        <v>0</v>
      </c>
      <c r="BN45" s="38">
        <v>0</v>
      </c>
      <c r="BO45" s="38">
        <v>0</v>
      </c>
      <c r="BP45" s="38">
        <v>2.8260869565217392E-3</v>
      </c>
      <c r="BQ45" s="38">
        <v>3.0434782608695652E-3</v>
      </c>
      <c r="BR45" s="38">
        <v>4.1304347826086954E-3</v>
      </c>
      <c r="BS45" s="38">
        <v>4.1304347826086954E-3</v>
      </c>
      <c r="BT45" s="38">
        <v>4.1304347826086954E-3</v>
      </c>
      <c r="BU45" s="38">
        <v>4.1304347826086954E-3</v>
      </c>
      <c r="BV45" s="38">
        <v>4.1304347826086954E-3</v>
      </c>
      <c r="BW45" s="38">
        <v>3.6956521739130435E-3</v>
      </c>
      <c r="BX45" s="38">
        <v>3.6956521739130435E-3</v>
      </c>
      <c r="BY45" s="38">
        <v>3.2608695652173911E-3</v>
      </c>
      <c r="BZ45" s="38">
        <v>2.8260869565217392E-3</v>
      </c>
      <c r="CA45" s="38">
        <v>2.6086956521739128E-3</v>
      </c>
      <c r="CB45" s="38">
        <v>2.6086956521739128E-3</v>
      </c>
      <c r="CC45" s="38">
        <v>2.3913043478260873E-3</v>
      </c>
      <c r="CD45" s="38">
        <v>2.3913043478260873E-3</v>
      </c>
      <c r="CE45" s="38">
        <v>2.3913043478260873E-3</v>
      </c>
      <c r="CF45" s="38">
        <v>2.3913043478260873E-3</v>
      </c>
      <c r="CG45" s="38">
        <v>2.3913043478260873E-3</v>
      </c>
      <c r="CH45" s="38">
        <v>2.3913043478260873E-3</v>
      </c>
      <c r="CI45" s="38">
        <v>2.3913043478260873E-3</v>
      </c>
      <c r="CJ45" s="38">
        <v>2.8260869565217392E-3</v>
      </c>
      <c r="CK45" s="38">
        <v>2.8260869565217392E-3</v>
      </c>
      <c r="CL45" s="38">
        <v>2.8260869565217392E-3</v>
      </c>
      <c r="CM45" s="38">
        <v>3.2608695652173911E-3</v>
      </c>
      <c r="CN45" s="38">
        <v>3.2608695652173911E-3</v>
      </c>
      <c r="CO45" s="38">
        <v>3.4782608695652175E-3</v>
      </c>
      <c r="CP45" s="38">
        <v>3.4782608695652175E-3</v>
      </c>
      <c r="CQ45" s="38">
        <v>3.9130434782608699E-3</v>
      </c>
      <c r="CR45" s="38">
        <v>4.3478260869565218E-3</v>
      </c>
      <c r="CS45" s="38">
        <v>4.3478260869565218E-3</v>
      </c>
      <c r="CT45" s="38">
        <v>4.3478260869565218E-3</v>
      </c>
      <c r="CU45" s="38">
        <v>4.3478260869565218E-3</v>
      </c>
      <c r="CV45" s="38">
        <v>4.3478260869565218E-3</v>
      </c>
      <c r="CW45" s="39"/>
      <c r="CX45" s="39"/>
    </row>
    <row r="46" spans="1:102" ht="14.45">
      <c r="B46" s="1" t="s">
        <v>138</v>
      </c>
      <c r="C46" s="2" t="s">
        <v>144</v>
      </c>
      <c r="D46" s="38">
        <f>+D13/D14</f>
        <v>1.1785714285714286</v>
      </c>
      <c r="F46" s="38" t="e">
        <v>#DIV/0!</v>
      </c>
      <c r="G46" s="38" t="e">
        <v>#DIV/0!</v>
      </c>
      <c r="H46" s="38" t="e">
        <v>#DIV/0!</v>
      </c>
      <c r="I46" s="38" t="e">
        <v>#DIV/0!</v>
      </c>
      <c r="J46" s="38" t="e">
        <v>#DIV/0!</v>
      </c>
      <c r="K46" s="38" t="e">
        <v>#DIV/0!</v>
      </c>
      <c r="L46" s="38" t="e">
        <v>#DIV/0!</v>
      </c>
      <c r="M46" s="38" t="e">
        <v>#DIV/0!</v>
      </c>
      <c r="N46" s="38" t="e">
        <v>#DIV/0!</v>
      </c>
      <c r="O46" s="38" t="e">
        <v>#DIV/0!</v>
      </c>
      <c r="P46" s="38" t="e">
        <v>#DIV/0!</v>
      </c>
      <c r="Q46" s="38" t="e">
        <v>#DIV/0!</v>
      </c>
      <c r="R46" s="38" t="e">
        <v>#DIV/0!</v>
      </c>
      <c r="S46" s="38" t="e">
        <v>#DIV/0!</v>
      </c>
      <c r="T46" s="38" t="e">
        <v>#DIV/0!</v>
      </c>
      <c r="U46" s="38" t="e">
        <v>#DIV/0!</v>
      </c>
      <c r="V46" s="38" t="e">
        <v>#DIV/0!</v>
      </c>
      <c r="W46" s="38" t="e">
        <v>#DIV/0!</v>
      </c>
      <c r="X46" s="38" t="e">
        <v>#DIV/0!</v>
      </c>
      <c r="Y46" s="38" t="e">
        <v>#DIV/0!</v>
      </c>
      <c r="Z46" s="38" t="e">
        <v>#DIV/0!</v>
      </c>
      <c r="AA46" s="38" t="e">
        <v>#DIV/0!</v>
      </c>
      <c r="AB46" s="38" t="e">
        <v>#DIV/0!</v>
      </c>
      <c r="AC46" s="38" t="e">
        <v>#DIV/0!</v>
      </c>
      <c r="AD46" s="38" t="e">
        <v>#DIV/0!</v>
      </c>
      <c r="AE46" s="38" t="e">
        <v>#DIV/0!</v>
      </c>
      <c r="AF46" s="38" t="e">
        <v>#DIV/0!</v>
      </c>
      <c r="AG46" s="38" t="e">
        <v>#DIV/0!</v>
      </c>
      <c r="AH46" s="38" t="e">
        <v>#DIV/0!</v>
      </c>
      <c r="AI46" s="38" t="e">
        <v>#DIV/0!</v>
      </c>
      <c r="AJ46" s="38" t="e">
        <v>#DIV/0!</v>
      </c>
      <c r="AK46" s="38" t="e">
        <v>#DIV/0!</v>
      </c>
      <c r="AL46" s="38" t="e">
        <v>#DIV/0!</v>
      </c>
      <c r="AM46" s="38" t="e">
        <v>#DIV/0!</v>
      </c>
      <c r="AN46" s="38" t="e">
        <v>#DIV/0!</v>
      </c>
      <c r="AO46" s="38" t="e">
        <v>#DIV/0!</v>
      </c>
      <c r="AP46" s="38" t="e">
        <v>#DIV/0!</v>
      </c>
      <c r="AQ46" s="38" t="e">
        <v>#DIV/0!</v>
      </c>
      <c r="AR46" s="38" t="e">
        <v>#DIV/0!</v>
      </c>
      <c r="AS46" s="38" t="e">
        <v>#DIV/0!</v>
      </c>
      <c r="AT46" s="38" t="e">
        <v>#DIV/0!</v>
      </c>
      <c r="AU46" s="38" t="e">
        <v>#DIV/0!</v>
      </c>
      <c r="AV46" s="38" t="e">
        <v>#DIV/0!</v>
      </c>
      <c r="AW46" s="38" t="e">
        <v>#DIV/0!</v>
      </c>
      <c r="AX46" s="38" t="e">
        <v>#DIV/0!</v>
      </c>
      <c r="AY46" s="38" t="e">
        <v>#DIV/0!</v>
      </c>
      <c r="AZ46" s="38" t="e">
        <v>#DIV/0!</v>
      </c>
      <c r="BA46" s="38" t="e">
        <v>#DIV/0!</v>
      </c>
      <c r="BB46" s="38" t="e">
        <v>#DIV/0!</v>
      </c>
      <c r="BC46" s="38" t="e">
        <v>#DIV/0!</v>
      </c>
      <c r="BD46" s="38" t="e">
        <v>#DIV/0!</v>
      </c>
      <c r="BE46" s="38" t="e">
        <v>#DIV/0!</v>
      </c>
      <c r="BF46" s="38" t="e">
        <v>#DIV/0!</v>
      </c>
      <c r="BG46" s="38" t="e">
        <v>#DIV/0!</v>
      </c>
      <c r="BH46" s="38" t="e">
        <v>#DIV/0!</v>
      </c>
      <c r="BI46" s="38" t="e">
        <v>#DIV/0!</v>
      </c>
      <c r="BJ46" s="38" t="e">
        <v>#DIV/0!</v>
      </c>
      <c r="BK46" s="38" t="e">
        <v>#DIV/0!</v>
      </c>
      <c r="BL46" s="38" t="e">
        <v>#DIV/0!</v>
      </c>
      <c r="BM46" s="38">
        <v>0.27272727272727271</v>
      </c>
      <c r="BN46" s="38">
        <v>0</v>
      </c>
      <c r="BO46" s="38">
        <v>9.0909090909090912E-2</v>
      </c>
      <c r="BP46" s="38">
        <v>0.74999999999999989</v>
      </c>
      <c r="BQ46" s="38">
        <v>0.72727272727272729</v>
      </c>
      <c r="BR46" s="38">
        <v>0.5</v>
      </c>
      <c r="BS46" s="38">
        <v>0.5</v>
      </c>
      <c r="BT46" s="38">
        <v>0.5</v>
      </c>
      <c r="BU46" s="38">
        <v>0.55000000000000004</v>
      </c>
      <c r="BV46" s="38">
        <v>0.61111111111111116</v>
      </c>
      <c r="BW46" s="38">
        <v>0.61764705882352944</v>
      </c>
      <c r="BX46" s="38">
        <v>0.67741935483870974</v>
      </c>
      <c r="BY46" s="38">
        <v>0.67741935483870974</v>
      </c>
      <c r="BZ46" s="38">
        <v>0.79310344827586221</v>
      </c>
      <c r="CA46" s="38">
        <v>0.88888888888888884</v>
      </c>
      <c r="CB46" s="38">
        <v>0.88888888888888884</v>
      </c>
      <c r="CC46" s="38">
        <v>0.88888888888888884</v>
      </c>
      <c r="CD46" s="38">
        <v>0.88888888888888884</v>
      </c>
      <c r="CE46" s="38">
        <v>0.88888888888888884</v>
      </c>
      <c r="CF46" s="38">
        <v>0.88888888888888884</v>
      </c>
      <c r="CG46" s="38">
        <v>0.99999999999999978</v>
      </c>
      <c r="CH46" s="38">
        <v>1.0833333333333333</v>
      </c>
      <c r="CI46" s="38">
        <v>1.2499999999999998</v>
      </c>
      <c r="CJ46" s="38">
        <v>1.2499999999999998</v>
      </c>
      <c r="CK46" s="38">
        <v>1.1538461538461535</v>
      </c>
      <c r="CL46" s="38">
        <v>1.2692307692307689</v>
      </c>
      <c r="CM46" s="38">
        <v>1.3214285714285712</v>
      </c>
      <c r="CN46" s="38">
        <v>1.1562499999999998</v>
      </c>
      <c r="CO46" s="38">
        <v>1.21875</v>
      </c>
      <c r="CP46" s="38">
        <v>1.21875</v>
      </c>
      <c r="CQ46" s="38">
        <v>1.125</v>
      </c>
      <c r="CR46" s="38">
        <v>1</v>
      </c>
      <c r="CS46" s="38">
        <v>1.1428571428571428</v>
      </c>
      <c r="CT46" s="38">
        <v>1.0714285714285714</v>
      </c>
      <c r="CU46" s="38">
        <v>1.0714285714285714</v>
      </c>
      <c r="CV46" s="38">
        <v>1.107142857142857</v>
      </c>
      <c r="CW46" s="39"/>
      <c r="CX46" s="39"/>
    </row>
    <row r="47" spans="1:102" ht="14.45">
      <c r="B47" s="1" t="s">
        <v>138</v>
      </c>
      <c r="C47" s="2" t="s">
        <v>145</v>
      </c>
      <c r="D47" s="120">
        <f>+OXIDOS!N52</f>
        <v>0.70436767676767675</v>
      </c>
      <c r="F47" s="120">
        <v>12.784273333333333</v>
      </c>
      <c r="G47" s="120">
        <v>12.784273333333333</v>
      </c>
      <c r="H47" s="120">
        <v>13.206893939393941</v>
      </c>
      <c r="I47" s="120">
        <v>13.801204166666668</v>
      </c>
      <c r="J47" s="120" t="e">
        <v>#DIV/0!</v>
      </c>
      <c r="K47" s="120">
        <v>11.622066666666667</v>
      </c>
      <c r="L47" s="120">
        <v>11.622066666666667</v>
      </c>
      <c r="M47" s="120">
        <v>11.622066666666667</v>
      </c>
      <c r="N47" s="120">
        <v>13.365376666666664</v>
      </c>
      <c r="O47" s="120">
        <v>11.622066666666667</v>
      </c>
      <c r="P47" s="120" t="e">
        <v>#DIV/0!</v>
      </c>
      <c r="Q47" s="120" t="e">
        <v>#DIV/0!</v>
      </c>
      <c r="R47" s="120">
        <v>23.244133333333334</v>
      </c>
      <c r="S47" s="120">
        <v>12.913407407407409</v>
      </c>
      <c r="T47" s="120">
        <v>13.55907777777778</v>
      </c>
      <c r="U47" s="120">
        <v>14.20474814814815</v>
      </c>
      <c r="V47" s="120" t="e">
        <v>#DIV/0!</v>
      </c>
      <c r="W47" s="120" t="e">
        <v>#DIV/0!</v>
      </c>
      <c r="X47" s="120" t="e">
        <v>#DIV/0!</v>
      </c>
      <c r="Y47" s="120" t="e">
        <v>#DIV/0!</v>
      </c>
      <c r="Z47" s="120" t="e">
        <v>#DIV/0!</v>
      </c>
      <c r="AA47" s="120" t="e">
        <v>#DIV/0!</v>
      </c>
      <c r="AB47" s="120" t="e">
        <v>#DIV/0!</v>
      </c>
      <c r="AC47" s="120" t="e">
        <v>#DIV/0!</v>
      </c>
      <c r="AD47" s="120" t="e">
        <v>#DIV/0!</v>
      </c>
      <c r="AE47" s="120" t="e">
        <v>#DIV/0!</v>
      </c>
      <c r="AF47" s="120" t="e">
        <v>#DIV/0!</v>
      </c>
      <c r="AG47" s="120" t="e">
        <v>#DIV/0!</v>
      </c>
      <c r="AH47" s="120" t="e">
        <v>#DIV/0!</v>
      </c>
      <c r="AI47" s="120" t="e">
        <v>#DIV/0!</v>
      </c>
      <c r="AJ47" s="120" t="e">
        <v>#DIV/0!</v>
      </c>
      <c r="AK47" s="120" t="e">
        <v>#DIV/0!</v>
      </c>
      <c r="AL47" s="120" t="e">
        <v>#DIV/0!</v>
      </c>
      <c r="AM47" s="120" t="e">
        <v>#DIV/0!</v>
      </c>
      <c r="AN47" s="120" t="e">
        <v>#DIV/0!</v>
      </c>
      <c r="AO47" s="120" t="e">
        <v>#DIV/0!</v>
      </c>
      <c r="AP47" s="120" t="e">
        <v>#DIV/0!</v>
      </c>
      <c r="AQ47" s="120" t="e">
        <v>#DIV/0!</v>
      </c>
      <c r="AR47" s="120" t="e">
        <v>#DIV/0!</v>
      </c>
      <c r="AS47" s="120" t="e">
        <v>#DIV/0!</v>
      </c>
      <c r="AT47" s="120" t="e">
        <v>#DIV/0!</v>
      </c>
      <c r="AU47" s="120" t="e">
        <v>#DIV/0!</v>
      </c>
      <c r="AV47" s="120" t="e">
        <v>#DIV/0!</v>
      </c>
      <c r="AW47" s="120" t="e">
        <v>#DIV/0!</v>
      </c>
      <c r="AX47" s="120" t="e">
        <v>#DIV/0!</v>
      </c>
      <c r="AY47" s="120" t="e">
        <v>#DIV/0!</v>
      </c>
      <c r="AZ47" s="120" t="e">
        <v>#DIV/0!</v>
      </c>
      <c r="BA47" s="120">
        <v>18.595306666666666</v>
      </c>
      <c r="BB47" s="120">
        <v>9.2976533333333329</v>
      </c>
      <c r="BC47" s="120">
        <v>10.169308333333333</v>
      </c>
      <c r="BD47" s="120">
        <v>10.169308333333333</v>
      </c>
      <c r="BE47" s="120">
        <v>10.169308333333333</v>
      </c>
      <c r="BF47" s="120">
        <v>7.4381226666666675</v>
      </c>
      <c r="BG47" s="120">
        <v>7.4381226666666675</v>
      </c>
      <c r="BH47" s="120">
        <v>6.1984355555555561</v>
      </c>
      <c r="BI47" s="120">
        <v>6.1984355555555561</v>
      </c>
      <c r="BJ47" s="120">
        <v>9.2976533333333329</v>
      </c>
      <c r="BK47" s="120">
        <v>7.4381226666666675</v>
      </c>
      <c r="BL47" s="120">
        <v>6.1984355555555561</v>
      </c>
      <c r="BM47" s="120">
        <v>0</v>
      </c>
      <c r="BN47" s="120" t="e">
        <v>#DIV/0!</v>
      </c>
      <c r="BO47" s="120">
        <v>0</v>
      </c>
      <c r="BP47" s="120">
        <v>1.2590572222222223</v>
      </c>
      <c r="BQ47" s="120">
        <v>1.0169308333333333</v>
      </c>
      <c r="BR47" s="120">
        <v>1.1040963333333331</v>
      </c>
      <c r="BS47" s="120">
        <v>1.1040963333333331</v>
      </c>
      <c r="BT47" s="120">
        <v>1.1040963333333331</v>
      </c>
      <c r="BU47" s="120">
        <v>1.0037239393939392</v>
      </c>
      <c r="BV47" s="120">
        <v>1.0037239393939392</v>
      </c>
      <c r="BW47" s="120">
        <v>0.94083396825396826</v>
      </c>
      <c r="BX47" s="120">
        <v>0.94083396825396826</v>
      </c>
      <c r="BY47" s="120">
        <v>0.83014761904761902</v>
      </c>
      <c r="BZ47" s="120">
        <v>0.65689942028985504</v>
      </c>
      <c r="CA47" s="120">
        <v>0.58110333333333331</v>
      </c>
      <c r="CB47" s="120">
        <v>0.58110333333333331</v>
      </c>
      <c r="CC47" s="120">
        <v>0.53267805555555559</v>
      </c>
      <c r="CD47" s="120">
        <v>0.53267805555555559</v>
      </c>
      <c r="CE47" s="120">
        <v>0.53267805555555559</v>
      </c>
      <c r="CF47" s="120">
        <v>0.53267805555555559</v>
      </c>
      <c r="CG47" s="120">
        <v>0.53267805555555559</v>
      </c>
      <c r="CH47" s="120">
        <v>0.49170282051282055</v>
      </c>
      <c r="CI47" s="120">
        <v>0.42614244444444449</v>
      </c>
      <c r="CJ47" s="120">
        <v>0.50362288888888895</v>
      </c>
      <c r="CK47" s="120">
        <v>0.50362288888888895</v>
      </c>
      <c r="CL47" s="120">
        <v>0.45783898989898997</v>
      </c>
      <c r="CM47" s="120">
        <v>0.47116486486486492</v>
      </c>
      <c r="CN47" s="120">
        <v>0.47116486486486492</v>
      </c>
      <c r="CO47" s="120">
        <v>0.47680273504273507</v>
      </c>
      <c r="CP47" s="120">
        <v>0.47680273504273507</v>
      </c>
      <c r="CQ47" s="120">
        <v>0.58110333333333342</v>
      </c>
      <c r="CR47" s="120">
        <v>0.72637916666666669</v>
      </c>
      <c r="CS47" s="120">
        <v>0.72637916666666669</v>
      </c>
      <c r="CT47" s="120">
        <v>0.77480444444444452</v>
      </c>
      <c r="CU47" s="120">
        <v>0.77480444444444452</v>
      </c>
      <c r="CV47" s="120">
        <v>0.7498107526881721</v>
      </c>
      <c r="CW47" s="39"/>
      <c r="CX47" s="39"/>
    </row>
    <row r="48" spans="1:102" ht="14.45">
      <c r="B48" s="1" t="s">
        <v>99</v>
      </c>
      <c r="C48" s="2" t="s">
        <v>146</v>
      </c>
      <c r="D48" s="159">
        <f>+OXIDOS!M52</f>
        <v>1812.2801029310897</v>
      </c>
      <c r="F48" s="39">
        <v>4840.9100875656623</v>
      </c>
      <c r="G48" s="39">
        <v>4809.4267745291518</v>
      </c>
      <c r="H48" s="39">
        <v>4378.1698048108246</v>
      </c>
      <c r="I48" s="39">
        <v>2850.1424961957191</v>
      </c>
      <c r="J48" s="39">
        <v>32.380935195389597</v>
      </c>
      <c r="K48" s="39">
        <v>1775.4981266645018</v>
      </c>
      <c r="L48" s="39">
        <v>1775.4981266645018</v>
      </c>
      <c r="M48" s="39">
        <v>1775.5016303839011</v>
      </c>
      <c r="N48" s="39">
        <v>2036.1859032647349</v>
      </c>
      <c r="O48" s="39">
        <v>1775.505134117129</v>
      </c>
      <c r="P48" s="39">
        <v>1562.7340333748768</v>
      </c>
      <c r="Q48" s="39">
        <v>1601.8117165770138</v>
      </c>
      <c r="R48" s="39">
        <v>1775.621933138146</v>
      </c>
      <c r="S48" s="39">
        <v>1812.9402204497108</v>
      </c>
      <c r="T48" s="159">
        <v>1926.3304238801074</v>
      </c>
      <c r="U48" s="159">
        <v>2016.298677227777</v>
      </c>
      <c r="V48" s="159">
        <v>2376.2021295586355</v>
      </c>
      <c r="W48" s="159">
        <v>2376.2085988034223</v>
      </c>
      <c r="X48" s="159">
        <v>2385.9588058303725</v>
      </c>
      <c r="Y48" s="159">
        <v>2392.4991465475209</v>
      </c>
      <c r="Z48" s="159">
        <v>2392.5057048344615</v>
      </c>
      <c r="AA48" s="159">
        <v>2392.5057048344615</v>
      </c>
      <c r="AB48" s="159">
        <v>2392.5089839914149</v>
      </c>
      <c r="AC48" s="159">
        <v>2402.3870849698965</v>
      </c>
      <c r="AD48" s="159">
        <v>2402.3920444227892</v>
      </c>
      <c r="AE48" s="159">
        <v>2402.3920444227892</v>
      </c>
      <c r="AF48" s="159">
        <v>2409.0179266225641</v>
      </c>
      <c r="AG48" s="159">
        <v>2402.3920444227892</v>
      </c>
      <c r="AH48" s="159">
        <v>2382.4175260182205</v>
      </c>
      <c r="AI48" s="159">
        <v>2382.4175260182205</v>
      </c>
      <c r="AJ48" s="159">
        <v>2372.3426017437323</v>
      </c>
      <c r="AK48" s="159">
        <v>2456.8086201538781</v>
      </c>
      <c r="AL48" s="159">
        <v>2603.603431750736</v>
      </c>
      <c r="AM48" s="159">
        <v>2691.247054182088</v>
      </c>
      <c r="AN48" s="159">
        <v>2902.6580356778486</v>
      </c>
      <c r="AO48" s="159">
        <v>2902.6541327265768</v>
      </c>
      <c r="AP48" s="159">
        <v>2902.6482783193496</v>
      </c>
      <c r="AQ48" s="159">
        <v>2886.8357482652737</v>
      </c>
      <c r="AR48" s="159">
        <v>2886.8299608041862</v>
      </c>
      <c r="AS48" s="159">
        <v>2886.8357482652737</v>
      </c>
      <c r="AT48" s="159">
        <v>2886.828031655647</v>
      </c>
      <c r="AU48" s="159">
        <v>2901.5143211807276</v>
      </c>
      <c r="AV48" s="159">
        <v>2901.5084730434528</v>
      </c>
      <c r="AW48" s="159">
        <v>2913.6648627564955</v>
      </c>
      <c r="AX48" s="159">
        <v>2929.4098067336931</v>
      </c>
      <c r="AY48" s="159">
        <v>2929.4098067336931</v>
      </c>
      <c r="AZ48" s="159">
        <v>2929.4098067336931</v>
      </c>
      <c r="BA48" s="159">
        <v>2959.9734465576489</v>
      </c>
      <c r="BB48" s="159">
        <v>2959.5693082746839</v>
      </c>
      <c r="BC48" s="159">
        <v>3238.4582273757915</v>
      </c>
      <c r="BD48" s="159">
        <v>3238.4582273757915</v>
      </c>
      <c r="BE48" s="159">
        <v>3238.4582273757915</v>
      </c>
      <c r="BF48" s="159">
        <v>2967.4598076293655</v>
      </c>
      <c r="BG48" s="159">
        <v>2935.3126294341751</v>
      </c>
      <c r="BH48" s="159">
        <v>2931.1489105928003</v>
      </c>
      <c r="BI48" s="159">
        <v>2944.6341528749144</v>
      </c>
      <c r="BJ48" s="159">
        <v>2945.0340119431162</v>
      </c>
      <c r="BK48" s="159">
        <v>2942.7699057981781</v>
      </c>
      <c r="BL48" s="159">
        <v>2942.5701299674588</v>
      </c>
      <c r="BM48" s="159">
        <v>66.224974091466606</v>
      </c>
      <c r="BN48" s="159">
        <v>65.432646588624422</v>
      </c>
      <c r="BO48" s="159">
        <v>65.423770754849514</v>
      </c>
      <c r="BP48" s="159">
        <v>1231.2619556664836</v>
      </c>
      <c r="BQ48" s="159">
        <v>1319.8799789105251</v>
      </c>
      <c r="BR48" s="159">
        <v>1764.1484373021319</v>
      </c>
      <c r="BS48" s="159">
        <v>1772.5480565621381</v>
      </c>
      <c r="BT48" s="159">
        <v>1772.5480565621381</v>
      </c>
      <c r="BU48" s="159">
        <v>1772.3088462980945</v>
      </c>
      <c r="BV48" s="159">
        <v>1772.7873314077863</v>
      </c>
      <c r="BW48" s="159">
        <v>1587.2175236895544</v>
      </c>
      <c r="BX48" s="159">
        <v>1587.5373982408823</v>
      </c>
      <c r="BY48" s="159">
        <v>1405.3370578429788</v>
      </c>
      <c r="BZ48" s="159">
        <v>1226.6602385332931</v>
      </c>
      <c r="CA48" s="159">
        <v>1138.301746093387</v>
      </c>
      <c r="CB48" s="159">
        <v>1135.2652626093097</v>
      </c>
      <c r="CC48" s="159">
        <v>1047.0367089756694</v>
      </c>
      <c r="CD48" s="159">
        <v>1047.0367089756694</v>
      </c>
      <c r="CE48" s="159">
        <v>1044.2507402163378</v>
      </c>
      <c r="CF48" s="159">
        <v>1044.2507402163378</v>
      </c>
      <c r="CG48" s="159">
        <v>1044.459173497818</v>
      </c>
      <c r="CH48" s="159">
        <v>1039.8920365310355</v>
      </c>
      <c r="CI48" s="159">
        <v>1036.873083666997</v>
      </c>
      <c r="CJ48" s="159">
        <v>1211.4123302352109</v>
      </c>
      <c r="CK48" s="159">
        <v>1211.2525343863476</v>
      </c>
      <c r="CL48" s="159">
        <v>1205.7486392096159</v>
      </c>
      <c r="CM48" s="159">
        <v>1378.6824303545973</v>
      </c>
      <c r="CN48" s="159">
        <v>1378.3210220236831</v>
      </c>
      <c r="CO48" s="159">
        <v>1464.7763683557478</v>
      </c>
      <c r="CP48" s="159">
        <v>1464.7763683557478</v>
      </c>
      <c r="CQ48" s="159">
        <v>1638.3021606736486</v>
      </c>
      <c r="CR48" s="159">
        <v>1811.9239158039409</v>
      </c>
      <c r="CS48" s="159">
        <v>1812.3988630951085</v>
      </c>
      <c r="CT48" s="159">
        <v>1812.6364301239582</v>
      </c>
      <c r="CU48" s="159">
        <v>1812.6364301239582</v>
      </c>
      <c r="CV48" s="159">
        <v>1812.517638825045</v>
      </c>
      <c r="CW48" s="39">
        <f>+D48-AE48</f>
        <v>-590.11194149169955</v>
      </c>
      <c r="CX48" s="39"/>
    </row>
    <row r="49" spans="1:103" thickBot="1">
      <c r="B49" s="1" t="s">
        <v>99</v>
      </c>
      <c r="C49" s="2" t="s">
        <v>147</v>
      </c>
      <c r="D49" s="2">
        <f>+OXIDOS!O52</f>
        <v>2465.4153127505401</v>
      </c>
      <c r="K49">
        <v>149.99477291653068</v>
      </c>
      <c r="L49">
        <v>149.99477291653068</v>
      </c>
      <c r="M49">
        <v>149.9950689121095</v>
      </c>
      <c r="N49">
        <v>149.93589303473433</v>
      </c>
      <c r="O49">
        <v>149.99536490885657</v>
      </c>
      <c r="P49">
        <v>0</v>
      </c>
      <c r="Q49">
        <v>0</v>
      </c>
      <c r="R49">
        <v>75.002616067810123</v>
      </c>
      <c r="S49">
        <v>137.90035539618941</v>
      </c>
      <c r="T49" s="2">
        <v>139.7597911265334</v>
      </c>
      <c r="U49" s="2">
        <v>139.74104373691847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155.68996414317408</v>
      </c>
      <c r="BB49" s="2">
        <v>311.33741420578656</v>
      </c>
      <c r="BC49" s="2">
        <v>312.06109551631829</v>
      </c>
      <c r="BD49" s="2">
        <v>312.06109551631829</v>
      </c>
      <c r="BE49" s="2">
        <v>312.06109551631829</v>
      </c>
      <c r="BF49" s="2">
        <v>390.20933750556208</v>
      </c>
      <c r="BG49" s="2">
        <v>385.98210953301555</v>
      </c>
      <c r="BH49" s="2">
        <v>462.52151618375223</v>
      </c>
      <c r="BI49" s="2">
        <v>464.40515417738334</v>
      </c>
      <c r="BJ49" s="2">
        <v>309.6454779255061</v>
      </c>
      <c r="BK49" s="2">
        <v>387.03056949342221</v>
      </c>
      <c r="BL49" s="2">
        <v>464.40515417738334</v>
      </c>
      <c r="BM49" s="2">
        <v>462.59501669518261</v>
      </c>
      <c r="BN49" s="2">
        <v>0</v>
      </c>
      <c r="BO49" s="2">
        <v>154.65850757117835</v>
      </c>
      <c r="BP49" s="2">
        <v>926.06675333536771</v>
      </c>
      <c r="BQ49" s="2">
        <v>1233.7535699334255</v>
      </c>
      <c r="BR49" s="2">
        <v>1538.8615438179604</v>
      </c>
      <c r="BS49" s="2">
        <v>1538.8615438179604</v>
      </c>
      <c r="BT49" s="2">
        <v>1538.8615438179604</v>
      </c>
      <c r="BU49" s="2">
        <v>1692.5192572148442</v>
      </c>
      <c r="BV49" s="2">
        <v>1692.9762008588007</v>
      </c>
      <c r="BW49" s="2">
        <v>1608.0994609516599</v>
      </c>
      <c r="BX49" s="2">
        <v>1608.4235438740604</v>
      </c>
      <c r="BY49" s="2">
        <v>1602.3954540295319</v>
      </c>
      <c r="BZ49" s="2">
        <v>1753.1272837103033</v>
      </c>
      <c r="CA49" s="2">
        <v>1829.7171800436936</v>
      </c>
      <c r="CB49" s="2">
        <v>1824.8363072726536</v>
      </c>
      <c r="CC49" s="2">
        <v>1825.0797323786726</v>
      </c>
      <c r="CD49" s="2">
        <v>1825.0797323786726</v>
      </c>
      <c r="CE49" s="2">
        <v>1820.2235367227725</v>
      </c>
      <c r="CF49" s="2">
        <v>1820.2235367227725</v>
      </c>
      <c r="CG49" s="2">
        <v>1820.5868547939745</v>
      </c>
      <c r="CH49" s="2">
        <v>1961.6004144509593</v>
      </c>
      <c r="CI49" s="2">
        <v>2256.814168279348</v>
      </c>
      <c r="CJ49" s="2">
        <v>2256.2187027995915</v>
      </c>
      <c r="CK49" s="2">
        <v>2255.9210878803465</v>
      </c>
      <c r="CL49" s="2">
        <v>2468.0028263618228</v>
      </c>
      <c r="CM49" s="2">
        <v>2765.3407511730506</v>
      </c>
      <c r="CN49" s="2">
        <v>2764.6158437082959</v>
      </c>
      <c r="CO49" s="2">
        <v>2913.2908468043206</v>
      </c>
      <c r="CP49" s="2">
        <v>2913.2908468043206</v>
      </c>
      <c r="CQ49" s="2">
        <v>2689.0153722045447</v>
      </c>
      <c r="CR49" s="2">
        <v>2390.2358864040393</v>
      </c>
      <c r="CS49" s="2">
        <v>2390.8624226783259</v>
      </c>
      <c r="CT49" s="2">
        <v>2241.7273256286412</v>
      </c>
      <c r="CU49" s="2">
        <v>2241.7273256286412</v>
      </c>
      <c r="CV49" s="2">
        <v>2316.2997609447889</v>
      </c>
    </row>
    <row r="50" spans="1:103" ht="14.45">
      <c r="A50" s="114" t="s">
        <v>148</v>
      </c>
      <c r="C50" s="4" t="s">
        <v>149</v>
      </c>
      <c r="CW50" s="174" t="s">
        <v>98</v>
      </c>
      <c r="CX50" s="174" t="s">
        <v>150</v>
      </c>
      <c r="CY50" s="174" t="s">
        <v>151</v>
      </c>
    </row>
    <row r="51" spans="1:103" ht="14.45">
      <c r="A51" s="1"/>
      <c r="B51" s="1" t="s">
        <v>115</v>
      </c>
      <c r="C51" s="1" t="s">
        <v>152</v>
      </c>
      <c r="D51" s="1">
        <f>+OXIDOS!D51*100</f>
        <v>71.485981870993371</v>
      </c>
      <c r="F51" s="1">
        <v>72.279826331363694</v>
      </c>
      <c r="G51" s="1">
        <v>72.369567457947966</v>
      </c>
      <c r="H51" s="1">
        <v>72.40490181998625</v>
      </c>
      <c r="I51" s="1">
        <v>72.608313670265943</v>
      </c>
      <c r="J51" s="1">
        <v>72.79749808660101</v>
      </c>
      <c r="K51" s="1">
        <v>72.61586053984513</v>
      </c>
      <c r="L51" s="1">
        <v>72.615771923513691</v>
      </c>
      <c r="M51" s="1">
        <v>72.615855457286045</v>
      </c>
      <c r="N51" s="1">
        <v>72.595669468157624</v>
      </c>
      <c r="O51" s="1">
        <v>72.615957325873083</v>
      </c>
      <c r="P51" s="1">
        <v>72.466541784701349</v>
      </c>
      <c r="Q51" s="1">
        <v>72.757403711677625</v>
      </c>
      <c r="R51" s="1">
        <v>72.775840045892267</v>
      </c>
      <c r="S51" s="1">
        <v>72.728010373648615</v>
      </c>
      <c r="T51" s="1">
        <v>73.058192702015162</v>
      </c>
      <c r="U51" s="1">
        <v>73.052411116714353</v>
      </c>
      <c r="V51" s="1">
        <v>72.934600389817405</v>
      </c>
      <c r="W51" s="152">
        <v>72.934718413859201</v>
      </c>
      <c r="X51" s="152">
        <v>72.905151212648278</v>
      </c>
      <c r="Y51" s="152">
        <v>72.650719076092685</v>
      </c>
      <c r="Z51" s="152">
        <v>72.650837333870726</v>
      </c>
      <c r="AA51" s="152">
        <v>72.602423166363835</v>
      </c>
      <c r="AB51" s="152">
        <v>72.602482069138134</v>
      </c>
      <c r="AC51" s="152">
        <v>72.705950734341812</v>
      </c>
      <c r="AD51" s="152">
        <v>72.706039629928924</v>
      </c>
      <c r="AE51" s="152">
        <v>72.701598802325705</v>
      </c>
      <c r="AF51" s="1">
        <v>72.763979174387899</v>
      </c>
      <c r="AG51" s="1">
        <v>72.701598802325705</v>
      </c>
      <c r="AH51" s="1">
        <v>72.584402764340112</v>
      </c>
      <c r="AI51" s="1">
        <v>72.547268023027485</v>
      </c>
      <c r="AJ51" s="1">
        <v>72.536760773437663</v>
      </c>
      <c r="AK51" s="1">
        <v>72.347227249217454</v>
      </c>
      <c r="AL51" s="1">
        <v>72.201908107616404</v>
      </c>
      <c r="AM51" s="1">
        <v>72.196344720242877</v>
      </c>
      <c r="AN51" s="1">
        <v>72.415273909773603</v>
      </c>
      <c r="AO51" s="1">
        <v>72.415216142991071</v>
      </c>
      <c r="AP51" s="1">
        <v>72.415129493135993</v>
      </c>
      <c r="AQ51" s="1">
        <v>72.503404810649315</v>
      </c>
      <c r="AR51" s="1">
        <v>72.503309880177738</v>
      </c>
      <c r="AS51" s="1">
        <v>72.503404810649315</v>
      </c>
      <c r="AT51" s="1">
        <v>72.503278236780517</v>
      </c>
      <c r="AU51" s="1">
        <v>72.562604575840197</v>
      </c>
      <c r="AV51" s="1">
        <v>72.562509095299419</v>
      </c>
      <c r="AW51" s="1">
        <v>72.516345797311459</v>
      </c>
      <c r="AX51" s="1">
        <v>72.542428728463207</v>
      </c>
      <c r="AY51" s="1">
        <v>72.537394838780173</v>
      </c>
      <c r="AZ51" s="1">
        <v>72.425341096651522</v>
      </c>
      <c r="BA51" s="1">
        <v>72.464204734494359</v>
      </c>
      <c r="BB51" s="1">
        <v>72.63134836765677</v>
      </c>
      <c r="BC51" s="1">
        <v>72.592439337967818</v>
      </c>
      <c r="BD51" s="1">
        <v>72.592439337967818</v>
      </c>
      <c r="BE51" s="1">
        <v>72.592439337967818</v>
      </c>
      <c r="BF51" s="1">
        <v>72.670528123444711</v>
      </c>
      <c r="BG51" s="1">
        <v>72.827081547559658</v>
      </c>
      <c r="BH51" s="1">
        <v>72.751641054381793</v>
      </c>
      <c r="BI51" s="1">
        <v>72.665350417724113</v>
      </c>
      <c r="BJ51" s="1">
        <v>72.671533555435076</v>
      </c>
      <c r="BK51" s="1">
        <v>72.852624838376883</v>
      </c>
      <c r="BL51" s="1">
        <v>72.849528324376806</v>
      </c>
      <c r="BM51" s="1">
        <v>72.540619427198777</v>
      </c>
      <c r="BN51" s="1">
        <v>72.643657837851208</v>
      </c>
      <c r="BO51" s="1">
        <v>72.63632846097272</v>
      </c>
      <c r="BP51" s="1">
        <v>72.524120500374551</v>
      </c>
      <c r="BQ51" s="1">
        <v>72.479704055610597</v>
      </c>
      <c r="BR51" s="1">
        <v>72.360965192026867</v>
      </c>
      <c r="BS51" s="1">
        <v>72.097561010684203</v>
      </c>
      <c r="BT51" s="1">
        <v>72.045432097993796</v>
      </c>
      <c r="BU51" s="1">
        <v>72.039309045663316</v>
      </c>
      <c r="BV51" s="1">
        <v>72.051811431926296</v>
      </c>
      <c r="BW51" s="1">
        <v>71.931798249462915</v>
      </c>
      <c r="BX51" s="1">
        <v>71.911458713784356</v>
      </c>
      <c r="BY51" s="1">
        <v>71.820292866159249</v>
      </c>
      <c r="BZ51" s="1">
        <v>71.845449076867737</v>
      </c>
      <c r="CA51" s="1">
        <v>71.85480761165222</v>
      </c>
      <c r="CB51" s="1">
        <v>71.781800904110099</v>
      </c>
      <c r="CC51" s="1">
        <v>71.787997094898088</v>
      </c>
      <c r="CD51" s="1">
        <v>71.997892808075477</v>
      </c>
      <c r="CE51" s="1">
        <v>71.931501002610091</v>
      </c>
      <c r="CF51" s="1">
        <v>71.954230873003013</v>
      </c>
      <c r="CG51" s="1">
        <v>71.851909092695578</v>
      </c>
      <c r="CH51" s="1">
        <v>71.781501011099536</v>
      </c>
      <c r="CI51" s="1">
        <v>71.720775942204142</v>
      </c>
      <c r="CJ51" s="1">
        <v>71.711906485982198</v>
      </c>
      <c r="CK51" s="1">
        <v>71.707519669058243</v>
      </c>
      <c r="CL51" s="1">
        <v>71.471648070556455</v>
      </c>
      <c r="CM51" s="1">
        <v>71.449977699457918</v>
      </c>
      <c r="CN51" s="1">
        <v>71.441283008851826</v>
      </c>
      <c r="CO51" s="1">
        <v>71.432636982491644</v>
      </c>
      <c r="CP51" s="1">
        <v>71.394125637278378</v>
      </c>
      <c r="CQ51" s="1">
        <v>71.391729081901033</v>
      </c>
      <c r="CR51" s="1">
        <v>71.391459397727587</v>
      </c>
      <c r="CS51" s="1">
        <v>71.400147104297176</v>
      </c>
      <c r="CT51" s="1">
        <v>71.404403433577201</v>
      </c>
      <c r="CU51" s="1">
        <v>71.492355121801538</v>
      </c>
      <c r="CV51" s="1">
        <v>71.490230409404333</v>
      </c>
      <c r="CW51" s="1"/>
    </row>
    <row r="52" spans="1:103" ht="15.6">
      <c r="A52" s="116">
        <v>1.7</v>
      </c>
      <c r="B52" s="1" t="s">
        <v>115</v>
      </c>
      <c r="C52" s="103" t="s">
        <v>153</v>
      </c>
      <c r="D52" s="103">
        <f>+OXIDOS!E51*100</f>
        <v>1.8970889699340223</v>
      </c>
      <c r="F52" s="103">
        <v>1.7042653594384907</v>
      </c>
      <c r="G52" s="103">
        <v>1.6962636932460924</v>
      </c>
      <c r="H52" s="103">
        <v>1.6972504646895286</v>
      </c>
      <c r="I52" s="103">
        <v>1.7311980255571255</v>
      </c>
      <c r="J52" s="103">
        <v>1.7373652315561081</v>
      </c>
      <c r="K52" s="103">
        <v>1.7321692174013525</v>
      </c>
      <c r="L52" s="103">
        <v>1.7321667014366893</v>
      </c>
      <c r="M52" s="103">
        <v>1.7321690268310985</v>
      </c>
      <c r="N52" s="103">
        <v>1.7316043511794288</v>
      </c>
      <c r="O52" s="103">
        <v>1.7321718727811117</v>
      </c>
      <c r="P52" s="103">
        <v>1.7031670956749374</v>
      </c>
      <c r="Q52" s="103">
        <v>1.7659600291225441</v>
      </c>
      <c r="R52" s="103">
        <v>1.847838631149898</v>
      </c>
      <c r="S52" s="103">
        <v>1.7536551786718753</v>
      </c>
      <c r="T52" s="103">
        <v>1.7619234465398128</v>
      </c>
      <c r="U52" s="103">
        <v>1.7617759966916551</v>
      </c>
      <c r="V52" s="103">
        <v>1.8319995366118242</v>
      </c>
      <c r="W52" s="172">
        <v>1.8320027619367463</v>
      </c>
      <c r="X52" s="172">
        <v>1.7591069508870789</v>
      </c>
      <c r="Y52" s="172">
        <v>1.7244390400571925</v>
      </c>
      <c r="Z52" s="172">
        <v>1.7244419736242929</v>
      </c>
      <c r="AA52" s="172">
        <v>1.8646199666508929</v>
      </c>
      <c r="AB52" s="172">
        <v>1.8646214597044082</v>
      </c>
      <c r="AC52" s="172">
        <v>1.8672194280481562</v>
      </c>
      <c r="AD52" s="172">
        <v>1.8672216812966629</v>
      </c>
      <c r="AE52" s="172">
        <v>1.8699904495456832</v>
      </c>
      <c r="AF52" s="103">
        <v>1.8715556106374185</v>
      </c>
      <c r="AG52" s="103">
        <v>1.8699904495456832</v>
      </c>
      <c r="AH52" s="103">
        <v>1.8158268284342094</v>
      </c>
      <c r="AI52" s="103">
        <v>1.8193414328326263</v>
      </c>
      <c r="AJ52" s="103">
        <v>1.774879642255359</v>
      </c>
      <c r="AK52" s="103">
        <v>1.7864102422876833</v>
      </c>
      <c r="AL52" s="103">
        <v>1.7859196113448463</v>
      </c>
      <c r="AM52" s="103">
        <v>1.7857630116633465</v>
      </c>
      <c r="AN52" s="103">
        <v>1.7910484975999132</v>
      </c>
      <c r="AO52" s="103">
        <v>1.7910468746064692</v>
      </c>
      <c r="AP52" s="103">
        <v>1.7910444401252581</v>
      </c>
      <c r="AQ52" s="103">
        <v>1.8279855612087053</v>
      </c>
      <c r="AR52" s="103">
        <v>1.8279829596976698</v>
      </c>
      <c r="AS52" s="103">
        <v>1.8279855612087053</v>
      </c>
      <c r="AT52" s="103">
        <v>1.827982092529882</v>
      </c>
      <c r="AU52" s="103">
        <v>1.7566708630817711</v>
      </c>
      <c r="AV52" s="103">
        <v>1.7566681521373653</v>
      </c>
      <c r="AW52" s="103">
        <v>1.5783996050194564</v>
      </c>
      <c r="AX52" s="103">
        <v>1.5223999643055857</v>
      </c>
      <c r="AY52" s="103">
        <v>1.8635205116345681</v>
      </c>
      <c r="AZ52" s="103">
        <v>1.8706542581490653</v>
      </c>
      <c r="BA52" s="103">
        <v>1.7582051585166167</v>
      </c>
      <c r="BB52" s="103">
        <v>1.6166511820383263</v>
      </c>
      <c r="BC52" s="103">
        <v>1.684712775269968</v>
      </c>
      <c r="BD52" s="103">
        <v>1.684712775269968</v>
      </c>
      <c r="BE52" s="103">
        <v>1.684712775269968</v>
      </c>
      <c r="BF52" s="103">
        <v>1.6081856841076332</v>
      </c>
      <c r="BG52" s="103">
        <v>1.5514093049448305</v>
      </c>
      <c r="BH52" s="103">
        <v>1.5713861495419565</v>
      </c>
      <c r="BI52" s="103">
        <v>1.5120976089141314</v>
      </c>
      <c r="BJ52" s="103">
        <v>1.5122502622015606</v>
      </c>
      <c r="BK52" s="103">
        <v>1.3912600198066185</v>
      </c>
      <c r="BL52" s="103">
        <v>1.3911913750013671</v>
      </c>
      <c r="BM52" s="103">
        <v>1.7413760684725696</v>
      </c>
      <c r="BN52" s="103">
        <v>1.7210968491071308</v>
      </c>
      <c r="BO52" s="103">
        <v>1.720930000633814</v>
      </c>
      <c r="BP52" s="103">
        <v>1.7183733102189191</v>
      </c>
      <c r="BQ52" s="103">
        <v>1.7173615643809532</v>
      </c>
      <c r="BR52" s="103">
        <v>1.7146562283785063</v>
      </c>
      <c r="BS52" s="103">
        <v>1.7823301771431568</v>
      </c>
      <c r="BT52" s="103">
        <v>1.7947514578184449</v>
      </c>
      <c r="BU52" s="103">
        <v>1.7946035055408409</v>
      </c>
      <c r="BV52" s="103">
        <v>1.7949057930752137</v>
      </c>
      <c r="BW52" s="103">
        <v>1.7927084425765258</v>
      </c>
      <c r="BX52" s="103">
        <v>1.9032452932521833</v>
      </c>
      <c r="BY52" s="103">
        <v>1.9013634306743976</v>
      </c>
      <c r="BZ52" s="103">
        <v>1.9493754823685741</v>
      </c>
      <c r="CA52" s="103">
        <v>1.9496289706518208</v>
      </c>
      <c r="CB52" s="103">
        <v>1.9476538871303055</v>
      </c>
      <c r="CC52" s="103">
        <v>1.9478217185438942</v>
      </c>
      <c r="CD52" s="103">
        <v>1.7803982433025576</v>
      </c>
      <c r="CE52" s="103">
        <v>1.7789696982886942</v>
      </c>
      <c r="CF52" s="103">
        <v>1.7955309961841712</v>
      </c>
      <c r="CG52" s="103">
        <v>1.9001057808723303</v>
      </c>
      <c r="CH52" s="103">
        <v>1.9027779931673543</v>
      </c>
      <c r="CI52" s="103">
        <v>1.9012229461820396</v>
      </c>
      <c r="CJ52" s="103">
        <v>1.9009927864778593</v>
      </c>
      <c r="CK52" s="103">
        <v>1.9008789756383475</v>
      </c>
      <c r="CL52" s="103">
        <v>1.8162979103961678</v>
      </c>
      <c r="CM52" s="103">
        <v>1.8157616305604189</v>
      </c>
      <c r="CN52" s="103">
        <v>1.8155464384458178</v>
      </c>
      <c r="CO52" s="103">
        <v>1.8153324798090991</v>
      </c>
      <c r="CP52" s="103">
        <v>1.7880045948666741</v>
      </c>
      <c r="CQ52" s="103">
        <v>1.7879453363441524</v>
      </c>
      <c r="CR52" s="103">
        <v>1.7879385823326388</v>
      </c>
      <c r="CS52" s="103">
        <v>1.7881531132579782</v>
      </c>
      <c r="CT52" s="103">
        <v>1.7882581861207898</v>
      </c>
      <c r="CU52" s="103">
        <v>1.8972580056087505</v>
      </c>
      <c r="CV52" s="103">
        <v>1.8972016525474207</v>
      </c>
      <c r="CW52" s="151">
        <f>+D52-CV52</f>
        <v>-1.1268261339836272E-4</v>
      </c>
      <c r="CX52" s="242">
        <v>1.9790000000000001</v>
      </c>
      <c r="CY52" s="182">
        <f>+CX52+CW52</f>
        <v>1.9788873173866017</v>
      </c>
    </row>
    <row r="53" spans="1:103" ht="15.6">
      <c r="A53" s="116">
        <v>0.4</v>
      </c>
      <c r="B53" s="1" t="s">
        <v>115</v>
      </c>
      <c r="C53" s="103" t="s">
        <v>154</v>
      </c>
      <c r="D53" s="104">
        <f>+OXIDOS!F51*100</f>
        <v>0.42118684591627598</v>
      </c>
      <c r="F53" s="104">
        <v>9.9020994831935702E-2</v>
      </c>
      <c r="G53" s="104">
        <v>9.7632083767124123E-2</v>
      </c>
      <c r="H53" s="104">
        <v>9.7679034123735992E-2</v>
      </c>
      <c r="I53" s="104">
        <v>0.10115852742169759</v>
      </c>
      <c r="J53" s="104">
        <v>0.10135161989322965</v>
      </c>
      <c r="K53" s="104">
        <v>0.10111073826588932</v>
      </c>
      <c r="L53" s="104">
        <v>0.10111062048053679</v>
      </c>
      <c r="M53" s="104">
        <v>0.1011107321552055</v>
      </c>
      <c r="N53" s="104">
        <v>0.10108378412549085</v>
      </c>
      <c r="O53" s="104">
        <v>0.10111086819979372</v>
      </c>
      <c r="P53" s="104">
        <v>0.10474836522591635</v>
      </c>
      <c r="Q53" s="104">
        <v>9.8920426203184739E-2</v>
      </c>
      <c r="R53" s="104">
        <v>0.10063115281388477</v>
      </c>
      <c r="S53" s="104">
        <v>0.10316349751040288</v>
      </c>
      <c r="T53" s="104">
        <v>0.10330962351003201</v>
      </c>
      <c r="U53" s="104">
        <v>0.10330183429796884</v>
      </c>
      <c r="V53" s="104">
        <v>0.12066327289091516</v>
      </c>
      <c r="W53" s="173">
        <v>0.1206634838318035</v>
      </c>
      <c r="X53" s="173">
        <v>0.11697402195690856</v>
      </c>
      <c r="Y53" s="173">
        <v>0.11562618952290235</v>
      </c>
      <c r="Z53" s="173">
        <v>0.11562638734971965</v>
      </c>
      <c r="AA53" s="173">
        <v>0.11745998453851628</v>
      </c>
      <c r="AB53" s="173">
        <v>0.1174600761106733</v>
      </c>
      <c r="AC53" s="173">
        <v>0.11761626267994328</v>
      </c>
      <c r="AD53" s="173">
        <v>0.11761640086938142</v>
      </c>
      <c r="AE53" s="173">
        <v>0.11815349178559513</v>
      </c>
      <c r="AF53" s="104">
        <v>0.11824744165239462</v>
      </c>
      <c r="AG53" s="104">
        <v>0.11815349178559513</v>
      </c>
      <c r="AH53" s="104">
        <v>0.10729444518416167</v>
      </c>
      <c r="AI53" s="104">
        <v>0.10379209713765164</v>
      </c>
      <c r="AJ53" s="104">
        <v>9.8637810508258372E-2</v>
      </c>
      <c r="AK53" s="104">
        <v>9.7462260786360139E-2</v>
      </c>
      <c r="AL53" s="104">
        <v>9.0259018398866284E-2</v>
      </c>
      <c r="AM53" s="104">
        <v>9.0252056640572856E-2</v>
      </c>
      <c r="AN53" s="104">
        <v>0.10382886862669011</v>
      </c>
      <c r="AO53" s="104">
        <v>0.10382877676869248</v>
      </c>
      <c r="AP53" s="104">
        <v>0.10382863898220289</v>
      </c>
      <c r="AQ53" s="104">
        <v>0.1049237972980563</v>
      </c>
      <c r="AR53" s="104">
        <v>0.10492365461341549</v>
      </c>
      <c r="AS53" s="104">
        <v>0.1049237972980563</v>
      </c>
      <c r="AT53" s="104">
        <v>0.1049236070520088</v>
      </c>
      <c r="AU53" s="104">
        <v>0.12239418298696557</v>
      </c>
      <c r="AV53" s="104">
        <v>0.122394013097437</v>
      </c>
      <c r="AW53" s="104">
        <v>0.11567488232932444</v>
      </c>
      <c r="AX53" s="104">
        <v>0.11539582587276813</v>
      </c>
      <c r="AY53" s="104">
        <v>0.11837627330462928</v>
      </c>
      <c r="AZ53" s="104">
        <v>0.12736690905785614</v>
      </c>
      <c r="BA53" s="104">
        <v>0.12683398734458826</v>
      </c>
      <c r="BB53" s="104">
        <v>0.12106596635421635</v>
      </c>
      <c r="BC53" s="104">
        <v>0.12407242657387155</v>
      </c>
      <c r="BD53" s="104">
        <v>0.12407242657387155</v>
      </c>
      <c r="BE53" s="104">
        <v>0.12407242657387155</v>
      </c>
      <c r="BF53" s="104">
        <v>0.12353993045200708</v>
      </c>
      <c r="BG53" s="104">
        <v>0.11905654167493213</v>
      </c>
      <c r="BH53" s="104">
        <v>0.11896883667704269</v>
      </c>
      <c r="BI53" s="104">
        <v>0.10389847352475165</v>
      </c>
      <c r="BJ53" s="104">
        <v>0.10390733558697902</v>
      </c>
      <c r="BK53" s="104">
        <v>0.11814712119057232</v>
      </c>
      <c r="BL53" s="104">
        <v>0.11814171320813333</v>
      </c>
      <c r="BM53" s="104">
        <v>0.31747267330680257</v>
      </c>
      <c r="BN53" s="104">
        <v>0.3144499385562386</v>
      </c>
      <c r="BO53" s="104">
        <v>0.31441921620136193</v>
      </c>
      <c r="BP53" s="104">
        <v>0.28313972408568744</v>
      </c>
      <c r="BQ53" s="104">
        <v>0.31376225731802687</v>
      </c>
      <c r="BR53" s="104">
        <v>0.4053864048226668</v>
      </c>
      <c r="BS53" s="104">
        <v>0.42935860913360857</v>
      </c>
      <c r="BT53" s="104">
        <v>0.42699077908223598</v>
      </c>
      <c r="BU53" s="104">
        <v>0.42695380214901602</v>
      </c>
      <c r="BV53" s="104">
        <v>0.40972163197640987</v>
      </c>
      <c r="BW53" s="104">
        <v>0.40062387552803597</v>
      </c>
      <c r="BX53" s="104">
        <v>0.41282419385339619</v>
      </c>
      <c r="BY53" s="104">
        <v>0.4125525705241066</v>
      </c>
      <c r="BZ53" s="104">
        <v>0.40101548291747541</v>
      </c>
      <c r="CA53" s="104">
        <v>0.3924808776346671</v>
      </c>
      <c r="CB53" s="104">
        <v>0.3921413392309796</v>
      </c>
      <c r="CC53" s="104">
        <v>0.39217223022968062</v>
      </c>
      <c r="CD53" s="104">
        <v>0.40662303107162256</v>
      </c>
      <c r="CE53" s="104">
        <v>0.40633885593473595</v>
      </c>
      <c r="CF53" s="104">
        <v>0.41327938926576346</v>
      </c>
      <c r="CG53" s="104">
        <v>0.42567904141085389</v>
      </c>
      <c r="CH53" s="104">
        <v>0.43088164218292468</v>
      </c>
      <c r="CI53" s="104">
        <v>0.43059122186428178</v>
      </c>
      <c r="CJ53" s="104">
        <v>0.43054469413341728</v>
      </c>
      <c r="CK53" s="104">
        <v>0.43668843340496954</v>
      </c>
      <c r="CL53" s="104">
        <v>0.39237304453972721</v>
      </c>
      <c r="CM53" s="104">
        <v>0.39839337313942608</v>
      </c>
      <c r="CN53" s="104">
        <v>0.41060899885969537</v>
      </c>
      <c r="CO53" s="104">
        <v>0.41055889654852129</v>
      </c>
      <c r="CP53" s="104">
        <v>0.41246836961563066</v>
      </c>
      <c r="CQ53" s="104">
        <v>0.41245447655452244</v>
      </c>
      <c r="CR53" s="104">
        <v>0.41245291849666305</v>
      </c>
      <c r="CS53" s="104">
        <v>0.40024165989539151</v>
      </c>
      <c r="CT53" s="104">
        <v>0.40026463945486912</v>
      </c>
      <c r="CU53" s="104">
        <v>0.42122382786567314</v>
      </c>
      <c r="CV53" s="104">
        <v>0.42121149883474041</v>
      </c>
      <c r="CW53" s="151">
        <f>+D53-CV53</f>
        <v>-2.4652918464429519E-5</v>
      </c>
      <c r="CX53" s="241">
        <v>0.42599999999999999</v>
      </c>
      <c r="CY53" s="237">
        <f t="shared" ref="CY53:CY60" si="4">+CX53+CW53</f>
        <v>0.42597534708153556</v>
      </c>
    </row>
    <row r="54" spans="1:103" ht="15.6">
      <c r="A54" s="116">
        <v>11.1</v>
      </c>
      <c r="B54" s="1" t="s">
        <v>115</v>
      </c>
      <c r="C54" s="103" t="s">
        <v>155</v>
      </c>
      <c r="D54" s="103">
        <f>+OXIDOS!H51*100</f>
        <v>10.923670192822906</v>
      </c>
      <c r="F54" s="103">
        <v>11.191597108865567</v>
      </c>
      <c r="G54" s="103">
        <v>11.154795162773713</v>
      </c>
      <c r="H54" s="103">
        <v>11.160144827561524</v>
      </c>
      <c r="I54" s="103">
        <v>11.142535397908921</v>
      </c>
      <c r="J54" s="103">
        <v>11.188413806273752</v>
      </c>
      <c r="K54" s="103">
        <v>11.160989298312121</v>
      </c>
      <c r="L54" s="103">
        <v>11.1609759077205</v>
      </c>
      <c r="M54" s="103">
        <v>11.160988556723336</v>
      </c>
      <c r="N54" s="103">
        <v>11.157933483484044</v>
      </c>
      <c r="O54" s="103">
        <v>11.161003976254159</v>
      </c>
      <c r="P54" s="103">
        <v>11.121316386303201</v>
      </c>
      <c r="Q54" s="103">
        <v>11.166605159399342</v>
      </c>
      <c r="R54" s="103">
        <v>11.117630932548824</v>
      </c>
      <c r="S54" s="103">
        <v>11.141306160711689</v>
      </c>
      <c r="T54" s="103">
        <v>10.969823750087363</v>
      </c>
      <c r="U54" s="103">
        <v>10.968985460454068</v>
      </c>
      <c r="V54" s="103">
        <v>10.968884659781921</v>
      </c>
      <c r="W54" s="172">
        <v>10.968901828129123</v>
      </c>
      <c r="X54" s="172">
        <v>11.023405421144123</v>
      </c>
      <c r="Y54" s="172">
        <v>11.058726928858654</v>
      </c>
      <c r="Z54" s="172">
        <v>11.058744522958129</v>
      </c>
      <c r="AA54" s="172">
        <v>10.89748832126193</v>
      </c>
      <c r="AB54" s="172">
        <v>10.897497101955622</v>
      </c>
      <c r="AC54" s="172">
        <v>10.912845413899378</v>
      </c>
      <c r="AD54" s="172">
        <v>10.91285866547992</v>
      </c>
      <c r="AE54" s="172">
        <v>10.921035235387468</v>
      </c>
      <c r="AF54" s="103">
        <v>10.930285129462769</v>
      </c>
      <c r="AG54" s="103">
        <v>10.921035235387468</v>
      </c>
      <c r="AH54" s="103">
        <v>10.931125842398918</v>
      </c>
      <c r="AI54" s="103">
        <v>10.925075205822866</v>
      </c>
      <c r="AJ54" s="103">
        <v>10.863995118734248</v>
      </c>
      <c r="AK54" s="103">
        <v>10.896252764240485</v>
      </c>
      <c r="AL54" s="103">
        <v>10.915357206852999</v>
      </c>
      <c r="AM54" s="103">
        <v>10.914538210002018</v>
      </c>
      <c r="AN54" s="103">
        <v>10.938913045210844</v>
      </c>
      <c r="AO54" s="103">
        <v>10.938904550773822</v>
      </c>
      <c r="AP54" s="103">
        <v>10.938891809165156</v>
      </c>
      <c r="AQ54" s="103">
        <v>10.937071938245571</v>
      </c>
      <c r="AR54" s="103">
        <v>10.937057701860946</v>
      </c>
      <c r="AS54" s="103">
        <v>10.937071938245571</v>
      </c>
      <c r="AT54" s="103">
        <v>10.937052956413396</v>
      </c>
      <c r="AU54" s="103">
        <v>10.995375034878371</v>
      </c>
      <c r="AV54" s="103">
        <v>10.995360884239542</v>
      </c>
      <c r="AW54" s="103">
        <v>11.104519039270597</v>
      </c>
      <c r="AX54" s="103">
        <v>11.140987928792185</v>
      </c>
      <c r="AY54" s="103">
        <v>11.026258050798482</v>
      </c>
      <c r="AZ54" s="103">
        <v>11.036045986769036</v>
      </c>
      <c r="BA54" s="103">
        <v>11.013497697831633</v>
      </c>
      <c r="BB54" s="103">
        <v>11.012072566125287</v>
      </c>
      <c r="BC54" s="103">
        <v>11.022650755344312</v>
      </c>
      <c r="BD54" s="103">
        <v>11.022650755344312</v>
      </c>
      <c r="BE54" s="103">
        <v>11.022650755344312</v>
      </c>
      <c r="BF54" s="103">
        <v>11.012453772453187</v>
      </c>
      <c r="BG54" s="103">
        <v>10.939654716157412</v>
      </c>
      <c r="BH54" s="103">
        <v>10.932394173771169</v>
      </c>
      <c r="BI54" s="103">
        <v>11.150444940653765</v>
      </c>
      <c r="BJ54" s="103">
        <v>11.151386140903998</v>
      </c>
      <c r="BK54" s="103">
        <v>11.095356961787244</v>
      </c>
      <c r="BL54" s="103">
        <v>11.09489098024634</v>
      </c>
      <c r="BM54" s="103">
        <v>10.694877056484515</v>
      </c>
      <c r="BN54" s="103">
        <v>10.739917072890826</v>
      </c>
      <c r="BO54" s="103">
        <v>10.738795773292239</v>
      </c>
      <c r="BP54" s="103">
        <v>10.721642432764693</v>
      </c>
      <c r="BQ54" s="103">
        <v>10.714850809499607</v>
      </c>
      <c r="BR54" s="103">
        <v>10.696698180591694</v>
      </c>
      <c r="BS54" s="103">
        <v>10.762085208102263</v>
      </c>
      <c r="BT54" s="103">
        <v>10.673445043145131</v>
      </c>
      <c r="BU54" s="103">
        <v>10.67251089978615</v>
      </c>
      <c r="BV54" s="103">
        <v>10.674417162282658</v>
      </c>
      <c r="BW54" s="103">
        <v>10.747707821075442</v>
      </c>
      <c r="BX54" s="103">
        <v>10.744265646714727</v>
      </c>
      <c r="BY54" s="103">
        <v>10.821466721525717</v>
      </c>
      <c r="BZ54" s="103">
        <v>10.942692633555541</v>
      </c>
      <c r="CA54" s="103">
        <v>10.94416507750128</v>
      </c>
      <c r="CB54" s="103">
        <v>10.932419380865834</v>
      </c>
      <c r="CC54" s="103">
        <v>10.933394336137695</v>
      </c>
      <c r="CD54" s="103">
        <v>10.973514477732978</v>
      </c>
      <c r="CE54" s="103">
        <v>10.962893325782323</v>
      </c>
      <c r="CF54" s="103">
        <v>10.928683633014892</v>
      </c>
      <c r="CG54" s="103">
        <v>10.930832885674503</v>
      </c>
      <c r="CH54" s="103">
        <v>10.94557847686924</v>
      </c>
      <c r="CI54" s="103">
        <v>10.935652410734569</v>
      </c>
      <c r="CJ54" s="103">
        <v>10.934239576811871</v>
      </c>
      <c r="CK54" s="103">
        <v>10.933540477927107</v>
      </c>
      <c r="CL54" s="103">
        <v>11.122003937090815</v>
      </c>
      <c r="CM54" s="103">
        <v>11.118501120575271</v>
      </c>
      <c r="CN54" s="103">
        <v>11.11709591494656</v>
      </c>
      <c r="CO54" s="103">
        <v>11.115698311308206</v>
      </c>
      <c r="CP54" s="103">
        <v>11.06908821183646</v>
      </c>
      <c r="CQ54" s="103">
        <v>11.068702555354024</v>
      </c>
      <c r="CR54" s="103">
        <v>11.068660743032932</v>
      </c>
      <c r="CS54" s="103">
        <v>11.070064073056555</v>
      </c>
      <c r="CT54" s="103">
        <v>11.070752179949762</v>
      </c>
      <c r="CU54" s="103">
        <v>10.924700531190894</v>
      </c>
      <c r="CV54" s="103">
        <v>10.92435703730219</v>
      </c>
      <c r="CW54" s="180">
        <f>+D54-CV54</f>
        <v>-6.8684447928468728E-4</v>
      </c>
      <c r="CX54" s="241">
        <v>11.05</v>
      </c>
      <c r="CY54" s="221">
        <f t="shared" si="4"/>
        <v>11.049313155520716</v>
      </c>
    </row>
    <row r="55" spans="1:103" ht="14.45">
      <c r="A55" s="1"/>
      <c r="B55" s="1" t="s">
        <v>115</v>
      </c>
      <c r="C55" s="1" t="s">
        <v>156</v>
      </c>
      <c r="D55" s="1">
        <f>+OXIDOS!I51*100</f>
        <v>0.49406128253406012</v>
      </c>
      <c r="F55" s="1">
        <v>0.23015397090398498</v>
      </c>
      <c r="G55" s="1">
        <v>0.20845311150806792</v>
      </c>
      <c r="H55" s="1">
        <v>0.20851974197204415</v>
      </c>
      <c r="I55" s="1">
        <v>0.20493281113392964</v>
      </c>
      <c r="J55" s="1">
        <v>0.20651474225776975</v>
      </c>
      <c r="K55" s="1">
        <v>0.20619949151336955</v>
      </c>
      <c r="L55" s="1">
        <v>0.20619933328815959</v>
      </c>
      <c r="M55" s="1">
        <v>0.2061994931860173</v>
      </c>
      <c r="N55" s="1">
        <v>0.20616149085027918</v>
      </c>
      <c r="O55" s="1">
        <v>0.20619968582088877</v>
      </c>
      <c r="P55" s="1">
        <v>0.24673795772277152</v>
      </c>
      <c r="Q55" s="1">
        <v>0.15846821434164576</v>
      </c>
      <c r="R55" s="1">
        <v>0.15207645816059243</v>
      </c>
      <c r="S55" s="1">
        <v>0.1442435120704634</v>
      </c>
      <c r="T55" s="1">
        <v>0.14256776104754865</v>
      </c>
      <c r="U55" s="1">
        <v>0.1425581434657289</v>
      </c>
      <c r="V55" s="1">
        <v>0.14404067932564588</v>
      </c>
      <c r="W55" s="152">
        <v>0.14404088092791112</v>
      </c>
      <c r="X55" s="152">
        <v>0.14756569855134219</v>
      </c>
      <c r="Y55" s="152">
        <v>0.14777154206055126</v>
      </c>
      <c r="Z55" s="152">
        <v>0.14777175665605316</v>
      </c>
      <c r="AA55" s="152">
        <v>0.12078219686450899</v>
      </c>
      <c r="AB55" s="152">
        <v>0.12078229546001269</v>
      </c>
      <c r="AC55" s="152">
        <v>0.12095624598613347</v>
      </c>
      <c r="AD55" s="152">
        <v>0.12095639478737057</v>
      </c>
      <c r="AE55" s="152">
        <v>0.12086069758872511</v>
      </c>
      <c r="AF55" s="1">
        <v>0.1209656055406126</v>
      </c>
      <c r="AG55" s="1">
        <v>0.12086069758872511</v>
      </c>
      <c r="AH55" s="1">
        <v>0.124613088673421</v>
      </c>
      <c r="AI55" s="1">
        <v>0.12466559154732795</v>
      </c>
      <c r="AJ55" s="1">
        <v>0.15129375327099057</v>
      </c>
      <c r="AK55" s="1">
        <v>0.11913855512075318</v>
      </c>
      <c r="AL55" s="1">
        <v>0.16684646972627465</v>
      </c>
      <c r="AM55" s="1">
        <v>0.16683627732080764</v>
      </c>
      <c r="AN55" s="1">
        <v>0.16410377556554576</v>
      </c>
      <c r="AO55" s="1">
        <v>0.16410367409865548</v>
      </c>
      <c r="AP55" s="1">
        <v>0.16410352189887997</v>
      </c>
      <c r="AQ55" s="1">
        <v>0.23553362740854736</v>
      </c>
      <c r="AR55" s="1">
        <v>0.23553344260930459</v>
      </c>
      <c r="AS55" s="1">
        <v>0.23553362740854736</v>
      </c>
      <c r="AT55" s="1">
        <v>0.23553338100973867</v>
      </c>
      <c r="AU55" s="1">
        <v>0.15750731798701764</v>
      </c>
      <c r="AV55" s="1">
        <v>0.15750714036165656</v>
      </c>
      <c r="AW55" s="1">
        <v>0.16853009324780086</v>
      </c>
      <c r="AX55" s="1">
        <v>0.16744685865775566</v>
      </c>
      <c r="AY55" s="1">
        <v>0.17042342745687702</v>
      </c>
      <c r="AZ55" s="1">
        <v>0.17924923164624398</v>
      </c>
      <c r="BA55" s="1">
        <v>0.17620588237475521</v>
      </c>
      <c r="BB55" s="1">
        <v>0.17618830840758595</v>
      </c>
      <c r="BC55" s="1">
        <v>0.18367741967363349</v>
      </c>
      <c r="BD55" s="1">
        <v>0.18367741967363349</v>
      </c>
      <c r="BE55" s="1">
        <v>0.18367741967363349</v>
      </c>
      <c r="BF55" s="1">
        <v>0.19790973724971794</v>
      </c>
      <c r="BG55" s="1">
        <v>0.20157970830734753</v>
      </c>
      <c r="BH55" s="1">
        <v>0.20060911501840814</v>
      </c>
      <c r="BI55" s="1">
        <v>0.13360268347540602</v>
      </c>
      <c r="BJ55" s="1">
        <v>0.13361283780042466</v>
      </c>
      <c r="BK55" s="1">
        <v>0.11402395723602696</v>
      </c>
      <c r="BL55" s="1">
        <v>0.11401915704068667</v>
      </c>
      <c r="BM55" s="1">
        <v>0.46934237409382729</v>
      </c>
      <c r="BN55" s="1">
        <v>0.39001454962591564</v>
      </c>
      <c r="BO55" s="1">
        <v>0.38999946782686723</v>
      </c>
      <c r="BP55" s="1">
        <v>0.38976019183149524</v>
      </c>
      <c r="BQ55" s="1">
        <v>0.38966653124059331</v>
      </c>
      <c r="BR55" s="1">
        <v>0.38941390978678903</v>
      </c>
      <c r="BS55" s="1">
        <v>0.50864053288493982</v>
      </c>
      <c r="BT55" s="1">
        <v>0.62316193855139468</v>
      </c>
      <c r="BU55" s="1">
        <v>0.62314736908660895</v>
      </c>
      <c r="BV55" s="1">
        <v>0.62317871342565168</v>
      </c>
      <c r="BW55" s="1">
        <v>0.62427698173502322</v>
      </c>
      <c r="BX55" s="1">
        <v>0.54326832301630612</v>
      </c>
      <c r="BY55" s="1">
        <v>0.54422176740538908</v>
      </c>
      <c r="BZ55" s="1">
        <v>0.41051330739853792</v>
      </c>
      <c r="CA55" s="1">
        <v>0.41053347262449402</v>
      </c>
      <c r="CB55" s="1">
        <v>0.41055951554142561</v>
      </c>
      <c r="CC55" s="1">
        <v>0.41057282065553885</v>
      </c>
      <c r="CD55" s="1">
        <v>0.38291724807554772</v>
      </c>
      <c r="CE55" s="1">
        <v>0.38289569136854962</v>
      </c>
      <c r="CF55" s="1">
        <v>0.40789407420801832</v>
      </c>
      <c r="CG55" s="1">
        <v>0.39809855093096935</v>
      </c>
      <c r="CH55" s="1">
        <v>0.42476595161857661</v>
      </c>
      <c r="CI55" s="1">
        <v>0.4247652078093988</v>
      </c>
      <c r="CJ55" s="1">
        <v>0.42474521161414114</v>
      </c>
      <c r="CK55" s="1">
        <v>0.42473549038211145</v>
      </c>
      <c r="CL55" s="1">
        <v>0.49242095205917952</v>
      </c>
      <c r="CM55" s="1">
        <v>0.49236780729681273</v>
      </c>
      <c r="CN55" s="1">
        <v>0.49234632874008821</v>
      </c>
      <c r="CO55" s="1">
        <v>0.49232516401018067</v>
      </c>
      <c r="CP55" s="1">
        <v>0.56939141879565347</v>
      </c>
      <c r="CQ55" s="1">
        <v>0.56938390262042815</v>
      </c>
      <c r="CR55" s="1">
        <v>0.56938175175744843</v>
      </c>
      <c r="CS55" s="1">
        <v>0.56940464092028309</v>
      </c>
      <c r="CT55" s="1">
        <v>0.56941537777456919</v>
      </c>
      <c r="CU55" s="1">
        <v>0.49407557654449274</v>
      </c>
      <c r="CV55" s="1">
        <v>0.49407081121168445</v>
      </c>
      <c r="CW55" s="151"/>
      <c r="CX55" s="1"/>
      <c r="CY55" s="182"/>
    </row>
    <row r="56" spans="1:103" ht="15.6">
      <c r="A56" s="116">
        <v>13.5</v>
      </c>
      <c r="B56" s="1" t="s">
        <v>115</v>
      </c>
      <c r="C56" s="103" t="s">
        <v>157</v>
      </c>
      <c r="D56" s="103">
        <f>+OXIDOS!K51*100</f>
        <v>14.053869356197849</v>
      </c>
      <c r="F56" s="103">
        <v>13.570965754312192</v>
      </c>
      <c r="G56" s="103">
        <v>13.588659686754317</v>
      </c>
      <c r="H56" s="103">
        <v>13.574990989513342</v>
      </c>
      <c r="I56" s="103">
        <v>13.478035724696969</v>
      </c>
      <c r="J56" s="103">
        <v>13.389635853611892</v>
      </c>
      <c r="K56" s="103">
        <v>13.492745240333621</v>
      </c>
      <c r="L56" s="103">
        <v>13.492729321546998</v>
      </c>
      <c r="M56" s="103">
        <v>13.492744390255131</v>
      </c>
      <c r="N56" s="103">
        <v>13.501206364141593</v>
      </c>
      <c r="O56" s="103">
        <v>13.492762752577686</v>
      </c>
      <c r="P56" s="103">
        <v>13.588750387024293</v>
      </c>
      <c r="Q56" s="103">
        <v>13.383808717172647</v>
      </c>
      <c r="R56" s="103">
        <v>13.337654881701837</v>
      </c>
      <c r="S56" s="103">
        <v>13.573401198671139</v>
      </c>
      <c r="T56" s="103">
        <v>13.401411451570656</v>
      </c>
      <c r="U56" s="103">
        <v>13.403873091913423</v>
      </c>
      <c r="V56" s="103">
        <v>13.414677467700905</v>
      </c>
      <c r="W56" s="172">
        <v>13.414698329598421</v>
      </c>
      <c r="X56" s="172">
        <v>13.491115043962745</v>
      </c>
      <c r="Y56" s="172">
        <v>13.763139650206233</v>
      </c>
      <c r="Z56" s="172">
        <v>13.763161744298086</v>
      </c>
      <c r="AA56" s="172">
        <v>13.88548880382422</v>
      </c>
      <c r="AB56" s="172">
        <v>13.88550018763333</v>
      </c>
      <c r="AC56" s="172">
        <v>13.762963951804741</v>
      </c>
      <c r="AD56" s="172">
        <v>13.762980811164436</v>
      </c>
      <c r="AE56" s="172">
        <v>13.759062745371144</v>
      </c>
      <c r="AF56" s="103">
        <v>13.685080292436233</v>
      </c>
      <c r="AG56" s="103">
        <v>13.759062745371144</v>
      </c>
      <c r="AH56" s="103">
        <v>13.754950810756364</v>
      </c>
      <c r="AI56" s="103">
        <v>13.820770680456793</v>
      </c>
      <c r="AJ56" s="103">
        <v>13.892796325635025</v>
      </c>
      <c r="AK56" s="103">
        <v>13.900708684687805</v>
      </c>
      <c r="AL56" s="103">
        <v>13.935604106108798</v>
      </c>
      <c r="AM56" s="103">
        <v>13.937927845244428</v>
      </c>
      <c r="AN56" s="103">
        <v>13.938477606582797</v>
      </c>
      <c r="AO56" s="103">
        <v>13.938466383379797</v>
      </c>
      <c r="AP56" s="103">
        <v>13.938449548637216</v>
      </c>
      <c r="AQ56" s="103">
        <v>13.719742416451036</v>
      </c>
      <c r="AR56" s="103">
        <v>13.719724545591378</v>
      </c>
      <c r="AS56" s="103">
        <v>13.719742416451036</v>
      </c>
      <c r="AT56" s="103">
        <v>13.719718588655727</v>
      </c>
      <c r="AU56" s="103">
        <v>13.706112109898294</v>
      </c>
      <c r="AV56" s="103">
        <v>13.706094316649226</v>
      </c>
      <c r="AW56" s="103">
        <v>13.798306260306697</v>
      </c>
      <c r="AX56" s="103">
        <v>13.831875811727567</v>
      </c>
      <c r="AY56" s="103">
        <v>13.570406481955599</v>
      </c>
      <c r="AZ56" s="103">
        <v>13.67489791709021</v>
      </c>
      <c r="BA56" s="103">
        <v>13.844970726754507</v>
      </c>
      <c r="BB56" s="103">
        <v>13.843155644395356</v>
      </c>
      <c r="BC56" s="103">
        <v>13.764092223713998</v>
      </c>
      <c r="BD56" s="103">
        <v>13.764092223713998</v>
      </c>
      <c r="BE56" s="103">
        <v>13.764092223713998</v>
      </c>
      <c r="BF56" s="103">
        <v>13.743942957949063</v>
      </c>
      <c r="BG56" s="103">
        <v>13.659511550582277</v>
      </c>
      <c r="BH56" s="103">
        <v>13.706686940732983</v>
      </c>
      <c r="BI56" s="103">
        <v>13.806106362330608</v>
      </c>
      <c r="BJ56" s="103">
        <v>13.807293449477104</v>
      </c>
      <c r="BK56" s="103">
        <v>13.759861086575825</v>
      </c>
      <c r="BL56" s="103">
        <v>13.759269331746971</v>
      </c>
      <c r="BM56" s="103">
        <v>13.662170190762952</v>
      </c>
      <c r="BN56" s="103">
        <v>13.681724828590935</v>
      </c>
      <c r="BO56" s="103">
        <v>13.680344486421106</v>
      </c>
      <c r="BP56" s="103">
        <v>13.718109860145718</v>
      </c>
      <c r="BQ56" s="103">
        <v>13.714218570282846</v>
      </c>
      <c r="BR56" s="103">
        <v>13.714282923971806</v>
      </c>
      <c r="BS56" s="103">
        <v>13.715462509301412</v>
      </c>
      <c r="BT56" s="103">
        <v>13.710254386110268</v>
      </c>
      <c r="BU56" s="103">
        <v>13.709090741982763</v>
      </c>
      <c r="BV56" s="103">
        <v>13.711466800193664</v>
      </c>
      <c r="BW56" s="103">
        <v>13.783167488069726</v>
      </c>
      <c r="BX56" s="103">
        <v>13.779068800218825</v>
      </c>
      <c r="BY56" s="103">
        <v>13.804464164504331</v>
      </c>
      <c r="BZ56" s="103">
        <v>13.819700275433727</v>
      </c>
      <c r="CA56" s="103">
        <v>13.817735706909984</v>
      </c>
      <c r="CB56" s="103">
        <v>13.905339880633063</v>
      </c>
      <c r="CC56" s="103">
        <v>13.902781952557275</v>
      </c>
      <c r="CD56" s="103">
        <v>13.768652719260627</v>
      </c>
      <c r="CE56" s="103">
        <v>13.84793743969048</v>
      </c>
      <c r="CF56" s="103">
        <v>13.803286600377012</v>
      </c>
      <c r="CG56" s="103">
        <v>13.806002602304842</v>
      </c>
      <c r="CH56" s="103">
        <v>13.812982264495609</v>
      </c>
      <c r="CI56" s="103">
        <v>13.873880715237691</v>
      </c>
      <c r="CJ56" s="103">
        <v>13.877518514499565</v>
      </c>
      <c r="CK56" s="103">
        <v>13.876625014793827</v>
      </c>
      <c r="CL56" s="103">
        <v>14.017979289641255</v>
      </c>
      <c r="CM56" s="103">
        <v>14.018925456469509</v>
      </c>
      <c r="CN56" s="103">
        <v>14.017132754217251</v>
      </c>
      <c r="CO56" s="103">
        <v>14.018053793165164</v>
      </c>
      <c r="CP56" s="103">
        <v>14.018067878067001</v>
      </c>
      <c r="CQ56" s="103">
        <v>14.022983632650648</v>
      </c>
      <c r="CR56" s="103">
        <v>14.028338537871035</v>
      </c>
      <c r="CS56" s="103">
        <v>14.030133742819384</v>
      </c>
      <c r="CT56" s="103">
        <v>14.031014165305169</v>
      </c>
      <c r="CU56" s="103">
        <v>14.055190589858993</v>
      </c>
      <c r="CV56" s="103">
        <v>14.05475011738679</v>
      </c>
      <c r="CW56" s="151">
        <f>+D56-CV56</f>
        <v>-8.8076118894164779E-4</v>
      </c>
      <c r="CX56" s="240">
        <v>13.553000000000001</v>
      </c>
      <c r="CY56" s="182">
        <f t="shared" si="4"/>
        <v>13.552119238811059</v>
      </c>
    </row>
    <row r="57" spans="1:103" ht="14.45">
      <c r="A57" s="1"/>
      <c r="B57" s="1" t="s">
        <v>115</v>
      </c>
      <c r="C57" s="1" t="s">
        <v>158</v>
      </c>
      <c r="D57" s="1">
        <f>+OXIDOS!L51*100</f>
        <v>0.34579113136763368</v>
      </c>
      <c r="F57" s="1">
        <v>0.42398215253402405</v>
      </c>
      <c r="G57" s="1">
        <v>0.34319428764274779</v>
      </c>
      <c r="H57" s="1">
        <v>0.34336688956515332</v>
      </c>
      <c r="I57" s="1">
        <v>0.32943982822346468</v>
      </c>
      <c r="J57" s="1">
        <v>0.34526234342265427</v>
      </c>
      <c r="K57" s="1">
        <v>0.34437118055368743</v>
      </c>
      <c r="L57" s="1">
        <v>0.34437074643459076</v>
      </c>
      <c r="M57" s="1">
        <v>0.3443711540593169</v>
      </c>
      <c r="N57" s="1">
        <v>0.34427255670222018</v>
      </c>
      <c r="O57" s="1">
        <v>0.34437165150374616</v>
      </c>
      <c r="P57" s="1">
        <v>0.45776458947358911</v>
      </c>
      <c r="Q57" s="1">
        <v>0.3511563605444798</v>
      </c>
      <c r="R57" s="1">
        <v>0.34631126707124832</v>
      </c>
      <c r="S57" s="1">
        <v>0.22956801973471136</v>
      </c>
      <c r="T57" s="1">
        <v>0.22979828504115929</v>
      </c>
      <c r="U57" s="1">
        <v>0.22978488013567647</v>
      </c>
      <c r="V57" s="1">
        <v>0.23050025629694371</v>
      </c>
      <c r="W57" s="152">
        <v>0.23050053373602669</v>
      </c>
      <c r="X57" s="152">
        <v>0.20717507599709492</v>
      </c>
      <c r="Y57" s="152">
        <v>0.18995686065360959</v>
      </c>
      <c r="Z57" s="152">
        <v>0.18995701951843125</v>
      </c>
      <c r="AA57" s="152">
        <v>9.9395039227755111E-2</v>
      </c>
      <c r="AB57" s="152">
        <v>9.9395105824865548E-2</v>
      </c>
      <c r="AC57" s="152">
        <v>9.9494482780239452E-2</v>
      </c>
      <c r="AD57" s="152">
        <v>9.949458324840274E-2</v>
      </c>
      <c r="AE57" s="152">
        <v>0.10154098712499102</v>
      </c>
      <c r="AF57" s="1">
        <v>0.10160009485204485</v>
      </c>
      <c r="AG57" s="1">
        <v>0.10154098712499102</v>
      </c>
      <c r="AH57" s="1">
        <v>0.32881751627192202</v>
      </c>
      <c r="AI57" s="1">
        <v>0.30717767956117842</v>
      </c>
      <c r="AJ57" s="1">
        <v>0.3427633478073942</v>
      </c>
      <c r="AK57" s="1">
        <v>0.52292936430960091</v>
      </c>
      <c r="AL57" s="1">
        <v>0.59265820381402734</v>
      </c>
      <c r="AM57" s="1">
        <v>0.59259505163335502</v>
      </c>
      <c r="AN57" s="1">
        <v>0.26223949847423406</v>
      </c>
      <c r="AO57" s="1">
        <v>0.26223933405043309</v>
      </c>
      <c r="AP57" s="1">
        <v>0.26223908741563901</v>
      </c>
      <c r="AQ57" s="1">
        <v>0.28855869556472263</v>
      </c>
      <c r="AR57" s="1">
        <v>0.28855834143314313</v>
      </c>
      <c r="AS57" s="1">
        <v>0.28855869556472263</v>
      </c>
      <c r="AT57" s="1">
        <v>0.28855822338963139</v>
      </c>
      <c r="AU57" s="1">
        <v>0.28758269502270445</v>
      </c>
      <c r="AV57" s="1">
        <v>0.2875823313514565</v>
      </c>
      <c r="AW57" s="1">
        <v>0.31484136295563309</v>
      </c>
      <c r="AX57" s="1">
        <v>0.27448865122620653</v>
      </c>
      <c r="AY57" s="1">
        <v>0.27713463259003335</v>
      </c>
      <c r="AZ57" s="1">
        <v>0.26511322752275224</v>
      </c>
      <c r="BA57" s="1">
        <v>0.18291933701489119</v>
      </c>
      <c r="BB57" s="1">
        <v>0.17592028384451855</v>
      </c>
      <c r="BC57" s="1">
        <v>0.17883307809893406</v>
      </c>
      <c r="BD57" s="1">
        <v>0.17883307809893406</v>
      </c>
      <c r="BE57" s="1">
        <v>0.17883307809893406</v>
      </c>
      <c r="BF57" s="1">
        <v>0.21328149703693441</v>
      </c>
      <c r="BG57" s="1">
        <v>0.2754884732691934</v>
      </c>
      <c r="BH57" s="1">
        <v>0.28836002561211449</v>
      </c>
      <c r="BI57" s="1">
        <v>0.18611183481894381</v>
      </c>
      <c r="BJ57" s="1">
        <v>0.18611894791012912</v>
      </c>
      <c r="BK57" s="1">
        <v>0.18839778018548456</v>
      </c>
      <c r="BL57" s="1">
        <v>0.18839316299967632</v>
      </c>
      <c r="BM57" s="1">
        <v>0.31840643574526228</v>
      </c>
      <c r="BN57" s="1">
        <v>0.26925955831827331</v>
      </c>
      <c r="BO57" s="1">
        <v>0.26924754351421326</v>
      </c>
      <c r="BP57" s="1">
        <v>0.26905837048890441</v>
      </c>
      <c r="BQ57" s="1">
        <v>0.26898414654733083</v>
      </c>
      <c r="BR57" s="1">
        <v>0.26878432588490475</v>
      </c>
      <c r="BS57" s="1">
        <v>0.28570483802129149</v>
      </c>
      <c r="BT57" s="1">
        <v>0.34136555324736373</v>
      </c>
      <c r="BU57" s="1">
        <v>0.34135521007805114</v>
      </c>
      <c r="BV57" s="1">
        <v>0.34137710522714648</v>
      </c>
      <c r="BW57" s="1">
        <v>0.34165561329399302</v>
      </c>
      <c r="BX57" s="1">
        <v>0.33300963231723557</v>
      </c>
      <c r="BY57" s="1">
        <v>0.33326612780669751</v>
      </c>
      <c r="BZ57" s="1">
        <v>0.26263423507432593</v>
      </c>
      <c r="CA57" s="1">
        <v>0.2626489771095088</v>
      </c>
      <c r="CB57" s="1">
        <v>0.26264114350308032</v>
      </c>
      <c r="CC57" s="1">
        <v>0.26265087712269397</v>
      </c>
      <c r="CD57" s="1">
        <v>0.31009777208313988</v>
      </c>
      <c r="CE57" s="1">
        <v>0.31010193546291193</v>
      </c>
      <c r="CF57" s="1">
        <v>0.33196867581438594</v>
      </c>
      <c r="CG57" s="1">
        <v>0.33168301000440137</v>
      </c>
      <c r="CH57" s="1">
        <v>0.35373836585436824</v>
      </c>
      <c r="CI57" s="1">
        <v>0.35374068576462608</v>
      </c>
      <c r="CJ57" s="1">
        <v>0.35372429955307527</v>
      </c>
      <c r="CK57" s="1">
        <v>0.35371633696209803</v>
      </c>
      <c r="CL57" s="1">
        <v>0.32166373421639116</v>
      </c>
      <c r="CM57" s="1">
        <v>0.32162628775166135</v>
      </c>
      <c r="CN57" s="1">
        <v>0.32161116610257601</v>
      </c>
      <c r="CO57" s="1">
        <v>0.3215962500636742</v>
      </c>
      <c r="CP57" s="1">
        <v>0.35987826107211895</v>
      </c>
      <c r="CQ57" s="1">
        <v>0.35987317256668394</v>
      </c>
      <c r="CR57" s="1">
        <v>0.35987181313611222</v>
      </c>
      <c r="CS57" s="1">
        <v>0.35988763220884717</v>
      </c>
      <c r="CT57" s="1">
        <v>0.35989509471575981</v>
      </c>
      <c r="CU57" s="1">
        <v>0.34580226826887905</v>
      </c>
      <c r="CV57" s="1">
        <v>0.34579855545216209</v>
      </c>
      <c r="CW57" s="151"/>
      <c r="CX57" s="1"/>
      <c r="CY57" s="182"/>
    </row>
    <row r="58" spans="1:103" ht="14.45">
      <c r="A58" s="1"/>
      <c r="B58" s="1" t="s">
        <v>115</v>
      </c>
      <c r="C58" s="1" t="s">
        <v>159</v>
      </c>
      <c r="D58" s="1">
        <f>+OXIDOS!G51*100</f>
        <v>1.9693604005300611E-2</v>
      </c>
      <c r="F58" s="1">
        <v>2.3705576926612583E-3</v>
      </c>
      <c r="G58" s="1">
        <v>1.8967677739389816E-3</v>
      </c>
      <c r="H58" s="1">
        <v>1.8968978157049632E-3</v>
      </c>
      <c r="I58" s="1">
        <v>1.3884621925271566E-3</v>
      </c>
      <c r="J58" s="1">
        <v>1.5597123843263654E-3</v>
      </c>
      <c r="K58" s="1">
        <v>1.559669120083218E-3</v>
      </c>
      <c r="L58" s="1">
        <v>1.559669013891044E-3</v>
      </c>
      <c r="M58" s="1">
        <v>1.5596693207706154E-3</v>
      </c>
      <c r="N58" s="1">
        <v>1.559607420261742E-3</v>
      </c>
      <c r="O58" s="1">
        <v>1.5596696496223649E-3</v>
      </c>
      <c r="P58" s="1">
        <v>2.3390486707839798E-3</v>
      </c>
      <c r="Q58" s="1">
        <v>1.9913115416480428E-3</v>
      </c>
      <c r="R58" s="1">
        <v>1.9910014584535317E-3</v>
      </c>
      <c r="S58" s="1">
        <v>1.9940439979172003E-3</v>
      </c>
      <c r="T58" s="1">
        <v>1.9896402647108158E-3</v>
      </c>
      <c r="U58" s="1">
        <v>1.9896183598378816E-3</v>
      </c>
      <c r="V58" s="1">
        <v>1.9895638454814264E-3</v>
      </c>
      <c r="W58" s="152">
        <v>1.9895643184131436E-3</v>
      </c>
      <c r="X58" s="152">
        <v>1.9902840307444059E-3</v>
      </c>
      <c r="Y58" s="152">
        <v>1.9941232741896016E-3</v>
      </c>
      <c r="Z58" s="152">
        <v>1.9941237650767303E-3</v>
      </c>
      <c r="AA58" s="152">
        <v>1.9970143588016712E-3</v>
      </c>
      <c r="AB58" s="152">
        <v>1.9970146095422843E-3</v>
      </c>
      <c r="AC58" s="152">
        <v>1.9957379592481332E-3</v>
      </c>
      <c r="AD58" s="152">
        <v>1.9957383337968156E-3</v>
      </c>
      <c r="AE58" s="152">
        <v>2.1957754880589267E-3</v>
      </c>
      <c r="AF58" s="1">
        <v>2.194927225629203E-3</v>
      </c>
      <c r="AG58" s="1">
        <v>2.1957754880589267E-3</v>
      </c>
      <c r="AH58" s="1">
        <v>1.6500715441914399E-3</v>
      </c>
      <c r="AI58" s="1">
        <v>1.6498634632472389E-3</v>
      </c>
      <c r="AJ58" s="1">
        <v>1.9246901487433522E-3</v>
      </c>
      <c r="AK58" s="1">
        <v>1.6259412641593547E-3</v>
      </c>
      <c r="AL58" s="1">
        <v>2.0004831640779847E-3</v>
      </c>
      <c r="AM58" s="1">
        <v>2.0004599848088751E-3</v>
      </c>
      <c r="AN58" s="1">
        <v>2.0019174396778178E-3</v>
      </c>
      <c r="AO58" s="1">
        <v>2.0019171861214843E-3</v>
      </c>
      <c r="AP58" s="1">
        <v>2.0019168057883834E-3</v>
      </c>
      <c r="AQ58" s="1">
        <v>1.3508987103838356E-3</v>
      </c>
      <c r="AR58" s="1">
        <v>1.3508984308869005E-3</v>
      </c>
      <c r="AS58" s="1">
        <v>1.3508987103838356E-3</v>
      </c>
      <c r="AT58" s="1">
        <v>1.3508983377215301E-3</v>
      </c>
      <c r="AU58" s="1">
        <v>1.799294285561352E-3</v>
      </c>
      <c r="AV58" s="1">
        <v>1.7992939151631059E-3</v>
      </c>
      <c r="AW58" s="1">
        <v>2.0249149749791118E-3</v>
      </c>
      <c r="AX58" s="1">
        <v>2.0260349030143286E-3</v>
      </c>
      <c r="AY58" s="1">
        <v>1.8007857165120806E-3</v>
      </c>
      <c r="AZ58" s="1">
        <v>1.5754075304379206E-3</v>
      </c>
      <c r="BA58" s="1">
        <v>1.5770417073983545E-3</v>
      </c>
      <c r="BB58" s="1">
        <v>1.5769535513380287E-3</v>
      </c>
      <c r="BC58" s="1">
        <v>1.5764957444502981E-3</v>
      </c>
      <c r="BD58" s="1">
        <v>1.5764957444502981E-3</v>
      </c>
      <c r="BE58" s="1">
        <v>1.5764957444502981E-3</v>
      </c>
      <c r="BF58" s="1">
        <v>1.3513852197294294E-3</v>
      </c>
      <c r="BG58" s="1">
        <v>1.3496949629707555E-3</v>
      </c>
      <c r="BH58" s="1">
        <v>1.3499689806397738E-3</v>
      </c>
      <c r="BI58" s="1">
        <v>6.014177309378192E-4</v>
      </c>
      <c r="BJ58" s="1">
        <v>6.0142423417087153E-4</v>
      </c>
      <c r="BK58" s="1">
        <v>4.5060126582977022E-4</v>
      </c>
      <c r="BL58" s="1">
        <v>4.5059886344662878E-4</v>
      </c>
      <c r="BM58" s="1">
        <v>9.0274245022332021E-4</v>
      </c>
      <c r="BN58" s="1">
        <v>7.0209482330346273E-4</v>
      </c>
      <c r="BO58" s="1">
        <v>7.0208584658686287E-4</v>
      </c>
      <c r="BP58" s="1">
        <v>7.0192704925380088E-4</v>
      </c>
      <c r="BQ58" s="1">
        <v>7.0186687882379433E-4</v>
      </c>
      <c r="BR58" s="1">
        <v>7.0170032054856532E-4</v>
      </c>
      <c r="BS58" s="1">
        <v>1.2972036028431076E-2</v>
      </c>
      <c r="BT58" s="1">
        <v>1.6673779616942965E-2</v>
      </c>
      <c r="BU58" s="1">
        <v>1.6673602671967012E-2</v>
      </c>
      <c r="BV58" s="1">
        <v>1.6674015508731228E-2</v>
      </c>
      <c r="BW58" s="1">
        <v>1.6690622201738881E-2</v>
      </c>
      <c r="BX58" s="1">
        <v>1.7141447136072782E-2</v>
      </c>
      <c r="BY58" s="1">
        <v>1.7154249427460813E-2</v>
      </c>
      <c r="BZ58" s="1">
        <v>1.1730001978854812E-2</v>
      </c>
      <c r="CA58" s="1">
        <v>1.1730243495125622E-2</v>
      </c>
      <c r="CB58" s="1">
        <v>1.1735440919902362E-2</v>
      </c>
      <c r="CC58" s="1">
        <v>1.1735599045773312E-2</v>
      </c>
      <c r="CD58" s="1">
        <v>1.6307249020873743E-2</v>
      </c>
      <c r="CE58" s="1">
        <v>1.6313790603123129E-2</v>
      </c>
      <c r="CF58" s="1">
        <v>1.7938126454421395E-2</v>
      </c>
      <c r="CG58" s="1">
        <v>1.7939994311291133E-2</v>
      </c>
      <c r="CH58" s="1">
        <v>1.957598451315774E-2</v>
      </c>
      <c r="CI58" s="1">
        <v>1.9581850830087455E-2</v>
      </c>
      <c r="CJ58" s="1">
        <v>1.9581463867308663E-2</v>
      </c>
      <c r="CK58" s="1">
        <v>1.9581283036298101E-2</v>
      </c>
      <c r="CL58" s="1">
        <v>1.4168380149395343E-2</v>
      </c>
      <c r="CM58" s="1">
        <v>1.4167740706394689E-2</v>
      </c>
      <c r="CN58" s="1">
        <v>1.4167478230821031E-2</v>
      </c>
      <c r="CO58" s="1">
        <v>1.4167224586428417E-2</v>
      </c>
      <c r="CP58" s="1">
        <v>1.5674391887298824E-2</v>
      </c>
      <c r="CQ58" s="1">
        <v>1.5674269945653265E-2</v>
      </c>
      <c r="CR58" s="1">
        <v>1.5674210735677697E-2</v>
      </c>
      <c r="CS58" s="1">
        <v>1.5674500901467173E-2</v>
      </c>
      <c r="CT58" s="1">
        <v>1.5674626430791899E-2</v>
      </c>
      <c r="CU58" s="1">
        <v>1.9693840565249782E-2</v>
      </c>
      <c r="CV58" s="1">
        <v>1.9693761700966574E-2</v>
      </c>
      <c r="CW58" s="151"/>
      <c r="CX58" s="1"/>
      <c r="CY58" s="182"/>
    </row>
    <row r="59" spans="1:103" ht="14.45">
      <c r="A59" s="1"/>
      <c r="B59" s="1" t="s">
        <v>115</v>
      </c>
      <c r="C59" s="1" t="s">
        <v>160</v>
      </c>
      <c r="D59" s="1">
        <f>+OXIDOS!Q51*100</f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51"/>
      <c r="CX59" s="1"/>
      <c r="CY59" s="182"/>
    </row>
    <row r="60" spans="1:103" ht="15.6">
      <c r="A60" s="117">
        <v>0.05</v>
      </c>
      <c r="B60" s="1" t="s">
        <v>115</v>
      </c>
      <c r="C60" s="103" t="s">
        <v>161</v>
      </c>
      <c r="D60" s="103">
        <f>+OXIDOS!M51*100</f>
        <v>9.5344377421997251E-2</v>
      </c>
      <c r="F60" s="103">
        <v>0.34758062232892506</v>
      </c>
      <c r="G60" s="103">
        <v>0.37254829857723382</v>
      </c>
      <c r="H60" s="103">
        <v>0.34683096974455385</v>
      </c>
      <c r="I60" s="103">
        <v>0.2387262698232803</v>
      </c>
      <c r="J60" s="103">
        <v>8.4034838976276463E-2</v>
      </c>
      <c r="K60" s="103">
        <v>0.18815250360203734</v>
      </c>
      <c r="L60" s="103">
        <v>0.18815228848395893</v>
      </c>
      <c r="M60" s="103">
        <v>0.1881524929315368</v>
      </c>
      <c r="N60" s="103">
        <v>0.20371558463256265</v>
      </c>
      <c r="O60" s="103">
        <v>0.18815274188728476</v>
      </c>
      <c r="P60" s="103">
        <v>0.18534145982149502</v>
      </c>
      <c r="Q60" s="103">
        <v>0.17159171516629618</v>
      </c>
      <c r="R60" s="103">
        <v>0.16366618561971677</v>
      </c>
      <c r="S60" s="103">
        <v>0.15603075021172128</v>
      </c>
      <c r="T60" s="103">
        <v>0.16132629169526466</v>
      </c>
      <c r="U60" s="103">
        <v>0.16579956716152999</v>
      </c>
      <c r="V60" s="103">
        <v>0.18369625422446917</v>
      </c>
      <c r="W60" s="103">
        <v>0.18369661966314471</v>
      </c>
      <c r="X60" s="103">
        <v>0.18424821047296683</v>
      </c>
      <c r="Y60" s="103">
        <v>0.1849296785124285</v>
      </c>
      <c r="Z60" s="103">
        <v>0.18493005098532048</v>
      </c>
      <c r="AA60" s="103">
        <v>0.2013240083657776</v>
      </c>
      <c r="AB60" s="103">
        <v>0.20132419735588869</v>
      </c>
      <c r="AC60" s="103">
        <v>0.20168834510260039</v>
      </c>
      <c r="AD60" s="103">
        <v>0.20168863039737961</v>
      </c>
      <c r="AE60" s="103">
        <v>0.19792660492703559</v>
      </c>
      <c r="AF60" s="103">
        <v>0.19814761859054689</v>
      </c>
      <c r="AG60" s="103">
        <v>0.19792660492703559</v>
      </c>
      <c r="AH60" s="103">
        <v>0.19741712343845563</v>
      </c>
      <c r="AI60" s="103">
        <v>0.19739222831097394</v>
      </c>
      <c r="AJ60" s="103">
        <v>0.20022296067132309</v>
      </c>
      <c r="AK60" s="103">
        <v>0.21508965825355794</v>
      </c>
      <c r="AL60" s="103">
        <v>0.22298372486022014</v>
      </c>
      <c r="AM60" s="103">
        <v>0.22736432002766835</v>
      </c>
      <c r="AN60" s="103">
        <v>0.23811062300586758</v>
      </c>
      <c r="AO60" s="103">
        <v>0.23811039751384125</v>
      </c>
      <c r="AP60" s="103">
        <v>0.23811005927704604</v>
      </c>
      <c r="AQ60" s="103">
        <v>0.2424892086876537</v>
      </c>
      <c r="AR60" s="103">
        <v>0.24248883999204818</v>
      </c>
      <c r="AS60" s="103">
        <v>0.2424892086876537</v>
      </c>
      <c r="AT60" s="103">
        <v>0.24248871709387546</v>
      </c>
      <c r="AU60" s="103">
        <v>0.25128665854180349</v>
      </c>
      <c r="AV60" s="103">
        <v>0.25128628528804725</v>
      </c>
      <c r="AW60" s="103">
        <v>0.26801725150794214</v>
      </c>
      <c r="AX60" s="103">
        <v>0.26903190782359537</v>
      </c>
      <c r="AY60" s="103">
        <v>0.24672713741055149</v>
      </c>
      <c r="AZ60" s="103">
        <v>0.25298492852922011</v>
      </c>
      <c r="BA60" s="103">
        <v>0.25493054636040885</v>
      </c>
      <c r="BB60" s="103">
        <v>0.25489404044450537</v>
      </c>
      <c r="BC60" s="103">
        <v>0.27017368358577742</v>
      </c>
      <c r="BD60" s="103">
        <v>0.27017368358577742</v>
      </c>
      <c r="BE60" s="103">
        <v>0.27017368358577742</v>
      </c>
      <c r="BF60" s="103">
        <v>0.26022900025454465</v>
      </c>
      <c r="BG60" s="103">
        <v>0.25813580417691506</v>
      </c>
      <c r="BH60" s="103">
        <v>0.25795920990709886</v>
      </c>
      <c r="BI60" s="103">
        <v>0.26879045670390234</v>
      </c>
      <c r="BJ60" s="103">
        <v>0.2688154078471317</v>
      </c>
      <c r="BK60" s="103">
        <v>0.27021486293948466</v>
      </c>
      <c r="BL60" s="103">
        <v>0.27020241988764415</v>
      </c>
      <c r="BM60" s="103">
        <v>2.9381685099787228E-2</v>
      </c>
      <c r="BN60" s="103">
        <v>2.4275556671316725E-2</v>
      </c>
      <c r="BO60" s="103">
        <v>2.4274667644412346E-2</v>
      </c>
      <c r="BP60" s="103">
        <v>0.10025735064325386</v>
      </c>
      <c r="BQ60" s="103">
        <v>0.10602429589513437</v>
      </c>
      <c r="BR60" s="103">
        <v>0.1349467584507337</v>
      </c>
      <c r="BS60" s="103">
        <v>0.1301368066077894</v>
      </c>
      <c r="BT60" s="103">
        <v>0.11655778234358621</v>
      </c>
      <c r="BU60" s="103">
        <v>0.11654337000735143</v>
      </c>
      <c r="BV60" s="103">
        <v>0.11657261062992823</v>
      </c>
      <c r="BW60" s="103">
        <v>0.10645732421939835</v>
      </c>
      <c r="BX60" s="103">
        <v>0.10692435571526603</v>
      </c>
      <c r="BY60" s="103">
        <v>9.6951258003711099E-2</v>
      </c>
      <c r="BZ60" s="103">
        <v>8.5686448993550796E-2</v>
      </c>
      <c r="CA60" s="103">
        <v>8.081586383103033E-2</v>
      </c>
      <c r="CB60" s="103">
        <v>8.0684156747298161E-2</v>
      </c>
      <c r="CC60" s="103">
        <v>7.5817838455881525E-2</v>
      </c>
      <c r="CD60" s="103">
        <v>6.9596163121105892E-2</v>
      </c>
      <c r="CE60" s="103">
        <v>6.9484236055715465E-2</v>
      </c>
      <c r="CF60" s="103">
        <v>6.5923283928631879E-2</v>
      </c>
      <c r="CG60" s="103">
        <v>6.5939561975968744E-2</v>
      </c>
      <c r="CH60" s="103">
        <v>6.2237256418867813E-2</v>
      </c>
      <c r="CI60" s="103">
        <v>6.2134642005014423E-2</v>
      </c>
      <c r="CJ60" s="103">
        <v>6.914415045177516E-2</v>
      </c>
      <c r="CK60" s="103">
        <v>6.9137093441568209E-2</v>
      </c>
      <c r="CL60" s="103">
        <v>7.4991875130606789E-2</v>
      </c>
      <c r="CM60" s="103">
        <v>8.193907533601838E-2</v>
      </c>
      <c r="CN60" s="103">
        <v>8.192303179275294E-2</v>
      </c>
      <c r="CO60" s="103">
        <v>8.5396266684912417E-2</v>
      </c>
      <c r="CP60" s="103">
        <v>8.5195398746264348E-2</v>
      </c>
      <c r="CQ60" s="103">
        <v>9.2168813162432472E-2</v>
      </c>
      <c r="CR60" s="103">
        <v>9.9146372628703072E-2</v>
      </c>
      <c r="CS60" s="103">
        <v>9.9167296676572703E-2</v>
      </c>
      <c r="CT60" s="103">
        <v>9.9177638997963988E-2</v>
      </c>
      <c r="CU60" s="103">
        <v>9.5359844028907431E-2</v>
      </c>
      <c r="CV60" s="103">
        <v>9.5354687776245534E-2</v>
      </c>
      <c r="CW60" s="151">
        <f>+D60-CV60</f>
        <v>-1.0310354248282971E-5</v>
      </c>
      <c r="CX60" s="241">
        <v>3.9E-2</v>
      </c>
      <c r="CY60" s="182">
        <f t="shared" si="4"/>
        <v>3.8989689645751717E-2</v>
      </c>
    </row>
    <row r="61" spans="1:103" ht="14.45">
      <c r="A61" s="1"/>
      <c r="B61" s="1" t="s">
        <v>115</v>
      </c>
      <c r="C61" s="1" t="s">
        <v>162</v>
      </c>
      <c r="D61" s="1">
        <f>+OXIDOS!P51*100</f>
        <v>0.16422479150473315</v>
      </c>
      <c r="F61" s="1">
        <v>0.1299731006001355</v>
      </c>
      <c r="G61" s="1">
        <v>0.1428278707650292</v>
      </c>
      <c r="H61" s="1">
        <v>0.1429169382518562</v>
      </c>
      <c r="I61" s="1">
        <v>0.15151376148596796</v>
      </c>
      <c r="J61" s="1">
        <v>0.14635095287609806</v>
      </c>
      <c r="K61" s="1">
        <v>0.14587807528973476</v>
      </c>
      <c r="L61" s="1">
        <v>0.14587784696632747</v>
      </c>
      <c r="M61" s="1">
        <v>0.14587805640660786</v>
      </c>
      <c r="N61" s="1">
        <v>0.14582710195266602</v>
      </c>
      <c r="O61" s="1">
        <v>0.14587831308722257</v>
      </c>
      <c r="P61" s="1">
        <v>0.12207537218729024</v>
      </c>
      <c r="Q61" s="1">
        <v>0.14253386067108292</v>
      </c>
      <c r="R61" s="1">
        <v>0.15106645626006929</v>
      </c>
      <c r="S61" s="1">
        <v>0.16015717000347326</v>
      </c>
      <c r="T61" s="1">
        <v>0.16109170170250292</v>
      </c>
      <c r="U61" s="1">
        <v>0.16107673988745447</v>
      </c>
      <c r="V61" s="1">
        <v>0.16745580649756917</v>
      </c>
      <c r="W61" s="1">
        <v>0.16745613130886092</v>
      </c>
      <c r="X61" s="1">
        <v>0.16209206309041763</v>
      </c>
      <c r="Y61" s="1">
        <v>0.16151539508971022</v>
      </c>
      <c r="Z61" s="1">
        <v>0.16151570513209282</v>
      </c>
      <c r="AA61" s="1">
        <v>0.20800063905076369</v>
      </c>
      <c r="AB61" s="1">
        <v>0.2080008175019237</v>
      </c>
      <c r="AC61" s="1">
        <v>0.20832644620285201</v>
      </c>
      <c r="AD61" s="1">
        <v>0.20832671554727664</v>
      </c>
      <c r="AE61" s="1">
        <v>0.20689638037223332</v>
      </c>
      <c r="AF61" s="1">
        <v>0.2070932556701307</v>
      </c>
      <c r="AG61" s="1">
        <v>0.20689638037223332</v>
      </c>
      <c r="AH61" s="1">
        <v>0.15320085701590716</v>
      </c>
      <c r="AI61" s="1">
        <v>0.15216663425269011</v>
      </c>
      <c r="AJ61" s="1">
        <v>0.13602779548082927</v>
      </c>
      <c r="AK61" s="1">
        <v>0.11235122443598443</v>
      </c>
      <c r="AL61" s="1">
        <v>8.5669105695330261E-2</v>
      </c>
      <c r="AM61" s="1">
        <v>8.5662997813942418E-2</v>
      </c>
      <c r="AN61" s="1">
        <v>0.14527773921169534</v>
      </c>
      <c r="AO61" s="1">
        <v>0.14527758839022142</v>
      </c>
      <c r="AP61" s="1">
        <v>0.14527736215884265</v>
      </c>
      <c r="AQ61" s="1">
        <v>0.1377979964838465</v>
      </c>
      <c r="AR61" s="1">
        <v>0.13779777778229488</v>
      </c>
      <c r="AS61" s="1">
        <v>0.1377979964838465</v>
      </c>
      <c r="AT61" s="1">
        <v>0.13779770488199267</v>
      </c>
      <c r="AU61" s="1">
        <v>0.15734600036889129</v>
      </c>
      <c r="AV61" s="1">
        <v>0.15734574830424242</v>
      </c>
      <c r="AW61" s="1">
        <v>0.13179986588620038</v>
      </c>
      <c r="AX61" s="1">
        <v>0.13236817729996742</v>
      </c>
      <c r="AY61" s="1">
        <v>0.18640786493245412</v>
      </c>
      <c r="AZ61" s="1">
        <v>0.16522131704000245</v>
      </c>
      <c r="BA61" s="1">
        <v>0.16651267312425591</v>
      </c>
      <c r="BB61" s="1">
        <v>0.14841392249619764</v>
      </c>
      <c r="BC61" s="1">
        <v>0.15888690463206748</v>
      </c>
      <c r="BD61" s="1">
        <v>0.15888690463206748</v>
      </c>
      <c r="BE61" s="1">
        <v>0.15888690463206748</v>
      </c>
      <c r="BF61" s="1">
        <v>0.14529894785301325</v>
      </c>
      <c r="BG61" s="1">
        <v>0.14373468112852861</v>
      </c>
      <c r="BH61" s="1">
        <v>0.14352301316764546</v>
      </c>
      <c r="BI61" s="1">
        <v>0.14565446037792262</v>
      </c>
      <c r="BJ61" s="1">
        <v>0.14567085293474005</v>
      </c>
      <c r="BK61" s="1">
        <v>0.18661065492254464</v>
      </c>
      <c r="BL61" s="1">
        <v>0.18659974474232724</v>
      </c>
      <c r="BM61" s="1">
        <v>0.19993072360319142</v>
      </c>
      <c r="BN61" s="1">
        <v>0.21490171356486421</v>
      </c>
      <c r="BO61" s="1">
        <v>0.21487552942205762</v>
      </c>
      <c r="BP61" s="1">
        <v>0.21447622241919304</v>
      </c>
      <c r="BQ61" s="1">
        <v>0.21431796496835953</v>
      </c>
      <c r="BR61" s="1">
        <v>0.21389530905711282</v>
      </c>
      <c r="BS61" s="1">
        <v>0.17555196492389921</v>
      </c>
      <c r="BT61" s="1">
        <v>0.16660769332201864</v>
      </c>
      <c r="BU61" s="1">
        <v>0.16659058706523733</v>
      </c>
      <c r="BV61" s="1">
        <v>0.16662539310782437</v>
      </c>
      <c r="BW61" s="1">
        <v>0.16625104403260271</v>
      </c>
      <c r="BX61" s="1">
        <v>0.16011460001812938</v>
      </c>
      <c r="BY61" s="1">
        <v>0.15985422061162421</v>
      </c>
      <c r="BZ61" s="1">
        <v>0.17453240624665836</v>
      </c>
      <c r="CA61" s="1">
        <v>0.17455716490339029</v>
      </c>
      <c r="CB61" s="1">
        <v>0.17435287777390235</v>
      </c>
      <c r="CC61" s="1">
        <v>0.17436927302915456</v>
      </c>
      <c r="CD61" s="1">
        <v>0.20242481232114959</v>
      </c>
      <c r="CE61" s="1">
        <v>0.20219557611423186</v>
      </c>
      <c r="CF61" s="1">
        <v>0.19906500419082479</v>
      </c>
      <c r="CG61" s="1">
        <v>0.18958516826406754</v>
      </c>
      <c r="CH61" s="1">
        <v>0.18719129104335411</v>
      </c>
      <c r="CI61" s="1">
        <v>0.18700289348205129</v>
      </c>
      <c r="CJ61" s="1">
        <v>0.18697704223829453</v>
      </c>
      <c r="CK61" s="1">
        <v>0.18696424211577695</v>
      </c>
      <c r="CL61" s="1">
        <v>0.17725393457836003</v>
      </c>
      <c r="CM61" s="1">
        <v>0.1771947569975191</v>
      </c>
      <c r="CN61" s="1">
        <v>0.1771710222741055</v>
      </c>
      <c r="CO61" s="1">
        <v>0.17714740945342336</v>
      </c>
      <c r="CP61" s="1">
        <v>0.17101849831017946</v>
      </c>
      <c r="CQ61" s="1">
        <v>0.1710120593313478</v>
      </c>
      <c r="CR61" s="1">
        <v>0.17101141332870207</v>
      </c>
      <c r="CS61" s="1">
        <v>0.17103501750594077</v>
      </c>
      <c r="CT61" s="1">
        <v>0.17104661052201445</v>
      </c>
      <c r="CU61" s="1">
        <v>0.16424198499787349</v>
      </c>
      <c r="CV61" s="1">
        <v>0.16423625303641051</v>
      </c>
      <c r="CW61" s="151"/>
      <c r="CX61" s="1"/>
      <c r="CY61" s="182"/>
    </row>
    <row r="62" spans="1:103" ht="14.45">
      <c r="CW62" s="151"/>
      <c r="CX62" s="1"/>
      <c r="CY62" s="181"/>
    </row>
    <row r="63" spans="1:103" ht="15.6">
      <c r="A63" s="116">
        <v>-4.3</v>
      </c>
      <c r="B63" s="1"/>
      <c r="C63" s="115" t="s">
        <v>163</v>
      </c>
      <c r="D63" s="103">
        <f>+OXIDOS!S49</f>
        <v>-37.205537627171701</v>
      </c>
      <c r="F63" s="103">
        <v>-1.2335677970813572</v>
      </c>
      <c r="G63" s="103">
        <v>-2.1878293793961676</v>
      </c>
      <c r="H63" s="103">
        <v>-2.5334543849960105</v>
      </c>
      <c r="I63" s="103">
        <v>-4.5196197669754694</v>
      </c>
      <c r="J63" s="103">
        <v>-7.3764331645214289</v>
      </c>
      <c r="K63" s="103">
        <v>-5.6378398297587475</v>
      </c>
      <c r="L63" s="103">
        <v>-5.6378334791535094</v>
      </c>
      <c r="M63" s="103">
        <v>-5.6378387348261239</v>
      </c>
      <c r="N63" s="103">
        <v>-5.11994323338679</v>
      </c>
      <c r="O63" s="103">
        <v>-5.6378453044261354</v>
      </c>
      <c r="P63" s="103">
        <v>-1.8437641979027986</v>
      </c>
      <c r="Q63" s="103">
        <v>-3.0891986375317639</v>
      </c>
      <c r="R63" s="103">
        <v>-3.5160896229172094</v>
      </c>
      <c r="S63" s="103">
        <v>-4.2151541794152561</v>
      </c>
      <c r="T63" s="103">
        <v>-4.1140759764139823</v>
      </c>
      <c r="U63" s="103">
        <v>-3.9660547160173856</v>
      </c>
      <c r="V63" s="103">
        <v>-2.0494941421574522</v>
      </c>
      <c r="W63" s="103">
        <v>-2.049500605892975</v>
      </c>
      <c r="X63" s="103">
        <v>-2.0650904269813495</v>
      </c>
      <c r="Y63" s="103">
        <v>-2.0075849030544561</v>
      </c>
      <c r="Z63" s="103">
        <v>-2.0075913945445643</v>
      </c>
      <c r="AA63" s="103">
        <v>-1.933487751726201</v>
      </c>
      <c r="AB63" s="103">
        <v>-1.9334909608478268</v>
      </c>
      <c r="AC63" s="103">
        <v>-1.9431381527648437</v>
      </c>
      <c r="AD63" s="103">
        <v>-1.9431429862964043</v>
      </c>
      <c r="AE63" s="103">
        <v>-1.4747363036729768</v>
      </c>
      <c r="AF63" s="103">
        <v>-1.481124899083297</v>
      </c>
      <c r="AG63" s="103">
        <v>-1.4747363036729768</v>
      </c>
      <c r="AH63" s="103">
        <v>-1.1911295917988967</v>
      </c>
      <c r="AI63" s="103">
        <v>-1.1915890115059466</v>
      </c>
      <c r="AJ63" s="103">
        <v>-1.1811278756222225</v>
      </c>
      <c r="AK63" s="103">
        <v>-1.2694846445544989</v>
      </c>
      <c r="AL63" s="103">
        <v>-0.94632113613190516</v>
      </c>
      <c r="AM63" s="103">
        <v>-0.79967450578762578</v>
      </c>
      <c r="AN63" s="103">
        <v>-0.99285788091968075</v>
      </c>
      <c r="AO63" s="103">
        <v>-0.99285535359355881</v>
      </c>
      <c r="AP63" s="103">
        <v>-0.99285156261075913</v>
      </c>
      <c r="AQ63" s="103">
        <v>-1.350863630331852</v>
      </c>
      <c r="AR63" s="103">
        <v>-1.3508599211610779</v>
      </c>
      <c r="AS63" s="103">
        <v>-1.350863630331852</v>
      </c>
      <c r="AT63" s="103">
        <v>-1.3508586847723072</v>
      </c>
      <c r="AU63" s="103">
        <v>-1.36223858346877</v>
      </c>
      <c r="AV63" s="103">
        <v>-1.362234850959458</v>
      </c>
      <c r="AW63" s="103">
        <v>-1.3635761954851189</v>
      </c>
      <c r="AX63" s="103">
        <v>-1.3779174292349279</v>
      </c>
      <c r="AY63" s="103">
        <v>-1.3779103688333048</v>
      </c>
      <c r="AZ63" s="103">
        <v>-1.3797970106801067</v>
      </c>
      <c r="BA63" s="103">
        <v>-3.0603813411267353</v>
      </c>
      <c r="BB63" s="103">
        <v>-4.7000498901375689</v>
      </c>
      <c r="BC63" s="103">
        <v>-4.2195050901129463</v>
      </c>
      <c r="BD63" s="103">
        <v>-4.2195050901129463</v>
      </c>
      <c r="BE63" s="103">
        <v>-4.2195050901129463</v>
      </c>
      <c r="BF63" s="103">
        <v>-5.5376455354154759</v>
      </c>
      <c r="BG63" s="103">
        <v>-5.4456587995019428</v>
      </c>
      <c r="BH63" s="103">
        <v>-6.2563708125227215</v>
      </c>
      <c r="BI63" s="103">
        <v>-6.3093715662616949</v>
      </c>
      <c r="BJ63" s="103">
        <v>-4.6704653423025491</v>
      </c>
      <c r="BK63" s="103">
        <v>-5.4704253945218086</v>
      </c>
      <c r="BL63" s="103">
        <v>-6.2869402522131983</v>
      </c>
      <c r="BM63" s="103">
        <v>-23.30591824857019</v>
      </c>
      <c r="BN63" s="103">
        <v>-17.215501767089204</v>
      </c>
      <c r="BO63" s="103">
        <v>-19.153442544835976</v>
      </c>
      <c r="BP63" s="103">
        <v>-26.538154067000931</v>
      </c>
      <c r="BQ63" s="103">
        <v>-29.998716496385139</v>
      </c>
      <c r="BR63" s="103">
        <v>-32.246512961605994</v>
      </c>
      <c r="BS63" s="103">
        <v>-32.34083874968087</v>
      </c>
      <c r="BT63" s="103">
        <v>-31.227137103595194</v>
      </c>
      <c r="BU63" s="103">
        <v>-32.868825328867473</v>
      </c>
      <c r="BV63" s="103">
        <v>-32.992325411569553</v>
      </c>
      <c r="BW63" s="103">
        <v>-32.54301013064287</v>
      </c>
      <c r="BX63" s="103">
        <v>-32.647734612893323</v>
      </c>
      <c r="BY63" s="103">
        <v>-32.960684975693901</v>
      </c>
      <c r="BZ63" s="103">
        <v>-34.926776633929272</v>
      </c>
      <c r="CA63" s="103">
        <v>-35.968620260339314</v>
      </c>
      <c r="CB63" s="103">
        <v>-35.955259772218106</v>
      </c>
      <c r="CC63" s="103">
        <v>-36.11907087142405</v>
      </c>
      <c r="CD63" s="103">
        <v>-35.035948750919452</v>
      </c>
      <c r="CE63" s="103">
        <v>-35.022428894673041</v>
      </c>
      <c r="CF63" s="103">
        <v>-34.008290074438847</v>
      </c>
      <c r="CG63" s="103">
        <v>-34.138807102980962</v>
      </c>
      <c r="CH63" s="103">
        <v>-34.260511124063072</v>
      </c>
      <c r="CI63" s="103">
        <v>-36.596469216270421</v>
      </c>
      <c r="CJ63" s="103">
        <v>-36.359407935777519</v>
      </c>
      <c r="CK63" s="103">
        <v>-36.31461846824002</v>
      </c>
      <c r="CL63" s="103">
        <v>-38.104574977324113</v>
      </c>
      <c r="CM63" s="103">
        <v>-40.168213673737384</v>
      </c>
      <c r="CN63" s="103">
        <v>-40.078234905671671</v>
      </c>
      <c r="CO63" s="103">
        <v>-41.131821561599274</v>
      </c>
      <c r="CP63" s="103">
        <v>-41.154050196391424</v>
      </c>
      <c r="CQ63" s="103">
        <v>-39.157790027941772</v>
      </c>
      <c r="CR63" s="103">
        <v>-36.575221582237909</v>
      </c>
      <c r="CS63" s="103">
        <v>-36.664668671423144</v>
      </c>
      <c r="CT63" s="103">
        <v>-35.491415772131717</v>
      </c>
      <c r="CU63" s="103">
        <v>-35.447895812239366</v>
      </c>
      <c r="CV63" s="103">
        <v>-36.033823078031602</v>
      </c>
      <c r="CW63" s="151">
        <f>+D63-CV63</f>
        <v>-1.1717145491400984</v>
      </c>
      <c r="CX63" s="2"/>
      <c r="CY63" s="181"/>
    </row>
    <row r="64" spans="1:103" ht="14.45">
      <c r="CX64" s="1"/>
      <c r="CY64" s="181"/>
    </row>
    <row r="65" spans="2:105" ht="14.45">
      <c r="C65" s="4" t="s">
        <v>164</v>
      </c>
      <c r="CX65" s="1"/>
      <c r="CY65" s="181"/>
    </row>
    <row r="66" spans="2:105" ht="15.6">
      <c r="B66" s="1" t="s">
        <v>165</v>
      </c>
      <c r="C66" s="103" t="s">
        <v>166</v>
      </c>
      <c r="D66" s="103">
        <f>+OXIDOS!R60</f>
        <v>2.5090604605670594</v>
      </c>
      <c r="F66" s="103">
        <v>2.5021315669733637</v>
      </c>
      <c r="G66" s="103">
        <v>2.5011462112867968</v>
      </c>
      <c r="H66" s="103">
        <v>2.501055873377354</v>
      </c>
      <c r="I66" s="103">
        <v>2.4999407765009924</v>
      </c>
      <c r="J66" s="103">
        <v>2.4996274341699785</v>
      </c>
      <c r="K66" s="103">
        <v>2.5002502483095839</v>
      </c>
      <c r="L66" s="103">
        <v>2.5002502341788642</v>
      </c>
      <c r="M66" s="103">
        <v>2.5002502480791717</v>
      </c>
      <c r="N66" s="103">
        <v>2.5003050015534027</v>
      </c>
      <c r="O66" s="103">
        <v>2.5002502649031428</v>
      </c>
      <c r="P66" s="103">
        <v>2.5013218737137839</v>
      </c>
      <c r="Q66" s="103">
        <v>2.4991539847340505</v>
      </c>
      <c r="R66" s="103">
        <v>2.4984713284072169</v>
      </c>
      <c r="S66" s="103">
        <v>2.499371840861301</v>
      </c>
      <c r="T66" s="103">
        <v>2.4959409969345518</v>
      </c>
      <c r="U66" s="103">
        <v>2.495957335683884</v>
      </c>
      <c r="V66" s="103">
        <v>2.4966199190419229</v>
      </c>
      <c r="W66" s="103">
        <v>2.4966199284458011</v>
      </c>
      <c r="X66" s="103">
        <v>2.4974107775433905</v>
      </c>
      <c r="Y66" s="103">
        <v>2.4995674284596423</v>
      </c>
      <c r="Z66" s="103">
        <v>2.4995674467549507</v>
      </c>
      <c r="AA66" s="103">
        <v>2.4983261680260731</v>
      </c>
      <c r="AB66" s="103">
        <v>2.4983261790187212</v>
      </c>
      <c r="AC66" s="103">
        <v>2.4976603762890246</v>
      </c>
      <c r="AD66" s="103">
        <v>2.4976603913361286</v>
      </c>
      <c r="AE66" s="103">
        <v>2.497756001935334</v>
      </c>
      <c r="AF66" s="103">
        <v>2.4973540407741246</v>
      </c>
      <c r="AG66" s="103">
        <v>2.497756001935334</v>
      </c>
      <c r="AH66" s="103">
        <v>2.4987091453418397</v>
      </c>
      <c r="AI66" s="103">
        <v>2.4989450311185069</v>
      </c>
      <c r="AJ66" s="103">
        <v>2.4988503494127312</v>
      </c>
      <c r="AK66" s="103">
        <v>2.5000676978145644</v>
      </c>
      <c r="AL66" s="103">
        <v>2.5012971870135954</v>
      </c>
      <c r="AM66" s="103">
        <v>2.5013123638207158</v>
      </c>
      <c r="AN66" s="103">
        <v>2.5000620176050843</v>
      </c>
      <c r="AO66" s="103">
        <v>2.5000620071004191</v>
      </c>
      <c r="AP66" s="103">
        <v>2.5000619913434794</v>
      </c>
      <c r="AQ66" s="103">
        <v>2.4994775464072778</v>
      </c>
      <c r="AR66" s="103">
        <v>2.4994775287450621</v>
      </c>
      <c r="AS66" s="103">
        <v>2.4994775464072778</v>
      </c>
      <c r="AT66" s="103">
        <v>2.4994775228576742</v>
      </c>
      <c r="AU66" s="103">
        <v>2.4993694019794925</v>
      </c>
      <c r="AV66" s="103">
        <v>2.4993693864460176</v>
      </c>
      <c r="AW66" s="103">
        <v>2.5008600007827009</v>
      </c>
      <c r="AX66" s="103">
        <v>2.5010960495991776</v>
      </c>
      <c r="AY66" s="103">
        <v>2.4993144682527282</v>
      </c>
      <c r="AZ66" s="103">
        <v>2.5003239850909798</v>
      </c>
      <c r="BA66" s="103">
        <v>2.5002978527454607</v>
      </c>
      <c r="BB66" s="103">
        <v>2.4995312938198673</v>
      </c>
      <c r="BC66" s="103">
        <v>2.499577904085617</v>
      </c>
      <c r="BD66" s="103">
        <v>2.499577904085617</v>
      </c>
      <c r="BE66" s="103">
        <v>2.499577904085617</v>
      </c>
      <c r="BF66" s="103">
        <v>2.4992645773087863</v>
      </c>
      <c r="BG66" s="103">
        <v>2.4977995034236677</v>
      </c>
      <c r="BH66" s="103">
        <v>2.4982016239541496</v>
      </c>
      <c r="BI66" s="103">
        <v>2.5000827950611471</v>
      </c>
      <c r="BJ66" s="103">
        <v>2.5000841009705073</v>
      </c>
      <c r="BK66" s="103">
        <v>2.4986281187912112</v>
      </c>
      <c r="BL66" s="103">
        <v>2.4986275368697637</v>
      </c>
      <c r="BM66" s="103">
        <v>2.5005371716012443</v>
      </c>
      <c r="BN66" s="103">
        <v>2.5000375901632066</v>
      </c>
      <c r="BO66" s="103">
        <v>2.5000358815929875</v>
      </c>
      <c r="BP66" s="103">
        <v>2.4999566667452497</v>
      </c>
      <c r="BQ66" s="103">
        <v>2.5003036158346821</v>
      </c>
      <c r="BR66" s="103">
        <v>2.5013877649525518</v>
      </c>
      <c r="BS66" s="103">
        <v>2.504041616375924</v>
      </c>
      <c r="BT66" s="103">
        <v>2.5042353948178739</v>
      </c>
      <c r="BU66" s="103">
        <v>2.5042337903885628</v>
      </c>
      <c r="BV66" s="103">
        <v>2.5040484159777034</v>
      </c>
      <c r="BW66" s="103">
        <v>2.5053634452373559</v>
      </c>
      <c r="BX66" s="103">
        <v>2.5050591887641995</v>
      </c>
      <c r="BY66" s="103">
        <v>2.506219795466281</v>
      </c>
      <c r="BZ66" s="103">
        <v>2.5062486249593543</v>
      </c>
      <c r="CA66" s="103">
        <v>2.5061399708797012</v>
      </c>
      <c r="CB66" s="103">
        <v>2.5066040925917217</v>
      </c>
      <c r="CC66" s="103">
        <v>2.5065880485655301</v>
      </c>
      <c r="CD66" s="103">
        <v>2.5056785717145069</v>
      </c>
      <c r="CE66" s="103">
        <v>2.5061000802408526</v>
      </c>
      <c r="CF66" s="103">
        <v>2.505833378879597</v>
      </c>
      <c r="CG66" s="103">
        <v>2.5063647027245963</v>
      </c>
      <c r="CH66" s="103">
        <v>2.5070573330711317</v>
      </c>
      <c r="CI66" s="103">
        <v>2.5073842072164751</v>
      </c>
      <c r="CJ66" s="103">
        <v>2.5074068541835861</v>
      </c>
      <c r="CK66" s="103">
        <v>2.5074723461860602</v>
      </c>
      <c r="CL66" s="103">
        <v>2.5104712611198754</v>
      </c>
      <c r="CM66" s="103">
        <v>2.5105548174450334</v>
      </c>
      <c r="CN66" s="103">
        <v>2.5106847371716308</v>
      </c>
      <c r="CO66" s="103">
        <v>2.5106939554490073</v>
      </c>
      <c r="CP66" s="103">
        <v>2.5109644554170236</v>
      </c>
      <c r="CQ66" s="103">
        <v>2.5109893837928952</v>
      </c>
      <c r="CR66" s="103">
        <v>2.5110152416908642</v>
      </c>
      <c r="CS66" s="103">
        <v>2.5108853900786641</v>
      </c>
      <c r="CT66" s="103">
        <v>2.5108872392829884</v>
      </c>
      <c r="CU66" s="103">
        <v>2.5090632792819982</v>
      </c>
      <c r="CV66" s="103">
        <v>2.5090623395796774</v>
      </c>
      <c r="CW66" s="151">
        <f>+D66-AE66</f>
        <v>1.1304458631725467E-2</v>
      </c>
      <c r="CX66" s="1"/>
      <c r="CY66" s="181"/>
    </row>
    <row r="67" spans="2:105" ht="14.45">
      <c r="B67" s="1" t="s">
        <v>167</v>
      </c>
      <c r="C67" s="1" t="s">
        <v>168</v>
      </c>
      <c r="D67" s="1">
        <f>+OXIDOS!R62</f>
        <v>1446.5332387886601</v>
      </c>
      <c r="F67" s="1">
        <v>1454.7946888405199</v>
      </c>
      <c r="G67" s="1">
        <v>1456.6071230806529</v>
      </c>
      <c r="H67" s="1">
        <v>1456.8550831561452</v>
      </c>
      <c r="I67" s="1">
        <v>1460.327580574788</v>
      </c>
      <c r="J67" s="1">
        <v>1461.4408738834736</v>
      </c>
      <c r="K67" s="1">
        <v>1459.2838636584931</v>
      </c>
      <c r="L67" s="1">
        <v>1459.2845850426088</v>
      </c>
      <c r="M67" s="1">
        <v>1459.2839023186061</v>
      </c>
      <c r="N67" s="1">
        <v>1459.1247215322628</v>
      </c>
      <c r="O67" s="1">
        <v>1459.2830703394386</v>
      </c>
      <c r="P67" s="1">
        <v>1455.1625879207047</v>
      </c>
      <c r="Q67" s="1">
        <v>1462.8801312464041</v>
      </c>
      <c r="R67" s="1">
        <v>1465.9191709784632</v>
      </c>
      <c r="S67" s="1">
        <v>1460.29680599221</v>
      </c>
      <c r="T67" s="1">
        <v>1468.8541701872377</v>
      </c>
      <c r="U67" s="1">
        <v>1468.8065856462297</v>
      </c>
      <c r="V67" s="1">
        <v>1468.9440969833431</v>
      </c>
      <c r="W67" s="1">
        <v>1468.9431641165274</v>
      </c>
      <c r="X67" s="1">
        <v>1465.4846649732256</v>
      </c>
      <c r="Y67" s="1">
        <v>1457.427935661904</v>
      </c>
      <c r="Z67" s="1">
        <v>1457.4269598418102</v>
      </c>
      <c r="AA67" s="1">
        <v>1460.4353064710438</v>
      </c>
      <c r="AB67" s="1">
        <v>1460.4348103987031</v>
      </c>
      <c r="AC67" s="1">
        <v>1463.3819313735974</v>
      </c>
      <c r="AD67" s="1">
        <v>1463.3811913047844</v>
      </c>
      <c r="AE67" s="1">
        <v>1463.2903597374736</v>
      </c>
      <c r="AF67" s="1">
        <v>1465.0700855962946</v>
      </c>
      <c r="AG67" s="1">
        <v>1463.2903597374736</v>
      </c>
      <c r="AH67" s="1">
        <v>1459.4076100550628</v>
      </c>
      <c r="AI67" s="1">
        <v>1458.1237899954058</v>
      </c>
      <c r="AJ67" s="1">
        <v>1456.3781635138334</v>
      </c>
      <c r="AK67" s="1">
        <v>1453.3120800333129</v>
      </c>
      <c r="AL67" s="1">
        <v>1450.2255952400055</v>
      </c>
      <c r="AM67" s="1">
        <v>1450.1819511069675</v>
      </c>
      <c r="AN67" s="1">
        <v>1454.571681887769</v>
      </c>
      <c r="AO67" s="1">
        <v>1454.5721678292211</v>
      </c>
      <c r="AP67" s="1">
        <v>1454.5728967387183</v>
      </c>
      <c r="AQ67" s="1">
        <v>1459.2939091415021</v>
      </c>
      <c r="AR67" s="1">
        <v>1459.2947005663973</v>
      </c>
      <c r="AS67" s="1">
        <v>1459.2939091415021</v>
      </c>
      <c r="AT67" s="1">
        <v>1459.2949643739178</v>
      </c>
      <c r="AU67" s="1">
        <v>1459.0141901433008</v>
      </c>
      <c r="AV67" s="1">
        <v>1459.0149768775832</v>
      </c>
      <c r="AW67" s="1">
        <v>1452.3573772577188</v>
      </c>
      <c r="AX67" s="1">
        <v>1450.8817694407842</v>
      </c>
      <c r="AY67" s="1">
        <v>1462.6128593835213</v>
      </c>
      <c r="AZ67" s="1">
        <v>1459.6905203351962</v>
      </c>
      <c r="BA67" s="1">
        <v>1456.1737046140154</v>
      </c>
      <c r="BB67" s="1">
        <v>1455.4381147725956</v>
      </c>
      <c r="BC67" s="1">
        <v>1457.6076686100844</v>
      </c>
      <c r="BD67" s="1">
        <v>1457.6076686100844</v>
      </c>
      <c r="BE67" s="1">
        <v>1457.6076686100844</v>
      </c>
      <c r="BF67" s="1">
        <v>1457.1665018756221</v>
      </c>
      <c r="BG67" s="1">
        <v>1459.732320748923</v>
      </c>
      <c r="BH67" s="1">
        <v>1458.5868398742032</v>
      </c>
      <c r="BI67" s="1">
        <v>1453.0840122039747</v>
      </c>
      <c r="BJ67" s="1">
        <v>1453.0316840859605</v>
      </c>
      <c r="BK67" s="1">
        <v>1455.0304489270527</v>
      </c>
      <c r="BL67" s="1">
        <v>1455.0565222767448</v>
      </c>
      <c r="BM67" s="1">
        <v>1461.943567737545</v>
      </c>
      <c r="BN67" s="1">
        <v>1462.1374391351312</v>
      </c>
      <c r="BO67" s="1">
        <v>1462.1990655081836</v>
      </c>
      <c r="BP67" s="1">
        <v>1461.56526879643</v>
      </c>
      <c r="BQ67" s="1">
        <v>1461.8189032287219</v>
      </c>
      <c r="BR67" s="1">
        <v>1462.2166342524938</v>
      </c>
      <c r="BS67" s="1">
        <v>1459.180868700777</v>
      </c>
      <c r="BT67" s="1">
        <v>1458.9349441472739</v>
      </c>
      <c r="BU67" s="1">
        <v>1458.9866267680795</v>
      </c>
      <c r="BV67" s="1">
        <v>1458.8810887933191</v>
      </c>
      <c r="BW67" s="1">
        <v>1455.2697191082536</v>
      </c>
      <c r="BX67" s="1">
        <v>1457.4691867519184</v>
      </c>
      <c r="BY67" s="1">
        <v>1455.0138117045706</v>
      </c>
      <c r="BZ67" s="1">
        <v>1455.1445468708316</v>
      </c>
      <c r="CA67" s="1">
        <v>1455.164999720653</v>
      </c>
      <c r="CB67" s="1">
        <v>1453.071640867759</v>
      </c>
      <c r="CC67" s="1">
        <v>1453.1188472924759</v>
      </c>
      <c r="CD67" s="1">
        <v>1454.4118898177649</v>
      </c>
      <c r="CE67" s="1">
        <v>1452.5199403487761</v>
      </c>
      <c r="CF67" s="1">
        <v>1453.9139174193479</v>
      </c>
      <c r="CG67" s="1">
        <v>1454.6174962349619</v>
      </c>
      <c r="CH67" s="1">
        <v>1453.404908157858</v>
      </c>
      <c r="CI67" s="1">
        <v>1451.9884909752077</v>
      </c>
      <c r="CJ67" s="1">
        <v>1451.9220583765282</v>
      </c>
      <c r="CK67" s="1">
        <v>1451.9613094923245</v>
      </c>
      <c r="CL67" s="1">
        <v>1442.8647586460231</v>
      </c>
      <c r="CM67" s="1">
        <v>1442.9164572250729</v>
      </c>
      <c r="CN67" s="1">
        <v>1442.9953688364014</v>
      </c>
      <c r="CO67" s="1">
        <v>1443.0014410630022</v>
      </c>
      <c r="CP67" s="1">
        <v>1442.2027179578008</v>
      </c>
      <c r="CQ67" s="1">
        <v>1442.0796032613409</v>
      </c>
      <c r="CR67" s="1">
        <v>1441.9371633591827</v>
      </c>
      <c r="CS67" s="1">
        <v>1441.8581922395729</v>
      </c>
      <c r="CT67" s="1">
        <v>1441.8194758234156</v>
      </c>
      <c r="CU67" s="1">
        <v>1446.475290470275</v>
      </c>
      <c r="CV67" s="1">
        <v>1446.4946092628625</v>
      </c>
      <c r="CX67" s="1"/>
    </row>
    <row r="68" spans="2:105" ht="14.45">
      <c r="B68" s="1" t="s">
        <v>167</v>
      </c>
      <c r="C68" s="1" t="s">
        <v>169</v>
      </c>
      <c r="D68" s="1">
        <f>+OXIDOS!R63</f>
        <v>1187.6640233666885</v>
      </c>
      <c r="F68" s="1">
        <v>1193.1961100700967</v>
      </c>
      <c r="G68" s="1">
        <v>1194.3365881333777</v>
      </c>
      <c r="H68" s="1">
        <v>1194.5609638213309</v>
      </c>
      <c r="I68" s="1">
        <v>1197.2960467066014</v>
      </c>
      <c r="J68" s="1">
        <v>1198.4115546687478</v>
      </c>
      <c r="K68" s="1">
        <v>1196.5409819406013</v>
      </c>
      <c r="L68" s="1">
        <v>1196.5415118080559</v>
      </c>
      <c r="M68" s="1">
        <v>1196.5410102860226</v>
      </c>
      <c r="N68" s="1">
        <v>1196.3985796552856</v>
      </c>
      <c r="O68" s="1">
        <v>1196.5403991338312</v>
      </c>
      <c r="P68" s="1">
        <v>1193.3371423701392</v>
      </c>
      <c r="Q68" s="1">
        <v>1199.2323306459223</v>
      </c>
      <c r="R68" s="1">
        <v>1201.477456365692</v>
      </c>
      <c r="S68" s="1">
        <v>1196.8706638419217</v>
      </c>
      <c r="T68" s="1">
        <v>1203.1174918799993</v>
      </c>
      <c r="U68" s="1">
        <v>1203.075247063781</v>
      </c>
      <c r="V68" s="1">
        <v>1203.2506691667284</v>
      </c>
      <c r="W68" s="1">
        <v>1203.249983287468</v>
      </c>
      <c r="X68" s="1">
        <v>1200.6454622501524</v>
      </c>
      <c r="Y68" s="1">
        <v>1194.2193836554807</v>
      </c>
      <c r="Z68" s="1">
        <v>1194.2186645099764</v>
      </c>
      <c r="AA68" s="1">
        <v>1195.8083025066517</v>
      </c>
      <c r="AB68" s="1">
        <v>1195.8079361540319</v>
      </c>
      <c r="AC68" s="1">
        <v>1198.2695845207916</v>
      </c>
      <c r="AD68" s="1">
        <v>1198.2690386174472</v>
      </c>
      <c r="AE68" s="1">
        <v>1198.2315565167357</v>
      </c>
      <c r="AF68" s="1">
        <v>1199.7180322625811</v>
      </c>
      <c r="AG68" s="1">
        <v>1198.2315565167357</v>
      </c>
      <c r="AH68" s="1">
        <v>1195.268257248945</v>
      </c>
      <c r="AI68" s="1">
        <v>1194.1741671339078</v>
      </c>
      <c r="AJ68" s="1">
        <v>1192.655286496446</v>
      </c>
      <c r="AK68" s="1">
        <v>1190.2512680027949</v>
      </c>
      <c r="AL68" s="1">
        <v>1188.1100152784004</v>
      </c>
      <c r="AM68" s="1">
        <v>1188.0710158243451</v>
      </c>
      <c r="AN68" s="1">
        <v>1191.5200515816505</v>
      </c>
      <c r="AO68" s="1">
        <v>1191.5204107697843</v>
      </c>
      <c r="AP68" s="1">
        <v>1191.5209495500042</v>
      </c>
      <c r="AQ68" s="1">
        <v>1195.7667532681901</v>
      </c>
      <c r="AR68" s="1">
        <v>1195.7673364580821</v>
      </c>
      <c r="AS68" s="1">
        <v>1195.7667532681901</v>
      </c>
      <c r="AT68" s="1">
        <v>1195.7675308541395</v>
      </c>
      <c r="AU68" s="1">
        <v>1195.3962132112367</v>
      </c>
      <c r="AV68" s="1">
        <v>1195.3967928839402</v>
      </c>
      <c r="AW68" s="1">
        <v>1190.474131191866</v>
      </c>
      <c r="AX68" s="1">
        <v>1189.3817044837351</v>
      </c>
      <c r="AY68" s="1">
        <v>1198.5120258663096</v>
      </c>
      <c r="AZ68" s="1">
        <v>1196.2402698906224</v>
      </c>
      <c r="BA68" s="1">
        <v>1193.1970153550262</v>
      </c>
      <c r="BB68" s="1">
        <v>1192.5570946893195</v>
      </c>
      <c r="BC68" s="1">
        <v>1194.4231500796277</v>
      </c>
      <c r="BD68" s="1">
        <v>1194.4231500796277</v>
      </c>
      <c r="BE68" s="1">
        <v>1194.4231500796277</v>
      </c>
      <c r="BF68" s="1">
        <v>1194.1158224798235</v>
      </c>
      <c r="BG68" s="1">
        <v>1195.950948481684</v>
      </c>
      <c r="BH68" s="1">
        <v>1194.9955777620312</v>
      </c>
      <c r="BI68" s="1">
        <v>1190.9295856810179</v>
      </c>
      <c r="BJ68" s="1">
        <v>1190.8909985949078</v>
      </c>
      <c r="BK68" s="1">
        <v>1192.2087686843556</v>
      </c>
      <c r="BL68" s="1">
        <v>1192.2280062351601</v>
      </c>
      <c r="BM68" s="1">
        <v>1198.7978221823716</v>
      </c>
      <c r="BN68" s="1">
        <v>1198.6634853502374</v>
      </c>
      <c r="BO68" s="1">
        <v>1198.7088015144748</v>
      </c>
      <c r="BP68" s="1">
        <v>1198.0342375562034</v>
      </c>
      <c r="BQ68" s="1">
        <v>1198.2969859577379</v>
      </c>
      <c r="BR68" s="1">
        <v>1198.7985358791273</v>
      </c>
      <c r="BS68" s="1">
        <v>1197.3312385098225</v>
      </c>
      <c r="BT68" s="1">
        <v>1197.4239349196364</v>
      </c>
      <c r="BU68" s="1">
        <v>1197.4619220938885</v>
      </c>
      <c r="BV68" s="1">
        <v>1197.3362777870193</v>
      </c>
      <c r="BW68" s="1">
        <v>1194.681219940659</v>
      </c>
      <c r="BX68" s="1">
        <v>1196.0552492436345</v>
      </c>
      <c r="BY68" s="1">
        <v>1194.3801609845691</v>
      </c>
      <c r="BZ68" s="1">
        <v>1194.1801626492058</v>
      </c>
      <c r="CA68" s="1">
        <v>1194.1792892915898</v>
      </c>
      <c r="CB68" s="1">
        <v>1192.4275056964</v>
      </c>
      <c r="CC68" s="1">
        <v>1192.4700884239121</v>
      </c>
      <c r="CD68" s="1">
        <v>1193.5947332033875</v>
      </c>
      <c r="CE68" s="1">
        <v>1192.0113353567997</v>
      </c>
      <c r="CF68" s="1">
        <v>1193.1771535269281</v>
      </c>
      <c r="CG68" s="1">
        <v>1193.7500196559567</v>
      </c>
      <c r="CH68" s="1">
        <v>1193.0001883559651</v>
      </c>
      <c r="CI68" s="1">
        <v>1191.8064694026793</v>
      </c>
      <c r="CJ68" s="1">
        <v>1191.7463591304925</v>
      </c>
      <c r="CK68" s="1">
        <v>1191.7924026035687</v>
      </c>
      <c r="CL68" s="1">
        <v>1185.3808528075049</v>
      </c>
      <c r="CM68" s="1">
        <v>1185.4248489588506</v>
      </c>
      <c r="CN68" s="1">
        <v>1185.5170312672972</v>
      </c>
      <c r="CO68" s="1">
        <v>1185.515936674771</v>
      </c>
      <c r="CP68" s="1">
        <v>1185.123614900948</v>
      </c>
      <c r="CQ68" s="1">
        <v>1185.0218136500512</v>
      </c>
      <c r="CR68" s="1">
        <v>1184.9057808106093</v>
      </c>
      <c r="CS68" s="1">
        <v>1184.8135626254264</v>
      </c>
      <c r="CT68" s="1">
        <v>1184.7850428368843</v>
      </c>
      <c r="CU68" s="1">
        <v>1187.6213371993574</v>
      </c>
      <c r="CV68" s="1">
        <v>1187.6355679007133</v>
      </c>
      <c r="CW68" s="151">
        <f>+D68-CV68</f>
        <v>2.8455465975184779E-2</v>
      </c>
      <c r="CX68" s="1"/>
    </row>
    <row r="69" spans="2:105" ht="14.45">
      <c r="B69" s="1" t="s">
        <v>167</v>
      </c>
      <c r="C69" s="1" t="s">
        <v>170</v>
      </c>
      <c r="D69" s="1">
        <f>+OXIDOS!R64</f>
        <v>726.39435461654659</v>
      </c>
      <c r="F69" s="1">
        <v>729.69900707776014</v>
      </c>
      <c r="G69" s="1">
        <v>729.99051806587988</v>
      </c>
      <c r="H69" s="1">
        <v>730.14267667559227</v>
      </c>
      <c r="I69" s="1">
        <v>731.49734152857332</v>
      </c>
      <c r="J69" s="1">
        <v>732.38113826805341</v>
      </c>
      <c r="K69" s="1">
        <v>731.224303890496</v>
      </c>
      <c r="L69" s="1">
        <v>731.22449379883415</v>
      </c>
      <c r="M69" s="1">
        <v>731.22431384867127</v>
      </c>
      <c r="N69" s="1">
        <v>731.1299424896672</v>
      </c>
      <c r="O69" s="1">
        <v>731.22409460626398</v>
      </c>
      <c r="P69" s="1">
        <v>729.38429842898199</v>
      </c>
      <c r="Q69" s="1">
        <v>732.59596835065429</v>
      </c>
      <c r="R69" s="1">
        <v>733.54794456756235</v>
      </c>
      <c r="S69" s="1">
        <v>731.14042448467899</v>
      </c>
      <c r="T69" s="1">
        <v>733.34263143432645</v>
      </c>
      <c r="U69" s="1">
        <v>733.31509511679985</v>
      </c>
      <c r="V69" s="1">
        <v>733.51667730739746</v>
      </c>
      <c r="W69" s="1">
        <v>733.51643043982438</v>
      </c>
      <c r="X69" s="1">
        <v>732.40742538358415</v>
      </c>
      <c r="Y69" s="1">
        <v>729.22202674545588</v>
      </c>
      <c r="Z69" s="1">
        <v>729.22176478552183</v>
      </c>
      <c r="AA69" s="1">
        <v>729.136798909699</v>
      </c>
      <c r="AB69" s="1">
        <v>729.13666428079239</v>
      </c>
      <c r="AC69" s="1">
        <v>730.52354860201513</v>
      </c>
      <c r="AD69" s="1">
        <v>730.52334907709292</v>
      </c>
      <c r="AE69" s="1">
        <v>730.55896045768202</v>
      </c>
      <c r="AF69" s="1">
        <v>731.39631666794821</v>
      </c>
      <c r="AG69" s="1">
        <v>730.55896045768202</v>
      </c>
      <c r="AH69" s="1">
        <v>729.04175688009423</v>
      </c>
      <c r="AI69" s="1">
        <v>728.42744746964286</v>
      </c>
      <c r="AJ69" s="1">
        <v>727.25910060155195</v>
      </c>
      <c r="AK69" s="1">
        <v>726.1735585030259</v>
      </c>
      <c r="AL69" s="1">
        <v>725.2837050113435</v>
      </c>
      <c r="AM69" s="1">
        <v>725.25796664018151</v>
      </c>
      <c r="AN69" s="1">
        <v>727.17462397111217</v>
      </c>
      <c r="AO69" s="1">
        <v>727.17475646311198</v>
      </c>
      <c r="AP69" s="1">
        <v>727.17495520038108</v>
      </c>
      <c r="AQ69" s="1">
        <v>729.5968413954912</v>
      </c>
      <c r="AR69" s="1">
        <v>729.59705372565338</v>
      </c>
      <c r="AS69" s="1">
        <v>729.5968413954912</v>
      </c>
      <c r="AT69" s="1">
        <v>729.59712450216546</v>
      </c>
      <c r="AU69" s="1">
        <v>729.52866793703583</v>
      </c>
      <c r="AV69" s="1">
        <v>729.52887881109939</v>
      </c>
      <c r="AW69" s="1">
        <v>727.44615479280446</v>
      </c>
      <c r="AX69" s="1">
        <v>727.02646300998867</v>
      </c>
      <c r="AY69" s="1">
        <v>731.49934288926465</v>
      </c>
      <c r="AZ69" s="1">
        <v>730.41131031287762</v>
      </c>
      <c r="BA69" s="1">
        <v>728.52399771308455</v>
      </c>
      <c r="BB69" s="1">
        <v>728.00392039153894</v>
      </c>
      <c r="BC69" s="1">
        <v>729.14804391652478</v>
      </c>
      <c r="BD69" s="1">
        <v>729.14804391652478</v>
      </c>
      <c r="BE69" s="1">
        <v>729.14804391652478</v>
      </c>
      <c r="BF69" s="1">
        <v>728.87101371499864</v>
      </c>
      <c r="BG69" s="1">
        <v>729.32212969224224</v>
      </c>
      <c r="BH69" s="1">
        <v>728.80070400310808</v>
      </c>
      <c r="BI69" s="1">
        <v>727.77416054058403</v>
      </c>
      <c r="BJ69" s="1">
        <v>727.76007544642243</v>
      </c>
      <c r="BK69" s="1">
        <v>727.93169145056004</v>
      </c>
      <c r="BL69" s="1">
        <v>727.93874173247036</v>
      </c>
      <c r="BM69" s="1">
        <v>730.39972073911986</v>
      </c>
      <c r="BN69" s="1">
        <v>730.3928421187386</v>
      </c>
      <c r="BO69" s="1">
        <v>730.40926255223894</v>
      </c>
      <c r="BP69" s="1">
        <v>729.90259187778406</v>
      </c>
      <c r="BQ69" s="1">
        <v>730.03844546583161</v>
      </c>
      <c r="BR69" s="1">
        <v>730.31007554220355</v>
      </c>
      <c r="BS69" s="1">
        <v>730.3392913848312</v>
      </c>
      <c r="BT69" s="1">
        <v>730.11689598421776</v>
      </c>
      <c r="BU69" s="1">
        <v>730.13066750695452</v>
      </c>
      <c r="BV69" s="1">
        <v>730.05350500234636</v>
      </c>
      <c r="BW69" s="1">
        <v>729.11007803105406</v>
      </c>
      <c r="BX69" s="1">
        <v>729.76816248806267</v>
      </c>
      <c r="BY69" s="1">
        <v>729.3738624183859</v>
      </c>
      <c r="BZ69" s="1">
        <v>729.74941467840915</v>
      </c>
      <c r="CA69" s="1">
        <v>729.74671732640024</v>
      </c>
      <c r="CB69" s="1">
        <v>728.75451540026518</v>
      </c>
      <c r="CC69" s="1">
        <v>728.78314559400928</v>
      </c>
      <c r="CD69" s="1">
        <v>729.38909673077558</v>
      </c>
      <c r="CE69" s="1">
        <v>728.49259165713238</v>
      </c>
      <c r="CF69" s="1">
        <v>728.97871225719848</v>
      </c>
      <c r="CG69" s="1">
        <v>729.41001480167881</v>
      </c>
      <c r="CH69" s="1">
        <v>729.18505831858454</v>
      </c>
      <c r="CI69" s="1">
        <v>728.49656891144286</v>
      </c>
      <c r="CJ69" s="1">
        <v>728.45592651121774</v>
      </c>
      <c r="CK69" s="1">
        <v>728.48396423713939</v>
      </c>
      <c r="CL69" s="1">
        <v>726.29559400368021</v>
      </c>
      <c r="CM69" s="1">
        <v>726.30427933509964</v>
      </c>
      <c r="CN69" s="1">
        <v>726.36027187448315</v>
      </c>
      <c r="CO69" s="1">
        <v>726.35059917299156</v>
      </c>
      <c r="CP69" s="1">
        <v>726.00738086599495</v>
      </c>
      <c r="CQ69" s="1">
        <v>725.95162747713084</v>
      </c>
      <c r="CR69" s="1">
        <v>725.8906706597968</v>
      </c>
      <c r="CS69" s="1">
        <v>725.83465623721929</v>
      </c>
      <c r="CT69" s="1">
        <v>725.82422014504311</v>
      </c>
      <c r="CU69" s="1">
        <v>726.37875083378844</v>
      </c>
      <c r="CV69" s="1">
        <v>726.38395281809244</v>
      </c>
    </row>
    <row r="70" spans="2:105" ht="14.45">
      <c r="B70" s="1" t="s">
        <v>167</v>
      </c>
      <c r="C70" s="1" t="s">
        <v>171</v>
      </c>
      <c r="D70" s="1">
        <f>+OXIDOS!R65</f>
        <v>634.27168956940716</v>
      </c>
      <c r="F70" s="1">
        <v>638.23193892562313</v>
      </c>
      <c r="G70" s="1">
        <v>638.40181236827743</v>
      </c>
      <c r="H70" s="1">
        <v>638.53612231131092</v>
      </c>
      <c r="I70" s="1">
        <v>639.59935983530704</v>
      </c>
      <c r="J70" s="1">
        <v>640.41064808322324</v>
      </c>
      <c r="K70" s="1">
        <v>639.4205689451494</v>
      </c>
      <c r="L70" s="1">
        <v>639.42068934065912</v>
      </c>
      <c r="M70" s="1">
        <v>639.42057512459178</v>
      </c>
      <c r="N70" s="1">
        <v>639.33789163190136</v>
      </c>
      <c r="O70" s="1">
        <v>639.42043599856015</v>
      </c>
      <c r="P70" s="1">
        <v>637.79510816540869</v>
      </c>
      <c r="Q70" s="1">
        <v>640.58063508401722</v>
      </c>
      <c r="R70" s="1">
        <v>641.28803326618129</v>
      </c>
      <c r="S70" s="1">
        <v>639.36540139812564</v>
      </c>
      <c r="T70" s="1">
        <v>640.74651092886745</v>
      </c>
      <c r="U70" s="1">
        <v>640.72251367632305</v>
      </c>
      <c r="V70" s="1">
        <v>640.89176403472959</v>
      </c>
      <c r="W70" s="1">
        <v>640.89160687219419</v>
      </c>
      <c r="X70" s="1">
        <v>640.08716952844918</v>
      </c>
      <c r="Y70" s="1">
        <v>637.60008171727668</v>
      </c>
      <c r="Z70" s="1">
        <v>637.59991328081628</v>
      </c>
      <c r="AA70" s="1">
        <v>637.28660535362053</v>
      </c>
      <c r="AB70" s="1">
        <v>637.28651822009601</v>
      </c>
      <c r="AC70" s="1">
        <v>638.43198287183759</v>
      </c>
      <c r="AD70" s="1">
        <v>638.43185429497839</v>
      </c>
      <c r="AE70" s="1">
        <v>638.47922620505983</v>
      </c>
      <c r="AF70" s="1">
        <v>639.17078143182562</v>
      </c>
      <c r="AG70" s="1">
        <v>638.47922620505983</v>
      </c>
      <c r="AH70" s="1">
        <v>637.24090274882906</v>
      </c>
      <c r="AI70" s="1">
        <v>636.74926817050027</v>
      </c>
      <c r="AJ70" s="1">
        <v>635.6400124664309</v>
      </c>
      <c r="AK70" s="1">
        <v>634.84428463970971</v>
      </c>
      <c r="AL70" s="1">
        <v>634.1586166123343</v>
      </c>
      <c r="AM70" s="1">
        <v>634.136100514399</v>
      </c>
      <c r="AN70" s="1">
        <v>635.74629573244147</v>
      </c>
      <c r="AO70" s="1">
        <v>635.74638172874484</v>
      </c>
      <c r="AP70" s="1">
        <v>635.74651072272547</v>
      </c>
      <c r="AQ70" s="1">
        <v>637.66495138960499</v>
      </c>
      <c r="AR70" s="1">
        <v>637.66508781349012</v>
      </c>
      <c r="AS70" s="1">
        <v>637.66495138960499</v>
      </c>
      <c r="AT70" s="1">
        <v>637.6651332879843</v>
      </c>
      <c r="AU70" s="1">
        <v>637.69061126688746</v>
      </c>
      <c r="AV70" s="1">
        <v>637.69074670352552</v>
      </c>
      <c r="AW70" s="1">
        <v>636.15399864268659</v>
      </c>
      <c r="AX70" s="1">
        <v>635.86890409094076</v>
      </c>
      <c r="AY70" s="1">
        <v>639.41486251891138</v>
      </c>
      <c r="AZ70" s="1">
        <v>638.5485689275572</v>
      </c>
      <c r="BA70" s="1">
        <v>636.92492944542596</v>
      </c>
      <c r="BB70" s="1">
        <v>636.42223171458704</v>
      </c>
      <c r="BC70" s="1">
        <v>637.39746359232322</v>
      </c>
      <c r="BD70" s="1">
        <v>637.39746359232322</v>
      </c>
      <c r="BE70" s="1">
        <v>637.39746359232322</v>
      </c>
      <c r="BF70" s="1">
        <v>637.08955213030151</v>
      </c>
      <c r="BG70" s="1">
        <v>637.2465534446286</v>
      </c>
      <c r="BH70" s="1">
        <v>636.82560146455626</v>
      </c>
      <c r="BI70" s="1">
        <v>636.53629195318115</v>
      </c>
      <c r="BJ70" s="1">
        <v>636.52722600216032</v>
      </c>
      <c r="BK70" s="1">
        <v>636.4315461653855</v>
      </c>
      <c r="BL70" s="1">
        <v>636.4361032734638</v>
      </c>
      <c r="BM70" s="1">
        <v>637.10350912025524</v>
      </c>
      <c r="BN70" s="1">
        <v>637.23747795147915</v>
      </c>
      <c r="BO70" s="1">
        <v>637.24804878323891</v>
      </c>
      <c r="BP70" s="1">
        <v>636.87330248340731</v>
      </c>
      <c r="BQ70" s="1">
        <v>636.89661388465072</v>
      </c>
      <c r="BR70" s="1">
        <v>636.86357816574537</v>
      </c>
      <c r="BS70" s="1">
        <v>636.96730984293208</v>
      </c>
      <c r="BT70" s="1">
        <v>636.54062900582426</v>
      </c>
      <c r="BU70" s="1">
        <v>636.54952955845226</v>
      </c>
      <c r="BV70" s="1">
        <v>636.53134892571711</v>
      </c>
      <c r="BW70" s="1">
        <v>635.96046139509781</v>
      </c>
      <c r="BX70" s="1">
        <v>636.56761149943691</v>
      </c>
      <c r="BY70" s="1">
        <v>636.42512945831641</v>
      </c>
      <c r="BZ70" s="1">
        <v>637.13231406194222</v>
      </c>
      <c r="CA70" s="1">
        <v>637.15298532612496</v>
      </c>
      <c r="CB70" s="1">
        <v>636.33212840999977</v>
      </c>
      <c r="CC70" s="1">
        <v>636.35726946551893</v>
      </c>
      <c r="CD70" s="1">
        <v>636.79079204041614</v>
      </c>
      <c r="CE70" s="1">
        <v>636.04930110267435</v>
      </c>
      <c r="CF70" s="1">
        <v>636.34161053774426</v>
      </c>
      <c r="CG70" s="1">
        <v>636.740156207322</v>
      </c>
      <c r="CH70" s="1">
        <v>636.56757195153205</v>
      </c>
      <c r="CI70" s="1">
        <v>635.99397868394703</v>
      </c>
      <c r="CJ70" s="1">
        <v>635.95823686739209</v>
      </c>
      <c r="CK70" s="1">
        <v>635.96509177445841</v>
      </c>
      <c r="CL70" s="1">
        <v>634.65395785966098</v>
      </c>
      <c r="CM70" s="1">
        <v>634.63902061248564</v>
      </c>
      <c r="CN70" s="1">
        <v>634.65282057575587</v>
      </c>
      <c r="CO70" s="1">
        <v>634.64190847999953</v>
      </c>
      <c r="CP70" s="1">
        <v>634.19669798258246</v>
      </c>
      <c r="CQ70" s="1">
        <v>634.15122039633809</v>
      </c>
      <c r="CR70" s="1">
        <v>634.10236073528904</v>
      </c>
      <c r="CS70" s="1">
        <v>634.08852790594779</v>
      </c>
      <c r="CT70" s="1">
        <v>634.08174518431099</v>
      </c>
      <c r="CU70" s="1">
        <v>634.26155471165271</v>
      </c>
      <c r="CV70" s="1">
        <v>634.26493346741847</v>
      </c>
    </row>
    <row r="71" spans="2:105" ht="14.45">
      <c r="B71" s="1" t="s">
        <v>167</v>
      </c>
      <c r="C71" s="1" t="s">
        <v>172</v>
      </c>
      <c r="D71" s="1">
        <f>+OXIDOS!R66</f>
        <v>560.91523345745736</v>
      </c>
      <c r="F71" s="1">
        <v>564.71942433507024</v>
      </c>
      <c r="G71" s="1">
        <v>564.78812229661446</v>
      </c>
      <c r="H71" s="1">
        <v>564.90713800958997</v>
      </c>
      <c r="I71" s="1">
        <v>565.74203593107575</v>
      </c>
      <c r="J71" s="1">
        <v>566.4895314118753</v>
      </c>
      <c r="K71" s="1">
        <v>565.64024001598455</v>
      </c>
      <c r="L71" s="1">
        <v>565.64030399210549</v>
      </c>
      <c r="M71" s="1">
        <v>565.64024312170034</v>
      </c>
      <c r="N71" s="1">
        <v>565.5675330411982</v>
      </c>
      <c r="O71" s="1">
        <v>565.64016901456409</v>
      </c>
      <c r="P71" s="1">
        <v>564.20130078571628</v>
      </c>
      <c r="Q71" s="1">
        <v>566.6410342359253</v>
      </c>
      <c r="R71" s="1">
        <v>567.16535543937664</v>
      </c>
      <c r="S71" s="1">
        <v>565.62858662492806</v>
      </c>
      <c r="T71" s="1">
        <v>566.35263015556973</v>
      </c>
      <c r="U71" s="1">
        <v>566.33164587771921</v>
      </c>
      <c r="V71" s="1">
        <v>566.52087813909975</v>
      </c>
      <c r="W71" s="1">
        <v>566.52079390409256</v>
      </c>
      <c r="X71" s="1">
        <v>565.94249479748612</v>
      </c>
      <c r="Y71" s="1">
        <v>564.02152451091615</v>
      </c>
      <c r="Z71" s="1">
        <v>564.02143203738672</v>
      </c>
      <c r="AA71" s="1">
        <v>563.55659546892923</v>
      </c>
      <c r="AB71" s="1">
        <v>563.55654691437064</v>
      </c>
      <c r="AC71" s="1">
        <v>564.50038572457424</v>
      </c>
      <c r="AD71" s="1">
        <v>564.50031476408685</v>
      </c>
      <c r="AE71" s="1">
        <v>564.55817596555028</v>
      </c>
      <c r="AF71" s="1">
        <v>565.1279641776905</v>
      </c>
      <c r="AG71" s="1">
        <v>564.55817596555028</v>
      </c>
      <c r="AH71" s="1">
        <v>563.54406307387876</v>
      </c>
      <c r="AI71" s="1">
        <v>563.14452008076989</v>
      </c>
      <c r="AJ71" s="1">
        <v>562.06988190276616</v>
      </c>
      <c r="AK71" s="1">
        <v>561.54163003497297</v>
      </c>
      <c r="AL71" s="1">
        <v>560.99572328707893</v>
      </c>
      <c r="AM71" s="1">
        <v>560.97595056526677</v>
      </c>
      <c r="AN71" s="1">
        <v>562.32424712961017</v>
      </c>
      <c r="AO71" s="1">
        <v>562.32429531628759</v>
      </c>
      <c r="AP71" s="1">
        <v>562.32436759603797</v>
      </c>
      <c r="AQ71" s="1">
        <v>563.80736182966257</v>
      </c>
      <c r="AR71" s="1">
        <v>563.80743659409563</v>
      </c>
      <c r="AS71" s="1">
        <v>563.80736182966257</v>
      </c>
      <c r="AT71" s="1">
        <v>563.80746151549988</v>
      </c>
      <c r="AU71" s="1">
        <v>563.96740367104383</v>
      </c>
      <c r="AV71" s="1">
        <v>563.96747774816185</v>
      </c>
      <c r="AW71" s="1">
        <v>562.83616816320989</v>
      </c>
      <c r="AX71" s="1">
        <v>562.64794557605603</v>
      </c>
      <c r="AY71" s="1">
        <v>565.47761158649155</v>
      </c>
      <c r="AZ71" s="1">
        <v>564.81097570743282</v>
      </c>
      <c r="BA71" s="1">
        <v>563.38897323191986</v>
      </c>
      <c r="BB71" s="1">
        <v>562.87347644551483</v>
      </c>
      <c r="BC71" s="1">
        <v>563.71810930091203</v>
      </c>
      <c r="BD71" s="1">
        <v>563.71810930091203</v>
      </c>
      <c r="BE71" s="1">
        <v>563.71810930091203</v>
      </c>
      <c r="BF71" s="1">
        <v>563.37614773841324</v>
      </c>
      <c r="BG71" s="1">
        <v>563.28862205793439</v>
      </c>
      <c r="BH71" s="1">
        <v>562.95541103328492</v>
      </c>
      <c r="BI71" s="1">
        <v>563.22226200405976</v>
      </c>
      <c r="BJ71" s="1">
        <v>563.21726895285644</v>
      </c>
      <c r="BK71" s="1">
        <v>562.93717223981275</v>
      </c>
      <c r="BL71" s="1">
        <v>562.93970408632867</v>
      </c>
      <c r="BM71" s="1">
        <v>562.55154394000726</v>
      </c>
      <c r="BN71" s="1">
        <v>562.81208873863454</v>
      </c>
      <c r="BO71" s="1">
        <v>562.81786982197184</v>
      </c>
      <c r="BP71" s="1">
        <v>562.48107196006765</v>
      </c>
      <c r="BQ71" s="1">
        <v>562.48381434963756</v>
      </c>
      <c r="BR71" s="1">
        <v>562.41556906953076</v>
      </c>
      <c r="BS71" s="1">
        <v>562.59179006429076</v>
      </c>
      <c r="BT71" s="1">
        <v>561.9654989346559</v>
      </c>
      <c r="BU71" s="1">
        <v>561.97038423796903</v>
      </c>
      <c r="BV71" s="1">
        <v>561.9603998605869</v>
      </c>
      <c r="BW71" s="1">
        <v>561.66704844837136</v>
      </c>
      <c r="BX71" s="1">
        <v>562.3011031126963</v>
      </c>
      <c r="BY71" s="1">
        <v>562.35636287930549</v>
      </c>
      <c r="BZ71" s="1">
        <v>563.34304668161292</v>
      </c>
      <c r="CA71" s="1">
        <v>563.36287177942916</v>
      </c>
      <c r="CB71" s="1">
        <v>562.68462724557912</v>
      </c>
      <c r="CC71" s="1">
        <v>562.706833467499</v>
      </c>
      <c r="CD71" s="1">
        <v>563.02672379442151</v>
      </c>
      <c r="CE71" s="1">
        <v>562.41435774987849</v>
      </c>
      <c r="CF71" s="1">
        <v>562.56118299557193</v>
      </c>
      <c r="CG71" s="1">
        <v>562.97475435103354</v>
      </c>
      <c r="CH71" s="1">
        <v>562.84855919792074</v>
      </c>
      <c r="CI71" s="1">
        <v>562.37069829871859</v>
      </c>
      <c r="CJ71" s="1">
        <v>562.33907744772807</v>
      </c>
      <c r="CK71" s="1">
        <v>562.34288369471369</v>
      </c>
      <c r="CL71" s="1">
        <v>561.59357378493939</v>
      </c>
      <c r="CM71" s="1">
        <v>561.57360982090859</v>
      </c>
      <c r="CN71" s="1">
        <v>561.58129006876266</v>
      </c>
      <c r="CO71" s="1">
        <v>561.56939899724262</v>
      </c>
      <c r="CP71" s="1">
        <v>561.02264354369538</v>
      </c>
      <c r="CQ71" s="1">
        <v>560.98570117146721</v>
      </c>
      <c r="CR71" s="1">
        <v>560.94687506016396</v>
      </c>
      <c r="CS71" s="1">
        <v>560.9391628231848</v>
      </c>
      <c r="CT71" s="1">
        <v>560.93538159393677</v>
      </c>
      <c r="CU71" s="1">
        <v>560.90959948195655</v>
      </c>
      <c r="CV71" s="1">
        <v>560.91147773497892</v>
      </c>
    </row>
    <row r="72" spans="2:105" ht="14.45">
      <c r="B72" s="1" t="s">
        <v>138</v>
      </c>
      <c r="C72" s="1" t="s">
        <v>173</v>
      </c>
      <c r="D72" s="1">
        <f>+OXIDOS!R67</f>
        <v>89.288515240988588</v>
      </c>
      <c r="F72" s="1">
        <v>87.832191455541746</v>
      </c>
      <c r="G72" s="1">
        <v>87.526930784834377</v>
      </c>
      <c r="H72" s="1">
        <v>87.479239566810961</v>
      </c>
      <c r="I72" s="1">
        <v>86.991701472222232</v>
      </c>
      <c r="J72" s="1">
        <v>86.757523158888517</v>
      </c>
      <c r="K72" s="1">
        <v>87.14467116378087</v>
      </c>
      <c r="L72" s="1">
        <v>87.144573945161937</v>
      </c>
      <c r="M72" s="1">
        <v>87.144665893551831</v>
      </c>
      <c r="N72" s="1">
        <v>87.174734926300331</v>
      </c>
      <c r="O72" s="1">
        <v>87.144777956580327</v>
      </c>
      <c r="P72" s="1">
        <v>87.942826857041211</v>
      </c>
      <c r="Q72" s="1">
        <v>86.701023961118679</v>
      </c>
      <c r="R72" s="1">
        <v>86.414880426346755</v>
      </c>
      <c r="S72" s="1">
        <v>86.994668976673097</v>
      </c>
      <c r="T72" s="1">
        <v>85.990215608572072</v>
      </c>
      <c r="U72" s="1">
        <v>85.999112729968132</v>
      </c>
      <c r="V72" s="1">
        <v>86.055127901881932</v>
      </c>
      <c r="W72" s="1">
        <v>86.055253631925908</v>
      </c>
      <c r="X72" s="1">
        <v>86.370960929403964</v>
      </c>
      <c r="Y72" s="1">
        <v>87.518007724021203</v>
      </c>
      <c r="Z72" s="1">
        <v>87.518138976616243</v>
      </c>
      <c r="AA72" s="1">
        <v>87.439816790403682</v>
      </c>
      <c r="AB72" s="1">
        <v>87.43988378404427</v>
      </c>
      <c r="AC72" s="1">
        <v>86.941625929474426</v>
      </c>
      <c r="AD72" s="1">
        <v>86.941725648602585</v>
      </c>
      <c r="AE72" s="1">
        <v>86.946313973926351</v>
      </c>
      <c r="AF72" s="1">
        <v>86.645449929292838</v>
      </c>
      <c r="AG72" s="1">
        <v>86.946313973926351</v>
      </c>
      <c r="AH72" s="1">
        <v>87.817997527992077</v>
      </c>
      <c r="AI72" s="1">
        <v>88.006845836282423</v>
      </c>
      <c r="AJ72" s="1">
        <v>88.361118993556204</v>
      </c>
      <c r="AK72" s="1">
        <v>89.128541497824855</v>
      </c>
      <c r="AL72" s="1">
        <v>89.596491631121367</v>
      </c>
      <c r="AM72" s="1">
        <v>89.604639547918566</v>
      </c>
      <c r="AN72" s="1">
        <v>88.368974207266021</v>
      </c>
      <c r="AO72" s="1">
        <v>88.368908025935781</v>
      </c>
      <c r="AP72" s="1">
        <v>88.368808754305547</v>
      </c>
      <c r="AQ72" s="1">
        <v>87.566511329382962</v>
      </c>
      <c r="AR72" s="1">
        <v>87.566404268909025</v>
      </c>
      <c r="AS72" s="1">
        <v>87.566511329382962</v>
      </c>
      <c r="AT72" s="1">
        <v>87.566368582189625</v>
      </c>
      <c r="AU72" s="1">
        <v>87.554580700810988</v>
      </c>
      <c r="AV72" s="1">
        <v>87.554474035296849</v>
      </c>
      <c r="AW72" s="1">
        <v>88.209414158743357</v>
      </c>
      <c r="AX72" s="1">
        <v>88.247800087127658</v>
      </c>
      <c r="AY72" s="1">
        <v>87.00064046322332</v>
      </c>
      <c r="AZ72" s="1">
        <v>87.42069598056068</v>
      </c>
      <c r="BA72" s="1">
        <v>87.779557962144281</v>
      </c>
      <c r="BB72" s="1">
        <v>87.726382631678533</v>
      </c>
      <c r="BC72" s="1">
        <v>87.426426119788957</v>
      </c>
      <c r="BD72" s="1">
        <v>87.426426119788957</v>
      </c>
      <c r="BE72" s="1">
        <v>87.426426119788957</v>
      </c>
      <c r="BF72" s="1">
        <v>87.454408420115584</v>
      </c>
      <c r="BG72" s="1">
        <v>87.213436659558766</v>
      </c>
      <c r="BH72" s="1">
        <v>87.454785987000236</v>
      </c>
      <c r="BI72" s="1">
        <v>87.796386216293286</v>
      </c>
      <c r="BJ72" s="1">
        <v>87.803416007620314</v>
      </c>
      <c r="BK72" s="1">
        <v>87.495739310486343</v>
      </c>
      <c r="BL72" s="1">
        <v>87.492236717284555</v>
      </c>
      <c r="BM72" s="1">
        <v>87.131778896914724</v>
      </c>
      <c r="BN72" s="1">
        <v>87.064004269338582</v>
      </c>
      <c r="BO72" s="1">
        <v>87.055764995189421</v>
      </c>
      <c r="BP72" s="1">
        <v>87.184060980222796</v>
      </c>
      <c r="BQ72" s="1">
        <v>87.153455822424391</v>
      </c>
      <c r="BR72" s="1">
        <v>87.116855214703534</v>
      </c>
      <c r="BS72" s="1">
        <v>87.346508218118586</v>
      </c>
      <c r="BT72" s="1">
        <v>87.447642251064593</v>
      </c>
      <c r="BU72" s="1">
        <v>87.44071445563543</v>
      </c>
      <c r="BV72" s="1">
        <v>87.454862239203877</v>
      </c>
      <c r="BW72" s="1">
        <v>87.879279178152672</v>
      </c>
      <c r="BX72" s="1">
        <v>87.803563168026969</v>
      </c>
      <c r="BY72" s="1">
        <v>88.035660067046777</v>
      </c>
      <c r="BZ72" s="1">
        <v>87.972864973534485</v>
      </c>
      <c r="CA72" s="1">
        <v>87.967355709179742</v>
      </c>
      <c r="CB72" s="1">
        <v>88.322655322819458</v>
      </c>
      <c r="CC72" s="1">
        <v>88.313576539922735</v>
      </c>
      <c r="CD72" s="1">
        <v>87.954164760434111</v>
      </c>
      <c r="CE72" s="1">
        <v>88.275806368748846</v>
      </c>
      <c r="CF72" s="1">
        <v>88.12763441751413</v>
      </c>
      <c r="CG72" s="1">
        <v>88.150010369925525</v>
      </c>
      <c r="CH72" s="1">
        <v>88.299147914371716</v>
      </c>
      <c r="CI72" s="1">
        <v>88.542757835281591</v>
      </c>
      <c r="CJ72" s="1">
        <v>88.555614704325166</v>
      </c>
      <c r="CK72" s="1">
        <v>88.550341137066084</v>
      </c>
      <c r="CL72" s="1">
        <v>89.347467988873973</v>
      </c>
      <c r="CM72" s="1">
        <v>89.344501196169176</v>
      </c>
      <c r="CN72" s="1">
        <v>89.333926280292886</v>
      </c>
      <c r="CO72" s="1">
        <v>89.33509070365092</v>
      </c>
      <c r="CP72" s="1">
        <v>89.436585438173424</v>
      </c>
      <c r="CQ72" s="1">
        <v>89.457039748740669</v>
      </c>
      <c r="CR72" s="1">
        <v>89.480083883151167</v>
      </c>
      <c r="CS72" s="1">
        <v>89.490669446559266</v>
      </c>
      <c r="CT72" s="1">
        <v>89.49585910014585</v>
      </c>
      <c r="CU72" s="1">
        <v>89.296299686769217</v>
      </c>
      <c r="CV72" s="1">
        <v>89.293704510625474</v>
      </c>
    </row>
    <row r="73" spans="2:105" ht="14.45">
      <c r="B73" s="1" t="s">
        <v>167</v>
      </c>
      <c r="C73" s="1" t="s">
        <v>174</v>
      </c>
      <c r="D73" s="1">
        <f>+OXIDOS!R68</f>
        <v>165.47912115908923</v>
      </c>
      <c r="F73" s="1">
        <v>164.9795827426899</v>
      </c>
      <c r="G73" s="1">
        <v>165.20239576926542</v>
      </c>
      <c r="H73" s="1">
        <v>165.2355386660023</v>
      </c>
      <c r="I73" s="1">
        <v>165.75530559749757</v>
      </c>
      <c r="J73" s="1">
        <v>165.8916068561781</v>
      </c>
      <c r="K73" s="1">
        <v>165.58406387451146</v>
      </c>
      <c r="L73" s="1">
        <v>165.58418980672866</v>
      </c>
      <c r="M73" s="1">
        <v>165.58407072697094</v>
      </c>
      <c r="N73" s="1">
        <v>165.562409448469</v>
      </c>
      <c r="O73" s="1">
        <v>165.58392559169988</v>
      </c>
      <c r="P73" s="1">
        <v>165.18299764326571</v>
      </c>
      <c r="Q73" s="1">
        <v>165.95493411472899</v>
      </c>
      <c r="R73" s="1">
        <v>166.38258912818571</v>
      </c>
      <c r="S73" s="1">
        <v>165.51183785975093</v>
      </c>
      <c r="T73" s="1">
        <v>166.99000127875672</v>
      </c>
      <c r="U73" s="1">
        <v>166.98344923908064</v>
      </c>
      <c r="V73" s="1">
        <v>166.99579916829771</v>
      </c>
      <c r="W73" s="1">
        <v>166.99563653573182</v>
      </c>
      <c r="X73" s="1">
        <v>166.46493058609803</v>
      </c>
      <c r="Y73" s="1">
        <v>165.20050223453973</v>
      </c>
      <c r="Z73" s="1">
        <v>165.20033274813511</v>
      </c>
      <c r="AA73" s="1">
        <v>165.58020344076976</v>
      </c>
      <c r="AB73" s="1">
        <v>165.58011736642175</v>
      </c>
      <c r="AC73" s="1">
        <v>166.02316287744088</v>
      </c>
      <c r="AD73" s="1">
        <v>166.02303431300606</v>
      </c>
      <c r="AE73" s="1">
        <v>166.00078449213174</v>
      </c>
      <c r="AF73" s="1">
        <v>166.26835249025771</v>
      </c>
      <c r="AG73" s="1">
        <v>166.00078449213174</v>
      </c>
      <c r="AH73" s="1">
        <v>165.49769380621547</v>
      </c>
      <c r="AI73" s="1">
        <v>165.28292738887296</v>
      </c>
      <c r="AJ73" s="1">
        <v>165.18921869878579</v>
      </c>
      <c r="AK73" s="1">
        <v>164.63192846805293</v>
      </c>
      <c r="AL73" s="1">
        <v>164.28798172426457</v>
      </c>
      <c r="AM73" s="1">
        <v>164.28201607491474</v>
      </c>
      <c r="AN73" s="1">
        <v>164.850376841502</v>
      </c>
      <c r="AO73" s="1">
        <v>164.85046114682439</v>
      </c>
      <c r="AP73" s="1">
        <v>164.8505876043431</v>
      </c>
      <c r="AQ73" s="1">
        <v>165.78947956582863</v>
      </c>
      <c r="AR73" s="1">
        <v>165.78961713155775</v>
      </c>
      <c r="AS73" s="1">
        <v>165.78947956582863</v>
      </c>
      <c r="AT73" s="1">
        <v>165.78966298666558</v>
      </c>
      <c r="AU73" s="1">
        <v>165.56126426599201</v>
      </c>
      <c r="AV73" s="1">
        <v>165.56140106293753</v>
      </c>
      <c r="AW73" s="1">
        <v>164.60998662959457</v>
      </c>
      <c r="AX73" s="1">
        <v>164.37851743393264</v>
      </c>
      <c r="AY73" s="1">
        <v>166.02173130277311</v>
      </c>
      <c r="AZ73" s="1">
        <v>165.6003346054448</v>
      </c>
      <c r="BA73" s="1">
        <v>165.13502448116469</v>
      </c>
      <c r="BB73" s="1">
        <v>165.13044394602412</v>
      </c>
      <c r="BC73" s="1">
        <v>165.42993461561275</v>
      </c>
      <c r="BD73" s="1">
        <v>165.42993461561275</v>
      </c>
      <c r="BE73" s="1">
        <v>165.42993461561275</v>
      </c>
      <c r="BF73" s="1">
        <v>165.4948659765854</v>
      </c>
      <c r="BG73" s="1">
        <v>166.03350763430785</v>
      </c>
      <c r="BH73" s="1">
        <v>165.84529296982316</v>
      </c>
      <c r="BI73" s="1">
        <v>164.55189853652428</v>
      </c>
      <c r="BJ73" s="1">
        <v>164.54280649356599</v>
      </c>
      <c r="BK73" s="1">
        <v>164.99451921074728</v>
      </c>
      <c r="BL73" s="1">
        <v>164.99903764614169</v>
      </c>
      <c r="BM73" s="1">
        <v>167.84817679911259</v>
      </c>
      <c r="BN73" s="1">
        <v>167.58075338010406</v>
      </c>
      <c r="BO73" s="1">
        <v>167.5913927302671</v>
      </c>
      <c r="BP73" s="1">
        <v>167.42151991771641</v>
      </c>
      <c r="BQ73" s="1">
        <v>167.55463111619406</v>
      </c>
      <c r="BR73" s="1">
        <v>167.89450647267279</v>
      </c>
      <c r="BS73" s="1">
        <v>167.74750132054044</v>
      </c>
      <c r="BT73" s="1">
        <v>168.15139704956187</v>
      </c>
      <c r="BU73" s="1">
        <v>168.16028326898549</v>
      </c>
      <c r="BV73" s="1">
        <v>168.09310514175945</v>
      </c>
      <c r="BW73" s="1">
        <v>167.4430295826827</v>
      </c>
      <c r="BX73" s="1">
        <v>167.46705937536638</v>
      </c>
      <c r="BY73" s="1">
        <v>167.0174995390804</v>
      </c>
      <c r="BZ73" s="1">
        <v>166.40636799679623</v>
      </c>
      <c r="CA73" s="1">
        <v>166.38384554697109</v>
      </c>
      <c r="CB73" s="1">
        <v>166.06988815468605</v>
      </c>
      <c r="CC73" s="1">
        <v>166.07631212651029</v>
      </c>
      <c r="CD73" s="1">
        <v>166.36237293635406</v>
      </c>
      <c r="CE73" s="1">
        <v>166.07823390725389</v>
      </c>
      <c r="CF73" s="1">
        <v>166.41752926162656</v>
      </c>
      <c r="CG73" s="1">
        <v>166.43526045064527</v>
      </c>
      <c r="CH73" s="1">
        <v>166.3364991206638</v>
      </c>
      <c r="CI73" s="1">
        <v>166.12587061272427</v>
      </c>
      <c r="CJ73" s="1">
        <v>166.11684906348967</v>
      </c>
      <c r="CK73" s="1">
        <v>166.1410805424257</v>
      </c>
      <c r="CL73" s="1">
        <v>164.70202021874081</v>
      </c>
      <c r="CM73" s="1">
        <v>164.73066951419105</v>
      </c>
      <c r="CN73" s="1">
        <v>164.77898180572049</v>
      </c>
      <c r="CO73" s="1">
        <v>164.78120017574895</v>
      </c>
      <c r="CP73" s="1">
        <v>164.98473732229957</v>
      </c>
      <c r="CQ73" s="1">
        <v>164.96592630566363</v>
      </c>
      <c r="CR73" s="1">
        <v>164.94379559963284</v>
      </c>
      <c r="CS73" s="1">
        <v>164.89549341403449</v>
      </c>
      <c r="CT73" s="1">
        <v>164.88883855110635</v>
      </c>
      <c r="CU73" s="1">
        <v>165.4691513518319</v>
      </c>
      <c r="CV73" s="1">
        <v>165.47247508311352</v>
      </c>
    </row>
    <row r="74" spans="2:105" ht="14.45">
      <c r="B74" s="1" t="s">
        <v>115</v>
      </c>
      <c r="C74" s="1" t="s">
        <v>175</v>
      </c>
      <c r="D74" s="1">
        <f>+OXIDOS!R69</f>
        <v>112.5938341768064</v>
      </c>
      <c r="F74" s="1">
        <v>114.17237467154035</v>
      </c>
      <c r="G74" s="1">
        <v>114.1875132122893</v>
      </c>
      <c r="H74" s="1">
        <v>114.23412699459176</v>
      </c>
      <c r="I74" s="1">
        <v>114.54374946012953</v>
      </c>
      <c r="J74" s="1">
        <v>114.83968154847108</v>
      </c>
      <c r="K74" s="1">
        <v>114.51244003934879</v>
      </c>
      <c r="L74" s="1">
        <v>114.51245864815398</v>
      </c>
      <c r="M74" s="1">
        <v>114.51244089903679</v>
      </c>
      <c r="N74" s="1">
        <v>114.48411144078712</v>
      </c>
      <c r="O74" s="1">
        <v>114.51241929971359</v>
      </c>
      <c r="P74" s="1">
        <v>113.94929547091932</v>
      </c>
      <c r="Q74" s="1">
        <v>114.89745849897592</v>
      </c>
      <c r="R74" s="1">
        <v>115.08440818439512</v>
      </c>
      <c r="S74" s="1">
        <v>114.51196281837986</v>
      </c>
      <c r="T74" s="1">
        <v>114.71825983536135</v>
      </c>
      <c r="U74" s="1">
        <v>114.71015405674008</v>
      </c>
      <c r="V74" s="1">
        <v>114.78603209531317</v>
      </c>
      <c r="W74" s="1">
        <v>114.7860077272293</v>
      </c>
      <c r="X74" s="1">
        <v>114.58320853681462</v>
      </c>
      <c r="Y74" s="1">
        <v>113.87498157665836</v>
      </c>
      <c r="Z74" s="1">
        <v>113.87495345380827</v>
      </c>
      <c r="AA74" s="1">
        <v>113.66421030635824</v>
      </c>
      <c r="AB74" s="1">
        <v>113.66419532420944</v>
      </c>
      <c r="AC74" s="1">
        <v>114.02322664299743</v>
      </c>
      <c r="AD74" s="1">
        <v>114.02320512809925</v>
      </c>
      <c r="AE74" s="1">
        <v>114.04799421143943</v>
      </c>
      <c r="AF74" s="1">
        <v>114.26410004471856</v>
      </c>
      <c r="AG74" s="1">
        <v>114.04799421143943</v>
      </c>
      <c r="AH74" s="1">
        <v>113.66369783512383</v>
      </c>
      <c r="AI74" s="1">
        <v>113.51277091871232</v>
      </c>
      <c r="AJ74" s="1">
        <v>113.07964602724392</v>
      </c>
      <c r="AK74" s="1">
        <v>112.89350504347271</v>
      </c>
      <c r="AL74" s="1">
        <v>112.68819000767085</v>
      </c>
      <c r="AM74" s="1">
        <v>112.68040564875939</v>
      </c>
      <c r="AN74" s="1">
        <v>113.20163258336926</v>
      </c>
      <c r="AO74" s="1">
        <v>113.20164771791235</v>
      </c>
      <c r="AP74" s="1">
        <v>113.20167041962395</v>
      </c>
      <c r="AQ74" s="1">
        <v>113.7546008435272</v>
      </c>
      <c r="AR74" s="1">
        <v>113.75462356328923</v>
      </c>
      <c r="AS74" s="1">
        <v>113.7546008435272</v>
      </c>
      <c r="AT74" s="1">
        <v>113.75463113651527</v>
      </c>
      <c r="AU74" s="1">
        <v>113.83255774178225</v>
      </c>
      <c r="AV74" s="1">
        <v>113.83258020239751</v>
      </c>
      <c r="AW74" s="1">
        <v>113.42388698664732</v>
      </c>
      <c r="AX74" s="1">
        <v>113.35958083340216</v>
      </c>
      <c r="AY74" s="1">
        <v>114.42051943892311</v>
      </c>
      <c r="AZ74" s="1">
        <v>114.17383073331573</v>
      </c>
      <c r="BA74" s="1">
        <v>113.62064572477497</v>
      </c>
      <c r="BB74" s="1">
        <v>113.41060535620508</v>
      </c>
      <c r="BC74" s="1">
        <v>113.73838499110576</v>
      </c>
      <c r="BD74" s="1">
        <v>113.73838499110576</v>
      </c>
      <c r="BE74" s="1">
        <v>113.73838499110576</v>
      </c>
      <c r="BF74" s="1">
        <v>113.5954565101156</v>
      </c>
      <c r="BG74" s="1">
        <v>113.53011725029461</v>
      </c>
      <c r="BH74" s="1">
        <v>113.40493878698345</v>
      </c>
      <c r="BI74" s="1">
        <v>113.58495362451579</v>
      </c>
      <c r="BJ74" s="1">
        <v>113.58341691957739</v>
      </c>
      <c r="BK74" s="1">
        <v>113.44404452226942</v>
      </c>
      <c r="BL74" s="1">
        <v>113.4448299890485</v>
      </c>
      <c r="BM74" s="1">
        <v>113.13366285780313</v>
      </c>
      <c r="BN74" s="1">
        <v>113.25308542391379</v>
      </c>
      <c r="BO74" s="1">
        <v>113.25485084924762</v>
      </c>
      <c r="BP74" s="1">
        <v>113.12782815774057</v>
      </c>
      <c r="BQ74" s="1">
        <v>113.12187705928665</v>
      </c>
      <c r="BR74" s="1">
        <v>113.07635636254172</v>
      </c>
      <c r="BS74" s="1">
        <v>113.15524471107497</v>
      </c>
      <c r="BT74" s="1">
        <v>112.88145032214814</v>
      </c>
      <c r="BU74" s="1">
        <v>112.88295766624177</v>
      </c>
      <c r="BV74" s="1">
        <v>112.88242163857187</v>
      </c>
      <c r="BW74" s="1">
        <v>112.79771287224314</v>
      </c>
      <c r="BX74" s="1">
        <v>113.05268797965586</v>
      </c>
      <c r="BY74" s="1">
        <v>113.09881402721689</v>
      </c>
      <c r="BZ74" s="1">
        <v>113.53173091778474</v>
      </c>
      <c r="CA74" s="1">
        <v>113.54101430853298</v>
      </c>
      <c r="CB74" s="1">
        <v>113.28266025993099</v>
      </c>
      <c r="CC74" s="1">
        <v>113.29133762809485</v>
      </c>
      <c r="CD74" s="1">
        <v>113.40574999371098</v>
      </c>
      <c r="CE74" s="1">
        <v>113.1723790581557</v>
      </c>
      <c r="CF74" s="1">
        <v>113.21382577495169</v>
      </c>
      <c r="CG74" s="1">
        <v>113.38069653292879</v>
      </c>
      <c r="CH74" s="1">
        <v>113.33483235946713</v>
      </c>
      <c r="CI74" s="1">
        <v>113.15209092735053</v>
      </c>
      <c r="CJ74" s="1">
        <v>113.13972512275487</v>
      </c>
      <c r="CK74" s="1">
        <v>113.13997794412825</v>
      </c>
      <c r="CL74" s="1">
        <v>112.91103921279347</v>
      </c>
      <c r="CM74" s="1">
        <v>112.90137026290354</v>
      </c>
      <c r="CN74" s="1">
        <v>112.90196153108786</v>
      </c>
      <c r="CO74" s="1">
        <v>112.89698676801008</v>
      </c>
      <c r="CP74" s="1">
        <v>112.66309235537489</v>
      </c>
      <c r="CQ74" s="1">
        <v>112.64898414190219</v>
      </c>
      <c r="CR74" s="1">
        <v>112.63427595069501</v>
      </c>
      <c r="CS74" s="1">
        <v>112.63361868847348</v>
      </c>
      <c r="CT74" s="1">
        <v>112.63241794806456</v>
      </c>
      <c r="CU74" s="1">
        <v>112.59205049259069</v>
      </c>
      <c r="CV74" s="1">
        <v>112.59264515278657</v>
      </c>
    </row>
    <row r="75" spans="2:105" ht="14.45">
      <c r="B75" s="1" t="s">
        <v>176</v>
      </c>
      <c r="C75" s="1" t="s">
        <v>177</v>
      </c>
      <c r="D75" s="1">
        <f>+OXIDOS!R70</f>
        <v>88.330151278338732</v>
      </c>
      <c r="F75" s="1">
        <v>87.319827664028381</v>
      </c>
      <c r="G75" s="1">
        <v>87.342277530246747</v>
      </c>
      <c r="H75" s="1">
        <v>87.308261559002261</v>
      </c>
      <c r="I75" s="1">
        <v>87.133692339050157</v>
      </c>
      <c r="J75" s="1">
        <v>86.910619990534329</v>
      </c>
      <c r="K75" s="1">
        <v>87.14189995213701</v>
      </c>
      <c r="L75" s="1">
        <v>87.141898893929792</v>
      </c>
      <c r="M75" s="1">
        <v>87.141899975038456</v>
      </c>
      <c r="N75" s="1">
        <v>87.162455002001423</v>
      </c>
      <c r="O75" s="1">
        <v>87.141901275091683</v>
      </c>
      <c r="P75" s="1">
        <v>87.497533418122018</v>
      </c>
      <c r="Q75" s="1">
        <v>86.960434346477896</v>
      </c>
      <c r="R75" s="1">
        <v>86.91149826761351</v>
      </c>
      <c r="S75" s="1">
        <v>87.214498689440688</v>
      </c>
      <c r="T75" s="1">
        <v>87.206487994983391</v>
      </c>
      <c r="U75" s="1">
        <v>87.212382989273891</v>
      </c>
      <c r="V75" s="1">
        <v>87.192281253792416</v>
      </c>
      <c r="W75" s="1">
        <v>87.192283007122569</v>
      </c>
      <c r="X75" s="1">
        <v>87.247815216938648</v>
      </c>
      <c r="Y75" s="1">
        <v>87.662359202002207</v>
      </c>
      <c r="Z75" s="1">
        <v>87.662362375689369</v>
      </c>
      <c r="AA75" s="1">
        <v>87.980103101633262</v>
      </c>
      <c r="AB75" s="1">
        <v>87.980105272880422</v>
      </c>
      <c r="AC75" s="1">
        <v>87.738889067215112</v>
      </c>
      <c r="AD75" s="1">
        <v>87.738891792222077</v>
      </c>
      <c r="AE75" s="1">
        <v>87.718713332463039</v>
      </c>
      <c r="AF75" s="1">
        <v>87.573108924429349</v>
      </c>
      <c r="AG75" s="1">
        <v>87.718713332463039</v>
      </c>
      <c r="AH75" s="1">
        <v>87.980694269946966</v>
      </c>
      <c r="AI75" s="1">
        <v>88.077495987346396</v>
      </c>
      <c r="AJ75" s="1">
        <v>88.356566500116799</v>
      </c>
      <c r="AK75" s="1">
        <v>88.534479637725155</v>
      </c>
      <c r="AL75" s="1">
        <v>88.606478907412694</v>
      </c>
      <c r="AM75" s="1">
        <v>88.612049764804397</v>
      </c>
      <c r="AN75" s="1">
        <v>88.198866804958001</v>
      </c>
      <c r="AO75" s="1">
        <v>88.198864367291449</v>
      </c>
      <c r="AP75" s="1">
        <v>88.19886071080505</v>
      </c>
      <c r="AQ75" s="1">
        <v>87.778806457872577</v>
      </c>
      <c r="AR75" s="1">
        <v>87.77880379725778</v>
      </c>
      <c r="AS75" s="1">
        <v>87.778806457872577</v>
      </c>
      <c r="AT75" s="1">
        <v>87.778802910388805</v>
      </c>
      <c r="AU75" s="1">
        <v>87.759520026566534</v>
      </c>
      <c r="AV75" s="1">
        <v>87.759517409260283</v>
      </c>
      <c r="AW75" s="1">
        <v>87.867388157964072</v>
      </c>
      <c r="AX75" s="1">
        <v>87.853597574808958</v>
      </c>
      <c r="AY75" s="1">
        <v>87.380235505850749</v>
      </c>
      <c r="AZ75" s="1">
        <v>87.523519370270208</v>
      </c>
      <c r="BA75" s="1">
        <v>87.838656173527283</v>
      </c>
      <c r="BB75" s="1">
        <v>87.918482164309864</v>
      </c>
      <c r="BC75" s="1">
        <v>87.718821623791868</v>
      </c>
      <c r="BD75" s="1">
        <v>87.718821623791868</v>
      </c>
      <c r="BE75" s="1">
        <v>87.718821623791868</v>
      </c>
      <c r="BF75" s="1">
        <v>87.779165951298097</v>
      </c>
      <c r="BG75" s="1">
        <v>87.860631913755341</v>
      </c>
      <c r="BH75" s="1">
        <v>87.957809092305951</v>
      </c>
      <c r="BI75" s="1">
        <v>87.718643192755636</v>
      </c>
      <c r="BJ75" s="1">
        <v>87.718826384618936</v>
      </c>
      <c r="BK75" s="1">
        <v>87.831839957299948</v>
      </c>
      <c r="BL75" s="1">
        <v>87.831736743142997</v>
      </c>
      <c r="BM75" s="1">
        <v>88.090934707246532</v>
      </c>
      <c r="BN75" s="1">
        <v>88.057863777213143</v>
      </c>
      <c r="BO75" s="1">
        <v>88.057685085079299</v>
      </c>
      <c r="BP75" s="1">
        <v>88.146681284901874</v>
      </c>
      <c r="BQ75" s="1">
        <v>88.162838125474309</v>
      </c>
      <c r="BR75" s="1">
        <v>88.227053734969104</v>
      </c>
      <c r="BS75" s="1">
        <v>88.01764392583928</v>
      </c>
      <c r="BT75" s="1">
        <v>88.136060149698139</v>
      </c>
      <c r="BU75" s="1">
        <v>88.135891497914344</v>
      </c>
      <c r="BV75" s="1">
        <v>88.130872159127989</v>
      </c>
      <c r="BW75" s="1">
        <v>88.127233964989983</v>
      </c>
      <c r="BX75" s="1">
        <v>88.105240822218903</v>
      </c>
      <c r="BY75" s="1">
        <v>88.017182451072557</v>
      </c>
      <c r="BZ75" s="1">
        <v>87.812513186193456</v>
      </c>
      <c r="CA75" s="1">
        <v>87.803574069035704</v>
      </c>
      <c r="CB75" s="1">
        <v>87.977321928244749</v>
      </c>
      <c r="CC75" s="1">
        <v>87.97100220846518</v>
      </c>
      <c r="CD75" s="1">
        <v>87.854048187363375</v>
      </c>
      <c r="CE75" s="1">
        <v>88.011101260670202</v>
      </c>
      <c r="CF75" s="1">
        <v>87.991335091157751</v>
      </c>
      <c r="CG75" s="1">
        <v>87.935772760542349</v>
      </c>
      <c r="CH75" s="1">
        <v>87.929145902651939</v>
      </c>
      <c r="CI75" s="1">
        <v>88.053316521496086</v>
      </c>
      <c r="CJ75" s="1">
        <v>88.062342582926334</v>
      </c>
      <c r="CK75" s="1">
        <v>88.064087590131535</v>
      </c>
      <c r="CL75" s="1">
        <v>87.942138095540002</v>
      </c>
      <c r="CM75" s="1">
        <v>87.95250984994189</v>
      </c>
      <c r="CN75" s="1">
        <v>87.955972537971306</v>
      </c>
      <c r="CO75" s="1">
        <v>87.960285477798095</v>
      </c>
      <c r="CP75" s="1">
        <v>88.04896865595893</v>
      </c>
      <c r="CQ75" s="1">
        <v>88.05817716836404</v>
      </c>
      <c r="CR75" s="1">
        <v>88.067469731665412</v>
      </c>
      <c r="CS75" s="1">
        <v>88.064016321282807</v>
      </c>
      <c r="CT75" s="1">
        <v>88.064186725793761</v>
      </c>
      <c r="CU75" s="1">
        <v>88.330405771900416</v>
      </c>
      <c r="CV75" s="1">
        <v>88.330320928914986</v>
      </c>
    </row>
    <row r="76" spans="2:105" ht="14.45">
      <c r="B76" s="1" t="s">
        <v>167</v>
      </c>
      <c r="C76" s="1" t="s">
        <v>178</v>
      </c>
      <c r="D76" s="1">
        <f>+OXIDOS!R71</f>
        <v>553.00474838297328</v>
      </c>
      <c r="F76" s="1">
        <v>553.30206156072404</v>
      </c>
      <c r="G76" s="1">
        <v>552.89377136843393</v>
      </c>
      <c r="H76" s="1">
        <v>553.0974996968115</v>
      </c>
      <c r="I76" s="1">
        <v>554.26388142596454</v>
      </c>
      <c r="J76" s="1">
        <v>555.64841254146188</v>
      </c>
      <c r="K76" s="1">
        <v>554.26702921145124</v>
      </c>
      <c r="L76" s="1">
        <v>554.26702857377904</v>
      </c>
      <c r="M76" s="1">
        <v>554.26702845101511</v>
      </c>
      <c r="N76" s="1">
        <v>554.14400254762893</v>
      </c>
      <c r="O76" s="1">
        <v>554.26702846018304</v>
      </c>
      <c r="P76" s="1">
        <v>552.17640645885592</v>
      </c>
      <c r="Q76" s="1">
        <v>555.43480083340694</v>
      </c>
      <c r="R76" s="1">
        <v>556.16419592400462</v>
      </c>
      <c r="S76" s="1">
        <v>553.7413261552241</v>
      </c>
      <c r="T76" s="1">
        <v>553.40748145517557</v>
      </c>
      <c r="U76" s="1">
        <v>553.37237087567951</v>
      </c>
      <c r="V76" s="1">
        <v>554.22522143968729</v>
      </c>
      <c r="W76" s="1">
        <v>554.22521870026844</v>
      </c>
      <c r="X76" s="1">
        <v>553.46983543768306</v>
      </c>
      <c r="Y76" s="1">
        <v>550.92601044748426</v>
      </c>
      <c r="Z76" s="1">
        <v>550.92599782706588</v>
      </c>
      <c r="AA76" s="1">
        <v>549.58078726886129</v>
      </c>
      <c r="AB76" s="1">
        <v>549.58077761001448</v>
      </c>
      <c r="AC76" s="1">
        <v>551.01177554319304</v>
      </c>
      <c r="AD76" s="1">
        <v>551.01176422703645</v>
      </c>
      <c r="AE76" s="1">
        <v>551.1742391904977</v>
      </c>
      <c r="AF76" s="1">
        <v>552.03800606688969</v>
      </c>
      <c r="AG76" s="1">
        <v>551.1742391904977</v>
      </c>
      <c r="AH76" s="1">
        <v>549.42939513669205</v>
      </c>
      <c r="AI76" s="1">
        <v>548.81403452862253</v>
      </c>
      <c r="AJ76" s="1">
        <v>546.77090201230158</v>
      </c>
      <c r="AK76" s="1">
        <v>546.05620624026153</v>
      </c>
      <c r="AL76" s="1">
        <v>545.7421840276736</v>
      </c>
      <c r="AM76" s="1">
        <v>545.70883921690381</v>
      </c>
      <c r="AN76" s="1">
        <v>547.99040435344489</v>
      </c>
      <c r="AO76" s="1">
        <v>547.99041470907582</v>
      </c>
      <c r="AP76" s="1">
        <v>547.9904302424651</v>
      </c>
      <c r="AQ76" s="1">
        <v>550.78923048718309</v>
      </c>
      <c r="AR76" s="1">
        <v>550.78923949002024</v>
      </c>
      <c r="AS76" s="1">
        <v>550.78923048718309</v>
      </c>
      <c r="AT76" s="1">
        <v>550.78924249095701</v>
      </c>
      <c r="AU76" s="1">
        <v>550.68152748631974</v>
      </c>
      <c r="AV76" s="1">
        <v>550.68153553101445</v>
      </c>
      <c r="AW76" s="1">
        <v>549.0653648299176</v>
      </c>
      <c r="AX76" s="1">
        <v>548.79803231171707</v>
      </c>
      <c r="AY76" s="1">
        <v>553.61850775935238</v>
      </c>
      <c r="AZ76" s="1">
        <v>552.99893624180277</v>
      </c>
      <c r="BA76" s="1">
        <v>550.26973701711847</v>
      </c>
      <c r="BB76" s="1">
        <v>548.73992307342269</v>
      </c>
      <c r="BC76" s="1">
        <v>550.44065186648015</v>
      </c>
      <c r="BD76" s="1">
        <v>550.44065186648015</v>
      </c>
      <c r="BE76" s="1">
        <v>550.44065186648015</v>
      </c>
      <c r="BF76" s="1">
        <v>549.58937427184549</v>
      </c>
      <c r="BG76" s="1">
        <v>548.56008471353869</v>
      </c>
      <c r="BH76" s="1">
        <v>548.14094485754526</v>
      </c>
      <c r="BI76" s="1">
        <v>549.2154776471067</v>
      </c>
      <c r="BJ76" s="1">
        <v>549.21472625885758</v>
      </c>
      <c r="BK76" s="1">
        <v>547.77928847061639</v>
      </c>
      <c r="BL76" s="1">
        <v>547.7797778891952</v>
      </c>
      <c r="BM76" s="1">
        <v>551.13179531426204</v>
      </c>
      <c r="BN76" s="1">
        <v>551.06061172554246</v>
      </c>
      <c r="BO76" s="1">
        <v>551.06107218951627</v>
      </c>
      <c r="BP76" s="1">
        <v>550.10521559965468</v>
      </c>
      <c r="BQ76" s="1">
        <v>550.42678310884685</v>
      </c>
      <c r="BR76" s="1">
        <v>551.29544233805211</v>
      </c>
      <c r="BS76" s="1">
        <v>553.65785953589284</v>
      </c>
      <c r="BT76" s="1">
        <v>553.04788560754366</v>
      </c>
      <c r="BU76" s="1">
        <v>553.04817785132161</v>
      </c>
      <c r="BV76" s="1">
        <v>552.84295780440107</v>
      </c>
      <c r="BW76" s="1">
        <v>552.90497320369661</v>
      </c>
      <c r="BX76" s="1">
        <v>553.81313580840663</v>
      </c>
      <c r="BY76" s="1">
        <v>554.49199983220262</v>
      </c>
      <c r="BZ76" s="1">
        <v>555.84026985409548</v>
      </c>
      <c r="CA76" s="1">
        <v>555.77712680485013</v>
      </c>
      <c r="CB76" s="1">
        <v>554.74101983326261</v>
      </c>
      <c r="CC76" s="1">
        <v>554.779164496421</v>
      </c>
      <c r="CD76" s="1">
        <v>554.6053109840168</v>
      </c>
      <c r="CE76" s="1">
        <v>553.67146114131265</v>
      </c>
      <c r="CF76" s="1">
        <v>553.96813883026425</v>
      </c>
      <c r="CG76" s="1">
        <v>555.16678683503915</v>
      </c>
      <c r="CH76" s="1">
        <v>555.39897799286382</v>
      </c>
      <c r="CI76" s="1">
        <v>554.65760615776571</v>
      </c>
      <c r="CJ76" s="1">
        <v>554.60312275560057</v>
      </c>
      <c r="CK76" s="1">
        <v>554.67645292671932</v>
      </c>
      <c r="CL76" s="1">
        <v>554.71992457102897</v>
      </c>
      <c r="CM76" s="1">
        <v>554.73968520022106</v>
      </c>
      <c r="CN76" s="1">
        <v>554.88556022289583</v>
      </c>
      <c r="CO76" s="1">
        <v>554.85892869436225</v>
      </c>
      <c r="CP76" s="1">
        <v>554.24063071862838</v>
      </c>
      <c r="CQ76" s="1">
        <v>554.18588559026648</v>
      </c>
      <c r="CR76" s="1">
        <v>554.1309233100003</v>
      </c>
      <c r="CS76" s="1">
        <v>553.98505052532619</v>
      </c>
      <c r="CT76" s="1">
        <v>553.98457966343528</v>
      </c>
      <c r="CU76" s="1">
        <v>553.00415512456289</v>
      </c>
      <c r="CV76" s="1">
        <v>553.00435290486951</v>
      </c>
    </row>
    <row r="77" spans="2:105" ht="14.45">
      <c r="B77" s="1" t="s">
        <v>115</v>
      </c>
      <c r="C77" s="1" t="s">
        <v>179</v>
      </c>
      <c r="D77" s="35">
        <f>+OXIDOS!R72</f>
        <v>7.4239990123826649E-2</v>
      </c>
      <c r="F77" s="35">
        <v>8.0849306727442949E-2</v>
      </c>
      <c r="G77" s="35">
        <v>9.6505437944268357E-2</v>
      </c>
      <c r="H77" s="35">
        <v>9.6567376983594522E-2</v>
      </c>
      <c r="I77" s="35">
        <v>9.7120709614657241E-2</v>
      </c>
      <c r="J77" s="35">
        <v>9.7188642411156767E-2</v>
      </c>
      <c r="K77" s="35">
        <v>9.7163598990351652E-2</v>
      </c>
      <c r="L77" s="35">
        <v>9.7163537519514453E-2</v>
      </c>
      <c r="M77" s="35">
        <v>9.7163715161058373E-2</v>
      </c>
      <c r="N77" s="35">
        <v>9.712788176815812E-2</v>
      </c>
      <c r="O77" s="35">
        <v>9.7163905521428728E-2</v>
      </c>
      <c r="P77" s="35">
        <v>6.5463754745289315E-2</v>
      </c>
      <c r="Q77" s="35">
        <v>8.178740412726293E-2</v>
      </c>
      <c r="R77" s="35">
        <v>8.164439956352465E-2</v>
      </c>
      <c r="S77" s="35">
        <v>8.3045639034131868E-2</v>
      </c>
      <c r="T77" s="35">
        <v>8.1016115185150395E-2</v>
      </c>
      <c r="U77" s="35">
        <v>8.1005997553733167E-2</v>
      </c>
      <c r="V77" s="35">
        <v>8.0980816976219616E-2</v>
      </c>
      <c r="W77" s="35">
        <v>8.0981035432751036E-2</v>
      </c>
      <c r="X77" s="35">
        <v>8.1313364523094789E-2</v>
      </c>
      <c r="Y77" s="35">
        <v>8.3082092509521477E-2</v>
      </c>
      <c r="Z77" s="35">
        <v>8.3082318224297236E-2</v>
      </c>
      <c r="AA77" s="35">
        <v>8.4409517743692986E-2</v>
      </c>
      <c r="AB77" s="35">
        <v>8.4409632703151938E-2</v>
      </c>
      <c r="AC77" s="35">
        <v>8.3823940224680649E-2</v>
      </c>
      <c r="AD77" s="35">
        <v>8.3824112167329878E-2</v>
      </c>
      <c r="AE77" s="35">
        <v>7.609257363287536E-2</v>
      </c>
      <c r="AF77" s="35">
        <v>7.5735515800078645E-2</v>
      </c>
      <c r="AG77" s="35">
        <v>7.609257363287536E-2</v>
      </c>
      <c r="AH77" s="35">
        <v>7.7906672958854783E-2</v>
      </c>
      <c r="AI77" s="35">
        <v>7.7790378456669362E-2</v>
      </c>
      <c r="AJ77" s="35">
        <v>7.7718238852650945E-2</v>
      </c>
      <c r="AK77" s="35">
        <v>8.6305577960354096E-2</v>
      </c>
      <c r="AL77" s="35">
        <v>8.5997136751352787E-2</v>
      </c>
      <c r="AM77" s="35">
        <v>8.5986546227925453E-2</v>
      </c>
      <c r="AN77" s="35">
        <v>8.6651974947450472E-2</v>
      </c>
      <c r="AO77" s="35">
        <v>8.6651859265753917E-2</v>
      </c>
      <c r="AP77" s="35">
        <v>8.6651685743792672E-2</v>
      </c>
      <c r="AQ77" s="35">
        <v>9.4162291499581441E-2</v>
      </c>
      <c r="AR77" s="35">
        <v>9.4162104084408615E-2</v>
      </c>
      <c r="AS77" s="35">
        <v>9.4162291499581441E-2</v>
      </c>
      <c r="AT77" s="35">
        <v>9.4162041612851244E-2</v>
      </c>
      <c r="AU77" s="35">
        <v>9.3203743230555691E-2</v>
      </c>
      <c r="AV77" s="35">
        <v>9.3203556559695477E-2</v>
      </c>
      <c r="AW77" s="35">
        <v>9.3521204086936427E-2</v>
      </c>
      <c r="AX77" s="35">
        <v>9.4022276904271451E-2</v>
      </c>
      <c r="AY77" s="35">
        <v>9.3954762072469999E-2</v>
      </c>
      <c r="AZ77" s="35">
        <v>9.3793745415747254E-2</v>
      </c>
      <c r="BA77" s="35">
        <v>9.4732782966685636E-2</v>
      </c>
      <c r="BB77" s="35">
        <v>9.4682176028181964E-2</v>
      </c>
      <c r="BC77" s="35">
        <v>9.4419276025528132E-2</v>
      </c>
      <c r="BD77" s="35">
        <v>9.4419276025528132E-2</v>
      </c>
      <c r="BE77" s="35">
        <v>9.4419276025528132E-2</v>
      </c>
      <c r="BF77" s="35">
        <v>9.448840022442373E-2</v>
      </c>
      <c r="BG77" s="35">
        <v>9.3354405400726814E-2</v>
      </c>
      <c r="BH77" s="35">
        <v>9.3538436971837835E-2</v>
      </c>
      <c r="BI77" s="35">
        <v>9.5696031204209886E-2</v>
      </c>
      <c r="BJ77" s="35">
        <v>9.5705809492355076E-2</v>
      </c>
      <c r="BK77" s="35">
        <v>9.4768786340873823E-2</v>
      </c>
      <c r="BL77" s="35">
        <v>9.4763960069919273E-2</v>
      </c>
      <c r="BM77" s="35">
        <v>9.6312950293817257E-2</v>
      </c>
      <c r="BN77" s="35">
        <v>0.11137168688096055</v>
      </c>
      <c r="BO77" s="35">
        <v>0.1113603250730445</v>
      </c>
      <c r="BP77" s="35">
        <v>0.11115928764247196</v>
      </c>
      <c r="BQ77" s="35">
        <v>0.11108308811021939</v>
      </c>
      <c r="BR77" s="35">
        <v>0.11087209138792831</v>
      </c>
      <c r="BS77" s="35">
        <v>0.1102264334900509</v>
      </c>
      <c r="BT77" s="35">
        <v>9.4852002111704636E-2</v>
      </c>
      <c r="BU77" s="35">
        <v>9.4842396425766862E-2</v>
      </c>
      <c r="BV77" s="35">
        <v>9.4864807484216773E-2</v>
      </c>
      <c r="BW77" s="35">
        <v>9.5765391182706439E-2</v>
      </c>
      <c r="BX77" s="35">
        <v>9.575099201331505E-2</v>
      </c>
      <c r="BY77" s="35">
        <v>9.6425837003562886E-2</v>
      </c>
      <c r="BZ77" s="35">
        <v>9.5877680289671474E-2</v>
      </c>
      <c r="CA77" s="35">
        <v>9.5896295440422774E-2</v>
      </c>
      <c r="CB77" s="35">
        <v>9.6296707408485505E-2</v>
      </c>
      <c r="CC77" s="35">
        <v>9.6308883938176382E-2</v>
      </c>
      <c r="CD77" s="35">
        <v>8.8985848118915967E-2</v>
      </c>
      <c r="CE77" s="35">
        <v>8.9351150956856085E-2</v>
      </c>
      <c r="CF77" s="35">
        <v>8.1111790447651932E-2</v>
      </c>
      <c r="CG77" s="35">
        <v>8.1207462253615192E-2</v>
      </c>
      <c r="CH77" s="35">
        <v>7.3429338447326353E-2</v>
      </c>
      <c r="CI77" s="35">
        <v>7.3706919826411088E-2</v>
      </c>
      <c r="CJ77" s="35">
        <v>7.3688614711599043E-2</v>
      </c>
      <c r="CK77" s="35">
        <v>7.3680060327109054E-2</v>
      </c>
      <c r="CL77" s="35">
        <v>7.4308111775598484E-2</v>
      </c>
      <c r="CM77" s="35">
        <v>7.4266331846748024E-2</v>
      </c>
      <c r="CN77" s="35">
        <v>7.4249181125099262E-2</v>
      </c>
      <c r="CO77" s="35">
        <v>7.4232606848131044E-2</v>
      </c>
      <c r="CP77" s="35">
        <v>7.4233537029306462E-2</v>
      </c>
      <c r="CQ77" s="35">
        <v>7.4226334812789174E-2</v>
      </c>
      <c r="CR77" s="35">
        <v>7.4222837664701724E-2</v>
      </c>
      <c r="CS77" s="35">
        <v>7.4239975617793386E-2</v>
      </c>
      <c r="CT77" s="35">
        <v>7.4247389512550721E-2</v>
      </c>
      <c r="CU77" s="35">
        <v>7.4251110237252504E-2</v>
      </c>
      <c r="CV77" s="35">
        <v>7.4247403046938665E-2</v>
      </c>
      <c r="CW77" s="112"/>
      <c r="CX77" s="112"/>
    </row>
    <row r="78" spans="2:105" ht="14.45">
      <c r="B78" s="1" t="s">
        <v>115</v>
      </c>
      <c r="C78" s="1" t="s">
        <v>180</v>
      </c>
      <c r="D78" s="36">
        <f>+D77-D20%</f>
        <v>-8.3760009876173352E-2</v>
      </c>
      <c r="F78" s="36">
        <v>-7.7150693272557053E-2</v>
      </c>
      <c r="G78" s="36">
        <v>-6.1494562055731644E-2</v>
      </c>
      <c r="H78" s="36">
        <v>-6.143262301640548E-2</v>
      </c>
      <c r="I78" s="36">
        <v>-6.087929038534276E-2</v>
      </c>
      <c r="J78" s="36">
        <v>-6.0811357588843235E-2</v>
      </c>
      <c r="K78" s="36">
        <v>-6.083640100964835E-2</v>
      </c>
      <c r="L78" s="36">
        <v>-6.0836462480485548E-2</v>
      </c>
      <c r="M78" s="36">
        <v>-6.0836284838941629E-2</v>
      </c>
      <c r="N78" s="36">
        <v>-6.0872118231841882E-2</v>
      </c>
      <c r="O78" s="36">
        <v>-6.0836094478571273E-2</v>
      </c>
      <c r="P78" s="36">
        <v>-9.2536245254710686E-2</v>
      </c>
      <c r="Q78" s="36">
        <v>-7.6212595872737071E-2</v>
      </c>
      <c r="R78" s="36">
        <v>-7.6355600436475352E-2</v>
      </c>
      <c r="S78" s="36">
        <v>-7.4954360965868133E-2</v>
      </c>
      <c r="T78" s="36">
        <v>-7.6983884814849607E-2</v>
      </c>
      <c r="U78" s="36">
        <v>-7.6994002446266835E-2</v>
      </c>
      <c r="V78" s="36">
        <v>-7.7019183023780385E-2</v>
      </c>
      <c r="W78" s="36">
        <v>-7.7018964567248965E-2</v>
      </c>
      <c r="X78" s="36">
        <v>-7.6686635476905213E-2</v>
      </c>
      <c r="Y78" s="36">
        <v>-7.4917907490478525E-2</v>
      </c>
      <c r="Z78" s="36">
        <v>-7.4917681775702766E-2</v>
      </c>
      <c r="AA78" s="36">
        <v>-7.3590482256307016E-2</v>
      </c>
      <c r="AB78" s="36">
        <v>-7.3590367296848064E-2</v>
      </c>
      <c r="AC78" s="36">
        <v>-7.4176059775319353E-2</v>
      </c>
      <c r="AD78" s="36">
        <v>-7.4175887832670123E-2</v>
      </c>
      <c r="AE78" s="36">
        <v>-8.1907426367124642E-2</v>
      </c>
      <c r="AF78" s="36">
        <v>-8.2264484199921356E-2</v>
      </c>
      <c r="AG78" s="36">
        <v>-8.1907426367124642E-2</v>
      </c>
      <c r="AH78" s="36">
        <v>-8.0093327041145218E-2</v>
      </c>
      <c r="AI78" s="36">
        <v>-8.0209621543330639E-2</v>
      </c>
      <c r="AJ78" s="36">
        <v>-8.0281761147349057E-2</v>
      </c>
      <c r="AK78" s="36">
        <v>-7.1694422039645905E-2</v>
      </c>
      <c r="AL78" s="36">
        <v>-7.2002863248647214E-2</v>
      </c>
      <c r="AM78" s="36">
        <v>-7.2013453772074548E-2</v>
      </c>
      <c r="AN78" s="36">
        <v>-7.134802505254953E-2</v>
      </c>
      <c r="AO78" s="36">
        <v>-7.1348140734246085E-2</v>
      </c>
      <c r="AP78" s="36">
        <v>-7.1348314256207329E-2</v>
      </c>
      <c r="AQ78" s="36">
        <v>-6.3837708500418561E-2</v>
      </c>
      <c r="AR78" s="36">
        <v>-6.3837895915591386E-2</v>
      </c>
      <c r="AS78" s="36">
        <v>-6.3837708500418561E-2</v>
      </c>
      <c r="AT78" s="36">
        <v>-6.3837958387148758E-2</v>
      </c>
      <c r="AU78" s="36">
        <v>-6.479625676944431E-2</v>
      </c>
      <c r="AV78" s="36">
        <v>-6.4796443440304524E-2</v>
      </c>
      <c r="AW78" s="36">
        <v>-6.4478795913063575E-2</v>
      </c>
      <c r="AX78" s="36">
        <v>-6.397772309572855E-2</v>
      </c>
      <c r="AY78" s="36">
        <v>-6.4045237927530002E-2</v>
      </c>
      <c r="AZ78" s="36">
        <v>-6.4206254584252748E-2</v>
      </c>
      <c r="BA78" s="36">
        <v>-6.3267217033314366E-2</v>
      </c>
      <c r="BB78" s="36">
        <v>-6.3317823971818038E-2</v>
      </c>
      <c r="BC78" s="36">
        <v>-6.358072397447187E-2</v>
      </c>
      <c r="BD78" s="36">
        <v>-6.358072397447187E-2</v>
      </c>
      <c r="BE78" s="36">
        <v>-6.358072397447187E-2</v>
      </c>
      <c r="BF78" s="36">
        <v>-6.3511599775576272E-2</v>
      </c>
      <c r="BG78" s="36">
        <v>-6.4645594599273187E-2</v>
      </c>
      <c r="BH78" s="36">
        <v>-6.4461563028162167E-2</v>
      </c>
      <c r="BI78" s="36">
        <v>-6.2303968795790116E-2</v>
      </c>
      <c r="BJ78" s="36">
        <v>-6.2294190507644925E-2</v>
      </c>
      <c r="BK78" s="36">
        <v>-6.3231213659126179E-2</v>
      </c>
      <c r="BL78" s="36">
        <v>-6.3236039930080729E-2</v>
      </c>
      <c r="BM78" s="36">
        <v>-6.1687049706182745E-2</v>
      </c>
      <c r="BN78" s="36">
        <v>-4.662831311903945E-2</v>
      </c>
      <c r="BO78" s="36">
        <v>-4.6639674926955504E-2</v>
      </c>
      <c r="BP78" s="36">
        <v>-4.6840712357528042E-2</v>
      </c>
      <c r="BQ78" s="36">
        <v>-4.6916911889780616E-2</v>
      </c>
      <c r="BR78" s="36">
        <v>-4.7127908612071695E-2</v>
      </c>
      <c r="BS78" s="36">
        <v>-4.77735665099491E-2</v>
      </c>
      <c r="BT78" s="36">
        <v>-6.3147997888295365E-2</v>
      </c>
      <c r="BU78" s="36">
        <v>-6.315760357423314E-2</v>
      </c>
      <c r="BV78" s="36">
        <v>-6.3135192515783228E-2</v>
      </c>
      <c r="BW78" s="36">
        <v>-6.2234608817293563E-2</v>
      </c>
      <c r="BX78" s="36">
        <v>-6.2249007986684951E-2</v>
      </c>
      <c r="BY78" s="36">
        <v>-6.1574162996437115E-2</v>
      </c>
      <c r="BZ78" s="36">
        <v>-6.2122319710328527E-2</v>
      </c>
      <c r="CA78" s="36">
        <v>-6.2103704559577227E-2</v>
      </c>
      <c r="CB78" s="36">
        <v>-6.1703292591514497E-2</v>
      </c>
      <c r="CC78" s="36">
        <v>-6.169111606182362E-2</v>
      </c>
      <c r="CD78" s="36">
        <v>-6.9014151881084035E-2</v>
      </c>
      <c r="CE78" s="36">
        <v>-6.8648849043143917E-2</v>
      </c>
      <c r="CF78" s="36">
        <v>-7.6888209552348069E-2</v>
      </c>
      <c r="CG78" s="36">
        <v>-7.6792537746384809E-2</v>
      </c>
      <c r="CH78" s="36">
        <v>-8.4570661552673648E-2</v>
      </c>
      <c r="CI78" s="36">
        <v>-8.4293080173588913E-2</v>
      </c>
      <c r="CJ78" s="36">
        <v>-8.4311385288400958E-2</v>
      </c>
      <c r="CK78" s="36">
        <v>-8.4319939672890948E-2</v>
      </c>
      <c r="CL78" s="36">
        <v>-8.3691888224401517E-2</v>
      </c>
      <c r="CM78" s="36">
        <v>-8.3733668153251978E-2</v>
      </c>
      <c r="CN78" s="36">
        <v>-8.375081887490074E-2</v>
      </c>
      <c r="CO78" s="36">
        <v>-8.3767393151868957E-2</v>
      </c>
      <c r="CP78" s="36">
        <v>-8.3766462970693539E-2</v>
      </c>
      <c r="CQ78" s="36">
        <v>-8.3773665187210827E-2</v>
      </c>
      <c r="CR78" s="36">
        <v>-8.3777162335298277E-2</v>
      </c>
      <c r="CS78" s="36">
        <v>-8.3760024382206616E-2</v>
      </c>
      <c r="CT78" s="36">
        <v>-8.375261048744928E-2</v>
      </c>
      <c r="CU78" s="36">
        <v>-8.3748889762747497E-2</v>
      </c>
      <c r="CV78" s="36">
        <v>-8.3752596953061337E-2</v>
      </c>
      <c r="CW78" s="113"/>
      <c r="CX78" s="113"/>
    </row>
    <row r="80" spans="2:105" ht="14.45">
      <c r="C80" s="4" t="s">
        <v>181</v>
      </c>
      <c r="DA80" s="118" t="s">
        <v>182</v>
      </c>
    </row>
    <row r="81" spans="2:106" ht="14.45">
      <c r="B81" s="1" t="s">
        <v>103</v>
      </c>
      <c r="C81" s="1" t="s">
        <v>104</v>
      </c>
      <c r="D81" s="9">
        <f t="shared" ref="D81:D89" si="5">+D8*D$24</f>
        <v>34961.793066673148</v>
      </c>
      <c r="F81" s="9">
        <v>41454.92915094005</v>
      </c>
      <c r="G81" s="9">
        <v>50494.19200559891</v>
      </c>
      <c r="H81" s="9">
        <v>50529.301579700194</v>
      </c>
      <c r="I81" s="9">
        <v>30847.963299907016</v>
      </c>
      <c r="J81" s="9">
        <v>50877.623470549624</v>
      </c>
      <c r="K81" s="9">
        <v>50670.129493917324</v>
      </c>
      <c r="L81" s="9">
        <v>50670.032836280865</v>
      </c>
      <c r="M81" s="9">
        <v>50670.112828781275</v>
      </c>
      <c r="N81" s="9">
        <v>52852.301803551854</v>
      </c>
      <c r="O81" s="9">
        <v>52873.265551055971</v>
      </c>
      <c r="P81" s="9">
        <v>34402.481405235783</v>
      </c>
      <c r="Q81" s="9">
        <v>42021.440061167857</v>
      </c>
      <c r="R81" s="9">
        <v>42007.618496627889</v>
      </c>
      <c r="S81" s="9">
        <v>42908.616152830276</v>
      </c>
      <c r="T81" s="9">
        <v>43487.190614182487</v>
      </c>
      <c r="U81" s="9">
        <v>43481.357252840266</v>
      </c>
      <c r="V81" s="9">
        <v>47490.175545716171</v>
      </c>
      <c r="W81" s="9">
        <v>47490.30483810039</v>
      </c>
      <c r="X81" s="9">
        <v>45999.021951605224</v>
      </c>
      <c r="Y81" s="9">
        <v>44468.771031434539</v>
      </c>
      <c r="Z81" s="9">
        <v>44468.892928347756</v>
      </c>
      <c r="AA81" s="9">
        <v>43990.732789333269</v>
      </c>
      <c r="AB81" s="9">
        <v>43990.793082678036</v>
      </c>
      <c r="AC81" s="9">
        <v>44172.420174791572</v>
      </c>
      <c r="AD81" s="9">
        <v>44172.511363472528</v>
      </c>
      <c r="AE81" s="9">
        <v>36371.837462000483</v>
      </c>
      <c r="AF81" s="9">
        <v>36472.152033449012</v>
      </c>
      <c r="AG81" s="9">
        <v>33529.758999853468</v>
      </c>
      <c r="AH81" s="9">
        <v>37466.818807760785</v>
      </c>
      <c r="AI81" s="9">
        <v>37466.818807760785</v>
      </c>
      <c r="AJ81" s="9">
        <v>37320.978712312099</v>
      </c>
      <c r="AK81" s="9">
        <v>40170.613370077946</v>
      </c>
      <c r="AL81" s="9">
        <v>39679.758526483085</v>
      </c>
      <c r="AM81" s="9">
        <v>39674.541729884484</v>
      </c>
      <c r="AN81" s="9">
        <v>42973.272085151628</v>
      </c>
      <c r="AO81" s="9">
        <v>42973.214302874083</v>
      </c>
      <c r="AP81" s="9">
        <v>42973.127629749106</v>
      </c>
      <c r="AQ81" s="9">
        <v>46986.351097780571</v>
      </c>
      <c r="AR81" s="9">
        <v>46986.25690085828</v>
      </c>
      <c r="AS81" s="9">
        <v>46986.351097780571</v>
      </c>
      <c r="AT81" s="9">
        <v>46986.225501968125</v>
      </c>
      <c r="AU81" s="9">
        <v>47238.766553777903</v>
      </c>
      <c r="AV81" s="9">
        <v>47238.67134206729</v>
      </c>
      <c r="AW81" s="9">
        <v>47238.607867806779</v>
      </c>
      <c r="AX81" s="9">
        <v>47493.876579576026</v>
      </c>
      <c r="AY81" s="9">
        <v>47493.876579576026</v>
      </c>
      <c r="AZ81" s="9">
        <v>47493.876579576026</v>
      </c>
      <c r="BA81" s="9">
        <v>48006.224703021966</v>
      </c>
      <c r="BB81" s="9">
        <v>47999.670216227627</v>
      </c>
      <c r="BC81" s="9">
        <v>48111.24171220541</v>
      </c>
      <c r="BD81" s="9">
        <v>48111.24171220541</v>
      </c>
      <c r="BE81" s="9">
        <v>48111.24171220541</v>
      </c>
      <c r="BF81" s="9">
        <v>48127.641694526857</v>
      </c>
      <c r="BG81" s="9">
        <v>47606.265060117803</v>
      </c>
      <c r="BH81" s="9">
        <v>50504.828172677575</v>
      </c>
      <c r="BI81" s="9">
        <v>48956.245230301662</v>
      </c>
      <c r="BJ81" s="9">
        <v>48962.893102691043</v>
      </c>
      <c r="BK81" s="9">
        <v>48959.5689408295</v>
      </c>
      <c r="BL81" s="9">
        <v>48956.245230301662</v>
      </c>
      <c r="BM81" s="9">
        <v>48765.541652637912</v>
      </c>
      <c r="BN81" s="9">
        <v>57811.479470655198</v>
      </c>
      <c r="BO81" s="9">
        <v>57803.637436001016</v>
      </c>
      <c r="BP81" s="9">
        <v>57686.261700040552</v>
      </c>
      <c r="BQ81" s="9">
        <v>57639.444769132897</v>
      </c>
      <c r="BR81" s="9">
        <v>57514.970330435885</v>
      </c>
      <c r="BS81" s="9">
        <v>57514.970330435885</v>
      </c>
      <c r="BT81" s="9">
        <v>48666.812657525275</v>
      </c>
      <c r="BU81" s="9">
        <v>48660.244936518851</v>
      </c>
      <c r="BV81" s="9">
        <v>48673.382151674501</v>
      </c>
      <c r="BW81" s="9">
        <v>48434.739066371782</v>
      </c>
      <c r="BX81" s="9">
        <v>48444.500198791444</v>
      </c>
      <c r="BY81" s="9">
        <v>48262.938693562421</v>
      </c>
      <c r="BZ81" s="9">
        <v>48211.313675572237</v>
      </c>
      <c r="CA81" s="9">
        <v>48220.984952137034</v>
      </c>
      <c r="CB81" s="9">
        <v>48092.352781541143</v>
      </c>
      <c r="CC81" s="9">
        <v>48098.76808905552</v>
      </c>
      <c r="CD81" s="9">
        <v>38988.899491179807</v>
      </c>
      <c r="CE81" s="9">
        <v>38885.157325301596</v>
      </c>
      <c r="CF81" s="9">
        <v>34996.645092435945</v>
      </c>
      <c r="CG81" s="9">
        <v>35003.630450737823</v>
      </c>
      <c r="CH81" s="9">
        <v>30945.503974126994</v>
      </c>
      <c r="CI81" s="9">
        <v>30855.664822974864</v>
      </c>
      <c r="CJ81" s="9">
        <v>30847.523486609964</v>
      </c>
      <c r="CK81" s="9">
        <v>30843.454429297402</v>
      </c>
      <c r="CL81" s="9">
        <v>31449.58551107836</v>
      </c>
      <c r="CM81" s="9">
        <v>31428.969591372639</v>
      </c>
      <c r="CN81" s="9">
        <v>31764.439786246621</v>
      </c>
      <c r="CO81" s="9">
        <v>32414.718157007388</v>
      </c>
      <c r="CP81" s="9">
        <v>32414.718157007388</v>
      </c>
      <c r="CQ81" s="9">
        <v>32412.594551258113</v>
      </c>
      <c r="CR81" s="9">
        <v>32985.255232375741</v>
      </c>
      <c r="CS81" s="9">
        <v>32993.901432960898</v>
      </c>
      <c r="CT81" s="9">
        <v>32998.226233253597</v>
      </c>
      <c r="CU81" s="9">
        <v>32998.226233253597</v>
      </c>
      <c r="CV81" s="9">
        <v>34496.353462362233</v>
      </c>
      <c r="CW81" s="109">
        <f>+AE81-D81</f>
        <v>1410.0443953273352</v>
      </c>
      <c r="CX81" s="109"/>
      <c r="CZ81" s="9">
        <v>82105.20398717036</v>
      </c>
      <c r="DA81" s="119">
        <v>70000</v>
      </c>
      <c r="DB81" s="1" t="s">
        <v>183</v>
      </c>
    </row>
    <row r="82" spans="2:106" ht="14.45">
      <c r="B82" s="1" t="s">
        <v>103</v>
      </c>
      <c r="C82" s="1" t="s">
        <v>105</v>
      </c>
      <c r="D82" s="9">
        <f t="shared" si="5"/>
        <v>12084.619777393544</v>
      </c>
      <c r="F82" s="9">
        <v>12346.359334084318</v>
      </c>
      <c r="G82" s="9">
        <v>15148.257601679672</v>
      </c>
      <c r="H82" s="9">
        <v>15158.790473910058</v>
      </c>
      <c r="I82" s="9">
        <v>9254.3889899721053</v>
      </c>
      <c r="J82" s="9">
        <v>15263.287041164887</v>
      </c>
      <c r="K82" s="9">
        <v>15308.847634332467</v>
      </c>
      <c r="L82" s="9">
        <v>15308.818431386986</v>
      </c>
      <c r="M82" s="9">
        <v>15308.842599333917</v>
      </c>
      <c r="N82" s="9">
        <v>15968.142247030559</v>
      </c>
      <c r="O82" s="9">
        <v>15974.475974999888</v>
      </c>
      <c r="P82" s="9">
        <v>10393.941190518044</v>
      </c>
      <c r="Q82" s="9">
        <v>12606.432018350359</v>
      </c>
      <c r="R82" s="9">
        <v>12602.285548988368</v>
      </c>
      <c r="S82" s="9">
        <v>12872.584845849084</v>
      </c>
      <c r="T82" s="9">
        <v>12583.527496869825</v>
      </c>
      <c r="U82" s="9">
        <v>12581.839545502717</v>
      </c>
      <c r="V82" s="9">
        <v>13741.838030249786</v>
      </c>
      <c r="W82" s="9">
        <v>13741.875442514154</v>
      </c>
      <c r="X82" s="9">
        <v>13310.355288124065</v>
      </c>
      <c r="Y82" s="9">
        <v>13484.07895791886</v>
      </c>
      <c r="Z82" s="9">
        <v>13484.115920208675</v>
      </c>
      <c r="AA82" s="9">
        <v>13962.276059223168</v>
      </c>
      <c r="AB82" s="9">
        <v>13962.295195806508</v>
      </c>
      <c r="AC82" s="9">
        <v>13731.861054337382</v>
      </c>
      <c r="AD82" s="9">
        <v>13731.889402122981</v>
      </c>
      <c r="AE82" s="9">
        <v>11306.897297969716</v>
      </c>
      <c r="AF82" s="9">
        <v>11179.507471122413</v>
      </c>
      <c r="AG82" s="9">
        <v>10423.38160212836</v>
      </c>
      <c r="AH82" s="9">
        <v>11973.092097262685</v>
      </c>
      <c r="AI82" s="9">
        <v>12135.991309470341</v>
      </c>
      <c r="AJ82" s="9">
        <v>12332.149487546607</v>
      </c>
      <c r="AK82" s="9">
        <v>13826.164601794269</v>
      </c>
      <c r="AL82" s="9">
        <v>13657.219213766271</v>
      </c>
      <c r="AM82" s="9">
        <v>13655.423665169543</v>
      </c>
      <c r="AN82" s="9">
        <v>13826.183192614004</v>
      </c>
      <c r="AO82" s="9">
        <v>13826.164601794269</v>
      </c>
      <c r="AP82" s="9">
        <v>13826.136715658409</v>
      </c>
      <c r="AQ82" s="9">
        <v>14708.770778435655</v>
      </c>
      <c r="AR82" s="9">
        <v>14708.741290703461</v>
      </c>
      <c r="AS82" s="9">
        <v>14708.770778435655</v>
      </c>
      <c r="AT82" s="9">
        <v>14708.731461485675</v>
      </c>
      <c r="AU82" s="9">
        <v>14582.4018492097</v>
      </c>
      <c r="AV82" s="9">
        <v>14582.372457768599</v>
      </c>
      <c r="AW82" s="9">
        <v>14582.352863540355</v>
      </c>
      <c r="AX82" s="9">
        <v>14661.153204999557</v>
      </c>
      <c r="AY82" s="9">
        <v>14661.153204999557</v>
      </c>
      <c r="AZ82" s="9">
        <v>14661.153204999557</v>
      </c>
      <c r="BA82" s="9">
        <v>15028.035559206877</v>
      </c>
      <c r="BB82" s="9">
        <v>15025.983719862563</v>
      </c>
      <c r="BC82" s="9">
        <v>14851.731137246019</v>
      </c>
      <c r="BD82" s="9">
        <v>14851.731137246019</v>
      </c>
      <c r="BE82" s="9">
        <v>14851.731137246019</v>
      </c>
      <c r="BF82" s="9">
        <v>14856.793740484376</v>
      </c>
      <c r="BG82" s="9">
        <v>14695.847040297234</v>
      </c>
      <c r="BH82" s="9">
        <v>15700.413975419333</v>
      </c>
      <c r="BI82" s="9">
        <v>15431.859909551611</v>
      </c>
      <c r="BJ82" s="9">
        <v>15433.955434543916</v>
      </c>
      <c r="BK82" s="9">
        <v>15432.907600913646</v>
      </c>
      <c r="BL82" s="9">
        <v>15431.859909551611</v>
      </c>
      <c r="BM82" s="9">
        <v>15371.746825288037</v>
      </c>
      <c r="BN82" s="9">
        <v>18223.18374618479</v>
      </c>
      <c r="BO82" s="9">
        <v>18220.711800478581</v>
      </c>
      <c r="BP82" s="9">
        <v>18183.712927186694</v>
      </c>
      <c r="BQ82" s="9">
        <v>18168.955416357108</v>
      </c>
      <c r="BR82" s="9">
        <v>18129.718908506962</v>
      </c>
      <c r="BS82" s="9">
        <v>18129.718908506962</v>
      </c>
      <c r="BT82" s="9">
        <v>15340.625729002533</v>
      </c>
      <c r="BU82" s="9">
        <v>15338.555469120072</v>
      </c>
      <c r="BV82" s="9">
        <v>15342.696547810439</v>
      </c>
      <c r="BW82" s="9">
        <v>15478.057919036199</v>
      </c>
      <c r="BX82" s="9">
        <v>15481.177237439873</v>
      </c>
      <c r="BY82" s="9">
        <v>15528.075927493996</v>
      </c>
      <c r="BZ82" s="9">
        <v>15616.273342739703</v>
      </c>
      <c r="CA82" s="9">
        <v>15619.405995366125</v>
      </c>
      <c r="CB82" s="9">
        <v>15786.837543505897</v>
      </c>
      <c r="CC82" s="9">
        <v>15788.943437929094</v>
      </c>
      <c r="CD82" s="9">
        <v>12798.530050365545</v>
      </c>
      <c r="CE82" s="9">
        <v>12933.541458198139</v>
      </c>
      <c r="CF82" s="9">
        <v>11640.188476397174</v>
      </c>
      <c r="CG82" s="9">
        <v>11642.511867310623</v>
      </c>
      <c r="CH82" s="9">
        <v>10427.28938258627</v>
      </c>
      <c r="CI82" s="9">
        <v>10531.172559145769</v>
      </c>
      <c r="CJ82" s="9">
        <v>10528.393885647314</v>
      </c>
      <c r="CK82" s="9">
        <v>10527.005098694983</v>
      </c>
      <c r="CL82" s="9">
        <v>10870.61760056839</v>
      </c>
      <c r="CM82" s="9">
        <v>10863.491663104889</v>
      </c>
      <c r="CN82" s="9">
        <v>10979.447665246114</v>
      </c>
      <c r="CO82" s="9">
        <v>11204.217797748206</v>
      </c>
      <c r="CP82" s="9">
        <v>11204.217797748206</v>
      </c>
      <c r="CQ82" s="9">
        <v>11203.483768804435</v>
      </c>
      <c r="CR82" s="9">
        <v>11401.425178147269</v>
      </c>
      <c r="CS82" s="9">
        <v>11404.413756175614</v>
      </c>
      <c r="CT82" s="9">
        <v>11405.908632798526</v>
      </c>
      <c r="CU82" s="9">
        <v>11405.908632798526</v>
      </c>
      <c r="CV82" s="9">
        <v>11923.73956633825</v>
      </c>
      <c r="CW82" s="109"/>
      <c r="CX82" s="109"/>
      <c r="CZ82" s="9">
        <v>25096.307633814336</v>
      </c>
      <c r="DA82" s="119">
        <v>30000</v>
      </c>
      <c r="DB82" s="1" t="s">
        <v>184</v>
      </c>
    </row>
    <row r="83" spans="2:106" ht="14.45">
      <c r="B83" s="1" t="s">
        <v>103</v>
      </c>
      <c r="C83" s="1" t="s">
        <v>106</v>
      </c>
      <c r="D83" s="9">
        <f t="shared" si="5"/>
        <v>10564.541817972973</v>
      </c>
      <c r="F83" s="9">
        <v>11535.284633305057</v>
      </c>
      <c r="G83" s="9">
        <v>13859.044188770764</v>
      </c>
      <c r="H83" s="9">
        <v>13868.680646343244</v>
      </c>
      <c r="I83" s="9">
        <v>8466.7814163574567</v>
      </c>
      <c r="J83" s="9">
        <v>13964.283888725322</v>
      </c>
      <c r="K83" s="9">
        <v>13907.333414287947</v>
      </c>
      <c r="L83" s="9">
        <v>13907.306884851558</v>
      </c>
      <c r="M83" s="9">
        <v>13907.328840239967</v>
      </c>
      <c r="N83" s="9">
        <v>14506.270069485508</v>
      </c>
      <c r="O83" s="9">
        <v>14512.023949119617</v>
      </c>
      <c r="P83" s="9">
        <v>9442.383194203012</v>
      </c>
      <c r="Q83" s="9">
        <v>11533.544187001391</v>
      </c>
      <c r="R83" s="9">
        <v>11529.750608648932</v>
      </c>
      <c r="S83" s="9">
        <v>11503.160926077904</v>
      </c>
      <c r="T83" s="9">
        <v>11195.638434715065</v>
      </c>
      <c r="U83" s="9">
        <v>11194.136654454622</v>
      </c>
      <c r="V83" s="9">
        <v>12226.194129854588</v>
      </c>
      <c r="W83" s="9">
        <v>12226.22741576627</v>
      </c>
      <c r="X83" s="9">
        <v>11842.301396051558</v>
      </c>
      <c r="Y83" s="9">
        <v>11571.443644738882</v>
      </c>
      <c r="Z83" s="9">
        <v>11571.475364150707</v>
      </c>
      <c r="AA83" s="9">
        <v>11571.475364150707</v>
      </c>
      <c r="AB83" s="9">
        <v>11571.491223921832</v>
      </c>
      <c r="AC83" s="9">
        <v>11619.267045977784</v>
      </c>
      <c r="AD83" s="9">
        <v>11619.291032565599</v>
      </c>
      <c r="AE83" s="9">
        <v>9567.3746367436052</v>
      </c>
      <c r="AF83" s="9">
        <v>9593.7617305376752</v>
      </c>
      <c r="AG83" s="9">
        <v>8819.7844325701517</v>
      </c>
      <c r="AH83" s="9">
        <v>10588.448793497613</v>
      </c>
      <c r="AI83" s="9">
        <v>10588.448793497613</v>
      </c>
      <c r="AJ83" s="9">
        <v>10384.967989512932</v>
      </c>
      <c r="AK83" s="9">
        <v>11584.083855557361</v>
      </c>
      <c r="AL83" s="9">
        <v>11627.092033341556</v>
      </c>
      <c r="AM83" s="9">
        <v>11625.563390617313</v>
      </c>
      <c r="AN83" s="9">
        <v>11677.519588356421</v>
      </c>
      <c r="AO83" s="9">
        <v>11677.503886650566</v>
      </c>
      <c r="AP83" s="9">
        <v>11677.480334170954</v>
      </c>
      <c r="AQ83" s="9">
        <v>13176.607155681942</v>
      </c>
      <c r="AR83" s="9">
        <v>13176.580739588517</v>
      </c>
      <c r="AS83" s="9">
        <v>13176.607155681942</v>
      </c>
      <c r="AT83" s="9">
        <v>13176.571934247584</v>
      </c>
      <c r="AU83" s="9">
        <v>13042.007287673465</v>
      </c>
      <c r="AV83" s="9">
        <v>13041.981000962056</v>
      </c>
      <c r="AW83" s="9">
        <v>13041.963476546654</v>
      </c>
      <c r="AX83" s="9">
        <v>13112.439838274251</v>
      </c>
      <c r="AY83" s="9">
        <v>13112.439838274251</v>
      </c>
      <c r="AZ83" s="9">
        <v>13112.439838274251</v>
      </c>
      <c r="BA83" s="9">
        <v>13045.169756255969</v>
      </c>
      <c r="BB83" s="9">
        <v>13043.388645714031</v>
      </c>
      <c r="BC83" s="9">
        <v>13073.70698701234</v>
      </c>
      <c r="BD83" s="9">
        <v>13073.70698701234</v>
      </c>
      <c r="BE83" s="9">
        <v>13073.70698701234</v>
      </c>
      <c r="BF83" s="9">
        <v>13078.163503947515</v>
      </c>
      <c r="BG83" s="9">
        <v>12936.485070684184</v>
      </c>
      <c r="BH83" s="9">
        <v>13724.138090401515</v>
      </c>
      <c r="BI83" s="9">
        <v>13622.607368431767</v>
      </c>
      <c r="BJ83" s="9">
        <v>13624.457211183595</v>
      </c>
      <c r="BK83" s="9">
        <v>13623.532227013426</v>
      </c>
      <c r="BL83" s="9">
        <v>13622.607368431767</v>
      </c>
      <c r="BM83" s="9">
        <v>14099.602260436614</v>
      </c>
      <c r="BN83" s="9">
        <v>16463.703936208327</v>
      </c>
      <c r="BO83" s="9">
        <v>16461.470661122028</v>
      </c>
      <c r="BP83" s="9">
        <v>16428.044092837634</v>
      </c>
      <c r="BQ83" s="9">
        <v>16414.71144512263</v>
      </c>
      <c r="BR83" s="9">
        <v>16379.263289754566</v>
      </c>
      <c r="BS83" s="9">
        <v>16379.263289754566</v>
      </c>
      <c r="BT83" s="9">
        <v>13859.461865512632</v>
      </c>
      <c r="BU83" s="9">
        <v>13857.591492791238</v>
      </c>
      <c r="BV83" s="9">
        <v>13861.33274319426</v>
      </c>
      <c r="BW83" s="9">
        <v>14003.957164842275</v>
      </c>
      <c r="BX83" s="9">
        <v>14006.779405302743</v>
      </c>
      <c r="BY83" s="9">
        <v>14164.123312241145</v>
      </c>
      <c r="BZ83" s="9">
        <v>14148.972491744027</v>
      </c>
      <c r="CA83" s="9">
        <v>14151.81080117065</v>
      </c>
      <c r="CB83" s="9">
        <v>14114.060055452292</v>
      </c>
      <c r="CC83" s="9">
        <v>14115.942808744554</v>
      </c>
      <c r="CD83" s="9">
        <v>11442.394415889727</v>
      </c>
      <c r="CE83" s="9">
        <v>11411.948345468945</v>
      </c>
      <c r="CF83" s="9">
        <v>10270.754537997507</v>
      </c>
      <c r="CG83" s="9">
        <v>10272.80458880349</v>
      </c>
      <c r="CH83" s="9">
        <v>9216.3783575117359</v>
      </c>
      <c r="CI83" s="9">
        <v>9189.6219146685999</v>
      </c>
      <c r="CJ83" s="9">
        <v>9187.1972123164451</v>
      </c>
      <c r="CK83" s="9">
        <v>9185.9853408994441</v>
      </c>
      <c r="CL83" s="9">
        <v>9503.2443174780256</v>
      </c>
      <c r="CM83" s="9">
        <v>9497.0147243495576</v>
      </c>
      <c r="CN83" s="9">
        <v>9598.3850658440879</v>
      </c>
      <c r="CO83" s="9">
        <v>9794.8822257044067</v>
      </c>
      <c r="CP83" s="9">
        <v>9794.8822257044067</v>
      </c>
      <c r="CQ83" s="9">
        <v>9794.2405274453868</v>
      </c>
      <c r="CR83" s="9">
        <v>9967.2836463048443</v>
      </c>
      <c r="CS83" s="9">
        <v>9969.8963025686189</v>
      </c>
      <c r="CT83" s="9">
        <v>9971.2031443961951</v>
      </c>
      <c r="CU83" s="9">
        <v>9971.2031443961951</v>
      </c>
      <c r="CV83" s="9">
        <v>10423.898111452936</v>
      </c>
      <c r="CW83" s="109"/>
      <c r="CX83" s="109"/>
      <c r="CZ83" s="9">
        <v>22772.575445498194</v>
      </c>
      <c r="DA83" s="119">
        <v>25000</v>
      </c>
      <c r="DB83" s="1" t="s">
        <v>185</v>
      </c>
    </row>
    <row r="84" spans="2:106" ht="14.45">
      <c r="B84" s="1" t="s">
        <v>103</v>
      </c>
      <c r="C84" s="1" t="s">
        <v>107</v>
      </c>
      <c r="D84" s="9">
        <f t="shared" si="5"/>
        <v>0</v>
      </c>
      <c r="F84" s="9">
        <v>2433.2241023377856</v>
      </c>
      <c r="G84" s="9">
        <v>1826.3856682876201</v>
      </c>
      <c r="H84" s="9">
        <v>1827.6555890529858</v>
      </c>
      <c r="I84" s="9">
        <v>1115.7773959540837</v>
      </c>
      <c r="J84" s="9">
        <v>1840.2544659560501</v>
      </c>
      <c r="K84" s="9">
        <v>1832.7493646736052</v>
      </c>
      <c r="L84" s="9">
        <v>1832.7458685463293</v>
      </c>
      <c r="M84" s="9">
        <v>1832.7487618920886</v>
      </c>
      <c r="N84" s="9">
        <v>1911.6790014050669</v>
      </c>
      <c r="O84" s="9">
        <v>1912.4372646126626</v>
      </c>
      <c r="P84" s="9">
        <v>2635.0836821031662</v>
      </c>
      <c r="Q84" s="9">
        <v>1609.3317470234499</v>
      </c>
      <c r="R84" s="9">
        <v>1608.8024105091531</v>
      </c>
      <c r="S84" s="9">
        <v>456.47463992372639</v>
      </c>
      <c r="T84" s="9">
        <v>462.62968738492009</v>
      </c>
      <c r="U84" s="9">
        <v>462.56763034936455</v>
      </c>
      <c r="V84" s="9">
        <v>505.21463346506562</v>
      </c>
      <c r="W84" s="9">
        <v>505.21600891596159</v>
      </c>
      <c r="X84" s="9">
        <v>195.74051894300095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2280.588970907178</v>
      </c>
      <c r="AI84" s="9">
        <v>2117.6897586995224</v>
      </c>
      <c r="AJ84" s="9">
        <v>2271.7117477059537</v>
      </c>
      <c r="AK84" s="9">
        <v>3643.3812126349767</v>
      </c>
      <c r="AL84" s="9">
        <v>4244.811377251679</v>
      </c>
      <c r="AM84" s="9">
        <v>4244.2533013364791</v>
      </c>
      <c r="AN84" s="9">
        <v>700.65117530138525</v>
      </c>
      <c r="AO84" s="9">
        <v>700.65023319903401</v>
      </c>
      <c r="AP84" s="9">
        <v>700.6488200502572</v>
      </c>
      <c r="AQ84" s="9">
        <v>1225.7308982029713</v>
      </c>
      <c r="AR84" s="9">
        <v>1225.728440891955</v>
      </c>
      <c r="AS84" s="9">
        <v>1225.7308982029713</v>
      </c>
      <c r="AT84" s="9">
        <v>1225.7276217904728</v>
      </c>
      <c r="AU84" s="9">
        <v>1232.3156492289886</v>
      </c>
      <c r="AV84" s="9">
        <v>1232.3131654452336</v>
      </c>
      <c r="AW84" s="9">
        <v>1232.3115095949595</v>
      </c>
      <c r="AX84" s="9">
        <v>825.98046225349617</v>
      </c>
      <c r="AY84" s="9">
        <v>825.98046225349617</v>
      </c>
      <c r="AZ84" s="9">
        <v>825.98046225349617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827.93504452378784</v>
      </c>
      <c r="BH84" s="9">
        <v>878.344837785697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109"/>
      <c r="CX84" s="109"/>
      <c r="CZ84" s="9">
        <v>2013.9012298739899</v>
      </c>
      <c r="DA84" s="119">
        <v>14</v>
      </c>
      <c r="DB84" s="1" t="s">
        <v>185</v>
      </c>
    </row>
    <row r="85" spans="2:106" ht="14.45">
      <c r="B85" s="1" t="s">
        <v>103</v>
      </c>
      <c r="C85" s="1" t="s">
        <v>108</v>
      </c>
      <c r="D85" s="9">
        <f t="shared" si="5"/>
        <v>152.00779594205716</v>
      </c>
      <c r="F85" s="9">
        <v>495.65676158732663</v>
      </c>
      <c r="G85" s="9">
        <v>590.88948091658301</v>
      </c>
      <c r="H85" s="9">
        <v>537.5457614861723</v>
      </c>
      <c r="I85" s="9">
        <v>187.05679873347873</v>
      </c>
      <c r="J85" s="9">
        <v>0</v>
      </c>
      <c r="K85" s="9">
        <v>215.6175723145418</v>
      </c>
      <c r="L85" s="9">
        <v>215.6171610054505</v>
      </c>
      <c r="M85" s="9">
        <v>215.61750139906925</v>
      </c>
      <c r="N85" s="9">
        <v>258.63892371950902</v>
      </c>
      <c r="O85" s="9">
        <v>224.99261936619561</v>
      </c>
      <c r="P85" s="9">
        <v>131.75418410515832</v>
      </c>
      <c r="Q85" s="9">
        <v>160.93317470234501</v>
      </c>
      <c r="R85" s="9">
        <v>178.75582338990591</v>
      </c>
      <c r="S85" s="9">
        <v>182.58985596949054</v>
      </c>
      <c r="T85" s="9">
        <v>194.30446870166642</v>
      </c>
      <c r="U85" s="9">
        <v>203.52975735372041</v>
      </c>
      <c r="V85" s="9">
        <v>262.71160940183415</v>
      </c>
      <c r="W85" s="9">
        <v>262.71232463630002</v>
      </c>
      <c r="X85" s="9">
        <v>254.46267462590126</v>
      </c>
      <c r="Y85" s="9">
        <v>248.64259071339745</v>
      </c>
      <c r="Z85" s="9">
        <v>248.64327228753586</v>
      </c>
      <c r="AA85" s="9">
        <v>248.64327228753586</v>
      </c>
      <c r="AB85" s="9">
        <v>248.64361307600629</v>
      </c>
      <c r="AC85" s="9">
        <v>249.6702009879524</v>
      </c>
      <c r="AD85" s="9">
        <v>249.67071640223602</v>
      </c>
      <c r="AE85" s="9">
        <v>205.57995087217665</v>
      </c>
      <c r="AF85" s="9">
        <v>206.14694627601614</v>
      </c>
      <c r="AG85" s="9">
        <v>189.51602912960658</v>
      </c>
      <c r="AH85" s="9">
        <v>219.91393648033505</v>
      </c>
      <c r="AI85" s="9">
        <v>219.91393648033505</v>
      </c>
      <c r="AJ85" s="9">
        <v>219.05791852878843</v>
      </c>
      <c r="AK85" s="9">
        <v>252.23408395165225</v>
      </c>
      <c r="AL85" s="9">
        <v>267.60767378325806</v>
      </c>
      <c r="AM85" s="9">
        <v>276.79912834803127</v>
      </c>
      <c r="AN85" s="9">
        <v>298.9445014619244</v>
      </c>
      <c r="AO85" s="9">
        <v>298.9440994982545</v>
      </c>
      <c r="AP85" s="9">
        <v>298.9434965547764</v>
      </c>
      <c r="AQ85" s="9">
        <v>326.86157285412571</v>
      </c>
      <c r="AR85" s="9">
        <v>326.86091757118805</v>
      </c>
      <c r="AS85" s="9">
        <v>326.86157285412571</v>
      </c>
      <c r="AT85" s="9">
        <v>326.8606991441261</v>
      </c>
      <c r="AU85" s="9">
        <v>328.61750646106367</v>
      </c>
      <c r="AV85" s="9">
        <v>328.61684411872898</v>
      </c>
      <c r="AW85" s="9">
        <v>328.61640255865586</v>
      </c>
      <c r="AX85" s="9">
        <v>330.39218490139848</v>
      </c>
      <c r="AY85" s="9">
        <v>330.39218490139848</v>
      </c>
      <c r="AZ85" s="9">
        <v>330.39218490139848</v>
      </c>
      <c r="BA85" s="9">
        <v>333.95634576015283</v>
      </c>
      <c r="BB85" s="9">
        <v>333.9107493302792</v>
      </c>
      <c r="BC85" s="9">
        <v>366.0637956363455</v>
      </c>
      <c r="BD85" s="9">
        <v>366.0637956363455</v>
      </c>
      <c r="BE85" s="9">
        <v>366.0637956363455</v>
      </c>
      <c r="BF85" s="9">
        <v>334.80098570105639</v>
      </c>
      <c r="BG85" s="9">
        <v>331.17401780951514</v>
      </c>
      <c r="BH85" s="9">
        <v>351.33793511427882</v>
      </c>
      <c r="BI85" s="9">
        <v>340.5651842107942</v>
      </c>
      <c r="BJ85" s="9">
        <v>340.61143027958991</v>
      </c>
      <c r="BK85" s="9">
        <v>340.58830567533568</v>
      </c>
      <c r="BL85" s="9">
        <v>340.5651842107942</v>
      </c>
      <c r="BM85" s="9">
        <v>0</v>
      </c>
      <c r="BN85" s="9">
        <v>0</v>
      </c>
      <c r="BO85" s="9">
        <v>0</v>
      </c>
      <c r="BP85" s="9">
        <v>163.02639176098418</v>
      </c>
      <c r="BQ85" s="9">
        <v>175.42439712344793</v>
      </c>
      <c r="BR85" s="9">
        <v>237.56183397353951</v>
      </c>
      <c r="BS85" s="9">
        <v>237.56183397353951</v>
      </c>
      <c r="BT85" s="9">
        <v>201.01509575934352</v>
      </c>
      <c r="BU85" s="9">
        <v>200.98796821605612</v>
      </c>
      <c r="BV85" s="9">
        <v>201.04223062648163</v>
      </c>
      <c r="BW85" s="9">
        <v>178.99794872354786</v>
      </c>
      <c r="BX85" s="9">
        <v>179.03402247379447</v>
      </c>
      <c r="BY85" s="9">
        <v>157.37914791379049</v>
      </c>
      <c r="BZ85" s="9">
        <v>136.24936473531287</v>
      </c>
      <c r="CA85" s="9">
        <v>125.79387378818356</v>
      </c>
      <c r="CB85" s="9">
        <v>125.45831160402037</v>
      </c>
      <c r="CC85" s="9">
        <v>115.01879325643712</v>
      </c>
      <c r="CD85" s="9">
        <v>93.234324870212589</v>
      </c>
      <c r="CE85" s="9">
        <v>92.986245777895121</v>
      </c>
      <c r="CF85" s="9">
        <v>83.687629568868573</v>
      </c>
      <c r="CG85" s="9">
        <v>83.704333686546974</v>
      </c>
      <c r="CH85" s="9">
        <v>74.000118198999346</v>
      </c>
      <c r="CI85" s="9">
        <v>73.785285446244245</v>
      </c>
      <c r="CJ85" s="9">
        <v>87.177783766506423</v>
      </c>
      <c r="CK85" s="9">
        <v>87.166284256710057</v>
      </c>
      <c r="CL85" s="9">
        <v>88.879263400873626</v>
      </c>
      <c r="CM85" s="9">
        <v>102.48577040664991</v>
      </c>
      <c r="CN85" s="9">
        <v>103.57969495515204</v>
      </c>
      <c r="CO85" s="9">
        <v>112.74684576350397</v>
      </c>
      <c r="CP85" s="9">
        <v>112.74684576350397</v>
      </c>
      <c r="CQ85" s="9">
        <v>126.83189172231435</v>
      </c>
      <c r="CR85" s="9">
        <v>143.41415318424237</v>
      </c>
      <c r="CS85" s="9">
        <v>143.45174536069956</v>
      </c>
      <c r="CT85" s="9">
        <v>143.47054884023302</v>
      </c>
      <c r="CU85" s="9">
        <v>143.47054884023302</v>
      </c>
      <c r="CV85" s="9">
        <v>149.98414548853145</v>
      </c>
      <c r="CW85" s="109"/>
      <c r="CX85" s="109"/>
      <c r="CZ85" s="9">
        <v>968.22174513172592</v>
      </c>
    </row>
    <row r="86" spans="2:106" ht="14.45">
      <c r="B86" s="1" t="s">
        <v>103</v>
      </c>
      <c r="C86" s="1" t="s">
        <v>109</v>
      </c>
      <c r="D86" s="9">
        <f t="shared" si="5"/>
        <v>125.40643165219717</v>
      </c>
      <c r="F86" s="9">
        <v>22.529852799423939</v>
      </c>
      <c r="G86" s="9">
        <v>26.85861276893559</v>
      </c>
      <c r="H86" s="9">
        <v>23.652013505391579</v>
      </c>
      <c r="I86" s="9">
        <v>7.8760757361464719</v>
      </c>
      <c r="J86" s="9">
        <v>0</v>
      </c>
      <c r="K86" s="9">
        <v>10.78087861572709</v>
      </c>
      <c r="L86" s="9">
        <v>10.780858050272526</v>
      </c>
      <c r="M86" s="9">
        <v>10.780875069953463</v>
      </c>
      <c r="N86" s="9">
        <v>11.245170596500394</v>
      </c>
      <c r="O86" s="9">
        <v>11.249630968309781</v>
      </c>
      <c r="P86" s="9">
        <v>0</v>
      </c>
      <c r="Q86" s="9">
        <v>0</v>
      </c>
      <c r="R86" s="9">
        <v>4.4688955847476484</v>
      </c>
      <c r="S86" s="9">
        <v>8.2165435186270734</v>
      </c>
      <c r="T86" s="9">
        <v>8.3273343729285614</v>
      </c>
      <c r="U86" s="9">
        <v>8.326217346288562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10.436135805004776</v>
      </c>
      <c r="BB86" s="9">
        <v>20.86942183314245</v>
      </c>
      <c r="BC86" s="9">
        <v>20.917931179219746</v>
      </c>
      <c r="BD86" s="9">
        <v>20.917931179219746</v>
      </c>
      <c r="BE86" s="9">
        <v>20.917931179219746</v>
      </c>
      <c r="BF86" s="9">
        <v>26.15632700789503</v>
      </c>
      <c r="BG86" s="9">
        <v>25.87297014136837</v>
      </c>
      <c r="BH86" s="9">
        <v>32.937931416963636</v>
      </c>
      <c r="BI86" s="9">
        <v>31.927986019761953</v>
      </c>
      <c r="BJ86" s="9">
        <v>21.288214392474369</v>
      </c>
      <c r="BK86" s="9">
        <v>26.608461380885597</v>
      </c>
      <c r="BL86" s="9">
        <v>31.927986019761953</v>
      </c>
      <c r="BM86" s="9">
        <v>31.803614121285591</v>
      </c>
      <c r="BN86" s="9">
        <v>0</v>
      </c>
      <c r="BO86" s="9">
        <v>12.56600813826109</v>
      </c>
      <c r="BP86" s="9">
        <v>75.242950043531152</v>
      </c>
      <c r="BQ86" s="9">
        <v>100.24251264197027</v>
      </c>
      <c r="BR86" s="9">
        <v>125.03254419659974</v>
      </c>
      <c r="BS86" s="9">
        <v>125.03254419659974</v>
      </c>
      <c r="BT86" s="9">
        <v>105.79741882070712</v>
      </c>
      <c r="BU86" s="9">
        <v>116.36145528297988</v>
      </c>
      <c r="BV86" s="9">
        <v>116.3928703626999</v>
      </c>
      <c r="BW86" s="9">
        <v>110.55755656454429</v>
      </c>
      <c r="BX86" s="9">
        <v>110.57983741028481</v>
      </c>
      <c r="BY86" s="9">
        <v>110.16540353965335</v>
      </c>
      <c r="BZ86" s="9">
        <v>120.52828418893061</v>
      </c>
      <c r="CA86" s="9">
        <v>125.79387378818356</v>
      </c>
      <c r="CB86" s="9">
        <v>125.45831160402037</v>
      </c>
      <c r="CC86" s="9">
        <v>125.47504718884048</v>
      </c>
      <c r="CD86" s="9">
        <v>101.71017258568645</v>
      </c>
      <c r="CE86" s="9">
        <v>101.43954084861285</v>
      </c>
      <c r="CF86" s="9">
        <v>91.295595893311159</v>
      </c>
      <c r="CG86" s="9">
        <v>91.313818567142135</v>
      </c>
      <c r="CH86" s="9">
        <v>87.454685144271949</v>
      </c>
      <c r="CI86" s="9">
        <v>100.6162983357876</v>
      </c>
      <c r="CJ86" s="9">
        <v>100.5897504998151</v>
      </c>
      <c r="CK86" s="9">
        <v>100.57648183466544</v>
      </c>
      <c r="CL86" s="9">
        <v>112.80829585495498</v>
      </c>
      <c r="CM86" s="9">
        <v>126.39911683486821</v>
      </c>
      <c r="CN86" s="9">
        <v>127.7482904446875</v>
      </c>
      <c r="CO86" s="9">
        <v>137.41021827427045</v>
      </c>
      <c r="CP86" s="9">
        <v>137.41021827427045</v>
      </c>
      <c r="CQ86" s="9">
        <v>126.83189172231435</v>
      </c>
      <c r="CR86" s="9">
        <v>114.7313225473939</v>
      </c>
      <c r="CS86" s="9">
        <v>114.76139628855965</v>
      </c>
      <c r="CT86" s="9">
        <v>107.60291163017476</v>
      </c>
      <c r="CU86" s="9">
        <v>107.60291163017476</v>
      </c>
      <c r="CV86" s="9">
        <v>116.23771275361187</v>
      </c>
      <c r="CW86" s="109"/>
      <c r="CX86" s="109"/>
      <c r="CZ86" s="9">
        <v>48.023798558533606</v>
      </c>
    </row>
    <row r="87" spans="2:106" ht="14.45">
      <c r="B87" s="1" t="s">
        <v>103</v>
      </c>
      <c r="C87" s="1" t="s">
        <v>110</v>
      </c>
      <c r="D87" s="9">
        <f t="shared" si="5"/>
        <v>106.40545715944002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116.61325177804719</v>
      </c>
      <c r="BN87" s="9">
        <v>138.24484221243637</v>
      </c>
      <c r="BO87" s="9">
        <v>138.22608952087199</v>
      </c>
      <c r="BP87" s="9">
        <v>100.32393339137488</v>
      </c>
      <c r="BQ87" s="9">
        <v>137.83345488270911</v>
      </c>
      <c r="BR87" s="9">
        <v>250.06508839319949</v>
      </c>
      <c r="BS87" s="9">
        <v>250.06508839319949</v>
      </c>
      <c r="BT87" s="9">
        <v>211.59483764141424</v>
      </c>
      <c r="BU87" s="9">
        <v>211.56628233269066</v>
      </c>
      <c r="BV87" s="9">
        <v>190.4610605935089</v>
      </c>
      <c r="BW87" s="9">
        <v>178.99794872354786</v>
      </c>
      <c r="BX87" s="9">
        <v>163.23690284375377</v>
      </c>
      <c r="BY87" s="9">
        <v>162.62511951091685</v>
      </c>
      <c r="BZ87" s="9">
        <v>151.97044528169511</v>
      </c>
      <c r="CA87" s="9">
        <v>141.51810801170652</v>
      </c>
      <c r="CB87" s="9">
        <v>141.14060055452293</v>
      </c>
      <c r="CC87" s="9">
        <v>141.15942808744555</v>
      </c>
      <c r="CD87" s="9">
        <v>114.42394415889727</v>
      </c>
      <c r="CE87" s="9">
        <v>114.11948345468947</v>
      </c>
      <c r="CF87" s="9">
        <v>102.70754537997507</v>
      </c>
      <c r="CG87" s="9">
        <v>91.31381856714215</v>
      </c>
      <c r="CH87" s="9">
        <v>80.727401671635647</v>
      </c>
      <c r="CI87" s="9">
        <v>80.493038668630092</v>
      </c>
      <c r="CJ87" s="9">
        <v>80.471800399852086</v>
      </c>
      <c r="CK87" s="9">
        <v>87.166284256710071</v>
      </c>
      <c r="CL87" s="9">
        <v>88.87926340087364</v>
      </c>
      <c r="CM87" s="9">
        <v>95.653385712873259</v>
      </c>
      <c r="CN87" s="9">
        <v>110.48500795216216</v>
      </c>
      <c r="CO87" s="9">
        <v>112.74684576350397</v>
      </c>
      <c r="CP87" s="9">
        <v>112.74684576350397</v>
      </c>
      <c r="CQ87" s="9">
        <v>112.73945930872388</v>
      </c>
      <c r="CR87" s="9">
        <v>114.7313225473939</v>
      </c>
      <c r="CS87" s="9">
        <v>100.4162217524897</v>
      </c>
      <c r="CT87" s="9">
        <v>100.42938418816313</v>
      </c>
      <c r="CU87" s="9">
        <v>100.42938418816313</v>
      </c>
      <c r="CV87" s="9">
        <v>104.98890184197202</v>
      </c>
      <c r="CW87" s="109"/>
      <c r="CX87" s="109"/>
      <c r="CZ87" s="9">
        <v>0</v>
      </c>
    </row>
    <row r="88" spans="2:106" ht="14.45">
      <c r="B88" s="1" t="s">
        <v>103</v>
      </c>
      <c r="C88" s="1" t="s">
        <v>111</v>
      </c>
      <c r="D88" s="9">
        <f t="shared" si="5"/>
        <v>0</v>
      </c>
      <c r="F88" s="9">
        <v>1.8023882239539151</v>
      </c>
      <c r="G88" s="9">
        <v>2.1486890215148473</v>
      </c>
      <c r="H88" s="9">
        <v>2.1501830459446891</v>
      </c>
      <c r="I88" s="9">
        <v>1.4111302360595761</v>
      </c>
      <c r="J88" s="9">
        <v>2.327380648120887</v>
      </c>
      <c r="K88" s="9">
        <v>2.3178889023813243</v>
      </c>
      <c r="L88" s="9">
        <v>2.3178844808085928</v>
      </c>
      <c r="M88" s="9">
        <v>2.1561750139906928</v>
      </c>
      <c r="N88" s="9">
        <v>2.2490341193000787</v>
      </c>
      <c r="O88" s="9">
        <v>2.0811817291373091</v>
      </c>
      <c r="P88" s="9">
        <v>1.3541402255252382</v>
      </c>
      <c r="Q88" s="9">
        <v>1.6540354066629901</v>
      </c>
      <c r="R88" s="9">
        <v>1.6534913663566295</v>
      </c>
      <c r="S88" s="9">
        <v>1.6889561677177873</v>
      </c>
      <c r="T88" s="9">
        <v>1.7117298433242041</v>
      </c>
      <c r="U88" s="9">
        <v>1.5727299431878392</v>
      </c>
      <c r="V88" s="9">
        <v>1.7177297537812231</v>
      </c>
      <c r="W88" s="9">
        <v>1.5156480267478845</v>
      </c>
      <c r="X88" s="9">
        <v>1.272313373129506</v>
      </c>
      <c r="Y88" s="9">
        <v>1.2432129535669869</v>
      </c>
      <c r="Z88" s="9">
        <v>1.0519523058318823</v>
      </c>
      <c r="AA88" s="9">
        <v>1.0519523058318823</v>
      </c>
      <c r="AB88" s="9">
        <v>0.95632158875387019</v>
      </c>
      <c r="AC88" s="9">
        <v>0.96027000379981675</v>
      </c>
      <c r="AD88" s="9">
        <v>0.81623118823807916</v>
      </c>
      <c r="AE88" s="9">
        <v>0.67208830092826977</v>
      </c>
      <c r="AF88" s="9">
        <v>0.79287287029236964</v>
      </c>
      <c r="AG88" s="9">
        <v>0.61957163369294443</v>
      </c>
      <c r="AH88" s="9">
        <v>0.69232165188253614</v>
      </c>
      <c r="AI88" s="9">
        <v>0.69232165188253614</v>
      </c>
      <c r="AJ88" s="9">
        <v>0.68962678055359306</v>
      </c>
      <c r="AK88" s="9">
        <v>0.79407026429223837</v>
      </c>
      <c r="AL88" s="9">
        <v>0.78436731970954932</v>
      </c>
      <c r="AM88" s="9">
        <v>0.69199782087007811</v>
      </c>
      <c r="AN88" s="9">
        <v>0.70065117530138532</v>
      </c>
      <c r="AO88" s="9">
        <v>0.79407026429223837</v>
      </c>
      <c r="AP88" s="9">
        <v>0.93419842673367626</v>
      </c>
      <c r="AQ88" s="9">
        <v>1.1746587774445141</v>
      </c>
      <c r="AR88" s="9">
        <v>1.3278724776329514</v>
      </c>
      <c r="AS88" s="9">
        <v>1.1746587774445141</v>
      </c>
      <c r="AT88" s="9">
        <v>1.378943574514282</v>
      </c>
      <c r="AU88" s="9">
        <v>1.3863551053826122</v>
      </c>
      <c r="AV88" s="9">
        <v>1.540391456806542</v>
      </c>
      <c r="AW88" s="9">
        <v>1.6430820127932793</v>
      </c>
      <c r="AX88" s="9">
        <v>1.6519609245069924</v>
      </c>
      <c r="AY88" s="9">
        <v>1.6519609245069924</v>
      </c>
      <c r="AZ88" s="9">
        <v>1.6519609245069924</v>
      </c>
      <c r="BA88" s="9">
        <v>1.6697817288007641</v>
      </c>
      <c r="BB88" s="9">
        <v>1.6695537466513959</v>
      </c>
      <c r="BC88" s="9">
        <v>1.8303189781817277</v>
      </c>
      <c r="BD88" s="9">
        <v>1.8303189781817277</v>
      </c>
      <c r="BE88" s="9">
        <v>1.8303189781817277</v>
      </c>
      <c r="BF88" s="9">
        <v>1.9355681985842326</v>
      </c>
      <c r="BG88" s="9">
        <v>1.9145997904612597</v>
      </c>
      <c r="BH88" s="9">
        <v>1.9213793326562123</v>
      </c>
      <c r="BI88" s="9">
        <v>1.9156791611857171</v>
      </c>
      <c r="BJ88" s="9">
        <v>1.9159392953226928</v>
      </c>
      <c r="BK88" s="9">
        <v>1.9158092194237628</v>
      </c>
      <c r="BL88" s="9">
        <v>1.9156791611857171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109"/>
      <c r="CX88" s="109"/>
      <c r="CZ88" s="9">
        <v>6.1966191688430454</v>
      </c>
    </row>
    <row r="89" spans="2:106" ht="14.45">
      <c r="B89" s="1" t="s">
        <v>103</v>
      </c>
      <c r="C89" s="1" t="s">
        <v>112</v>
      </c>
      <c r="D89" s="9">
        <f t="shared" si="5"/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0.1563224417289516</v>
      </c>
      <c r="M89" s="9">
        <v>0.1886653137241856</v>
      </c>
      <c r="N89" s="9">
        <v>0.19679048543875691</v>
      </c>
      <c r="O89" s="9">
        <v>0.19686854194542117</v>
      </c>
      <c r="P89" s="9">
        <v>0.12809434565779282</v>
      </c>
      <c r="Q89" s="9">
        <v>0.15646280873839097</v>
      </c>
      <c r="R89" s="9">
        <v>0.15641134546616767</v>
      </c>
      <c r="S89" s="9">
        <v>0.15976612397330422</v>
      </c>
      <c r="T89" s="9">
        <v>0.16192039058472202</v>
      </c>
      <c r="U89" s="9">
        <v>0.16189867062227759</v>
      </c>
      <c r="V89" s="9">
        <v>0.17682512171277298</v>
      </c>
      <c r="W89" s="9">
        <v>0.17682560312058657</v>
      </c>
      <c r="X89" s="9">
        <v>0.17127295407512583</v>
      </c>
      <c r="Y89" s="9">
        <v>0.16735558990324828</v>
      </c>
      <c r="Z89" s="9">
        <v>0.16735604865507223</v>
      </c>
      <c r="AA89" s="9">
        <v>0.16735604865507223</v>
      </c>
      <c r="AB89" s="9">
        <v>0.16735627803192732</v>
      </c>
      <c r="AC89" s="9">
        <v>0.16804725066496795</v>
      </c>
      <c r="AD89" s="9">
        <v>0.16804759757842808</v>
      </c>
      <c r="AE89" s="9">
        <v>0.13837112077934968</v>
      </c>
      <c r="AF89" s="9">
        <v>0.13875275230116471</v>
      </c>
      <c r="AG89" s="9">
        <v>0.12755886576031211</v>
      </c>
      <c r="AH89" s="9">
        <v>0.14253681068169863</v>
      </c>
      <c r="AI89" s="9">
        <v>0.14253681068169863</v>
      </c>
      <c r="AJ89" s="9">
        <v>0.14198198423162212</v>
      </c>
      <c r="AK89" s="9">
        <v>0.16348505441310793</v>
      </c>
      <c r="AL89" s="9">
        <v>0.16148738935196605</v>
      </c>
      <c r="AM89" s="9">
        <v>0.16146615820301824</v>
      </c>
      <c r="AN89" s="9">
        <v>0.16348527423698991</v>
      </c>
      <c r="AO89" s="9">
        <v>0.16348505441310793</v>
      </c>
      <c r="AP89" s="9">
        <v>0.16348472467839334</v>
      </c>
      <c r="AQ89" s="9">
        <v>0.17875242265459998</v>
      </c>
      <c r="AR89" s="9">
        <v>0.17875206429674345</v>
      </c>
      <c r="AS89" s="9">
        <v>0.17875242265459998</v>
      </c>
      <c r="AT89" s="9">
        <v>0.17875194484444396</v>
      </c>
      <c r="AU89" s="9">
        <v>0.17971269884589419</v>
      </c>
      <c r="AV89" s="9">
        <v>0.17971233662742991</v>
      </c>
      <c r="AW89" s="9">
        <v>0.17971209514926492</v>
      </c>
      <c r="AX89" s="9">
        <v>0.18068322611795229</v>
      </c>
      <c r="AY89" s="9">
        <v>0.18068322611795229</v>
      </c>
      <c r="AZ89" s="9">
        <v>0.18068322611795229</v>
      </c>
      <c r="BA89" s="9">
        <v>0.18263237658758358</v>
      </c>
      <c r="BB89" s="9">
        <v>0.18260744103999643</v>
      </c>
      <c r="BC89" s="9">
        <v>0.18303189781817275</v>
      </c>
      <c r="BD89" s="9">
        <v>0.18303189781817275</v>
      </c>
      <c r="BE89" s="9">
        <v>0.18303189781817275</v>
      </c>
      <c r="BF89" s="9">
        <v>0.1830942890552652</v>
      </c>
      <c r="BG89" s="9">
        <v>0.18111079098957858</v>
      </c>
      <c r="BH89" s="9">
        <v>0.19213793326562123</v>
      </c>
      <c r="BI89" s="9">
        <v>0.18624658511527806</v>
      </c>
      <c r="BJ89" s="9">
        <v>0.1862718759341507</v>
      </c>
      <c r="BK89" s="9">
        <v>0.18625922966619918</v>
      </c>
      <c r="BL89" s="9">
        <v>0.18624658511527806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109"/>
      <c r="CX89" s="109"/>
      <c r="CZ89" s="9">
        <v>6.1966191688430454</v>
      </c>
    </row>
    <row r="90" spans="2:106" ht="14.45">
      <c r="B90" s="1" t="s">
        <v>103</v>
      </c>
      <c r="C90" s="1" t="s">
        <v>128</v>
      </c>
      <c r="D90" s="9">
        <f>+D30*D$24</f>
        <v>0</v>
      </c>
      <c r="F90" s="9">
        <v>0</v>
      </c>
      <c r="G90" s="9">
        <v>0</v>
      </c>
      <c r="H90" s="9">
        <v>0</v>
      </c>
      <c r="I90" s="9">
        <v>6999.9957999983199</v>
      </c>
      <c r="J90" s="9">
        <v>22999.986199994481</v>
      </c>
      <c r="K90" s="9">
        <v>22999.986199994477</v>
      </c>
      <c r="L90" s="9">
        <v>22999.986199994481</v>
      </c>
      <c r="M90" s="9">
        <v>22999.986199994481</v>
      </c>
      <c r="N90" s="9">
        <v>23999.985599994237</v>
      </c>
      <c r="O90" s="9">
        <v>23999.985599994241</v>
      </c>
      <c r="P90" s="9">
        <v>36000</v>
      </c>
      <c r="Q90" s="9">
        <v>28600</v>
      </c>
      <c r="R90" s="9">
        <v>42900.000000000007</v>
      </c>
      <c r="S90" s="9">
        <v>57200</v>
      </c>
      <c r="T90" s="9">
        <v>57199.999999999993</v>
      </c>
      <c r="U90" s="9">
        <v>57200</v>
      </c>
      <c r="V90" s="9">
        <v>62500</v>
      </c>
      <c r="W90" s="9">
        <v>62500</v>
      </c>
      <c r="X90" s="9">
        <v>60290</v>
      </c>
      <c r="Y90" s="9">
        <v>58750</v>
      </c>
      <c r="Z90" s="9">
        <v>58750</v>
      </c>
      <c r="AA90" s="9">
        <v>58750</v>
      </c>
      <c r="AB90" s="9">
        <v>58750</v>
      </c>
      <c r="AC90" s="9">
        <v>58750</v>
      </c>
      <c r="AD90" s="9">
        <v>58749.999999999993</v>
      </c>
      <c r="AE90" s="9">
        <v>59124.995162499508</v>
      </c>
      <c r="AF90" s="9">
        <v>59124.995162499516</v>
      </c>
      <c r="AG90" s="9">
        <v>54504.995540499542</v>
      </c>
      <c r="AH90" s="9">
        <v>64349.994734999469</v>
      </c>
      <c r="AI90" s="9">
        <v>64349.994734999469</v>
      </c>
      <c r="AJ90" s="9">
        <v>48262.496051249611</v>
      </c>
      <c r="AK90" s="9">
        <v>43875</v>
      </c>
      <c r="AL90" s="9">
        <v>29250</v>
      </c>
      <c r="AM90" s="9">
        <v>29250</v>
      </c>
      <c r="AN90" s="9">
        <v>29250</v>
      </c>
      <c r="AO90" s="9">
        <v>29250</v>
      </c>
      <c r="AP90" s="9">
        <v>29250</v>
      </c>
      <c r="AQ90" s="9">
        <v>35099.721148187469</v>
      </c>
      <c r="AR90" s="9">
        <v>35099.721148187455</v>
      </c>
      <c r="AS90" s="9">
        <v>35099.721148187469</v>
      </c>
      <c r="AT90" s="9">
        <v>35099.721148187462</v>
      </c>
      <c r="AU90" s="9">
        <v>26324.790861140595</v>
      </c>
      <c r="AV90" s="9">
        <v>26324.790861140595</v>
      </c>
      <c r="AW90" s="9">
        <v>26324.790861140595</v>
      </c>
      <c r="AX90" s="9">
        <v>26324.790861140598</v>
      </c>
      <c r="AY90" s="9">
        <v>26324.790861140598</v>
      </c>
      <c r="AZ90" s="9">
        <v>26324.790861140598</v>
      </c>
      <c r="BA90" s="9">
        <v>26324.790861140602</v>
      </c>
      <c r="BB90" s="9">
        <v>26324.790861140591</v>
      </c>
      <c r="BC90" s="9">
        <v>26324.790861140595</v>
      </c>
      <c r="BD90" s="9">
        <v>26324.790861140595</v>
      </c>
      <c r="BE90" s="9">
        <v>26324.790861140595</v>
      </c>
      <c r="BF90" s="9">
        <v>26324.790861140595</v>
      </c>
      <c r="BG90" s="9">
        <v>26324.790861140598</v>
      </c>
      <c r="BH90" s="9">
        <v>27967.277812305783</v>
      </c>
      <c r="BI90" s="9">
        <v>35999.713998140985</v>
      </c>
      <c r="BJ90" s="9">
        <v>35999.713998140985</v>
      </c>
      <c r="BK90" s="9">
        <v>53999.570997211471</v>
      </c>
      <c r="BL90" s="9">
        <v>53999.570997211486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109"/>
      <c r="CX90" s="109"/>
      <c r="CZ90" s="9">
        <v>0</v>
      </c>
    </row>
    <row r="91" spans="2:106" ht="14.45">
      <c r="B91" s="1" t="s">
        <v>103</v>
      </c>
      <c r="C91" s="1" t="s">
        <v>129</v>
      </c>
      <c r="D91" s="9">
        <f>+D31*D$24</f>
        <v>0</v>
      </c>
      <c r="F91" s="9">
        <v>28750</v>
      </c>
      <c r="G91" s="9">
        <v>22999.986199994481</v>
      </c>
      <c r="H91" s="9">
        <v>22999.986199994481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16087.498683749869</v>
      </c>
      <c r="AK91" s="9">
        <v>14625</v>
      </c>
      <c r="AL91" s="9">
        <v>29250</v>
      </c>
      <c r="AM91" s="9">
        <v>29250</v>
      </c>
      <c r="AN91" s="9">
        <v>29250</v>
      </c>
      <c r="AO91" s="9">
        <v>29250</v>
      </c>
      <c r="AP91" s="9">
        <v>29250</v>
      </c>
      <c r="AQ91" s="9">
        <v>17549.860574093735</v>
      </c>
      <c r="AR91" s="9">
        <v>17549.860574093727</v>
      </c>
      <c r="AS91" s="9">
        <v>17549.860574093735</v>
      </c>
      <c r="AT91" s="9">
        <v>17549.860574093731</v>
      </c>
      <c r="AU91" s="9">
        <v>26324.790861140595</v>
      </c>
      <c r="AV91" s="9">
        <v>26324.790861140595</v>
      </c>
      <c r="AW91" s="9">
        <v>26324.790861140595</v>
      </c>
      <c r="AX91" s="9">
        <v>26324.790861140598</v>
      </c>
      <c r="AY91" s="9">
        <v>26324.790861140598</v>
      </c>
      <c r="AZ91" s="9">
        <v>26324.790861140598</v>
      </c>
      <c r="BA91" s="9">
        <v>26324.790861140602</v>
      </c>
      <c r="BB91" s="9">
        <v>26324.790861140591</v>
      </c>
      <c r="BC91" s="9">
        <v>26324.790861140595</v>
      </c>
      <c r="BD91" s="9">
        <v>26324.790861140595</v>
      </c>
      <c r="BE91" s="9">
        <v>26324.790861140595</v>
      </c>
      <c r="BF91" s="9">
        <v>26324.790861140595</v>
      </c>
      <c r="BG91" s="9">
        <v>26324.790861140598</v>
      </c>
      <c r="BH91" s="9">
        <v>27967.277812305783</v>
      </c>
      <c r="BI91" s="9">
        <v>17999.856999070493</v>
      </c>
      <c r="BJ91" s="9">
        <v>17999.856999070493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109"/>
      <c r="CX91" s="109"/>
      <c r="CZ91" s="9">
        <v>28000</v>
      </c>
    </row>
    <row r="92" spans="2:106" ht="14.45">
      <c r="B92" s="1" t="s">
        <v>103</v>
      </c>
      <c r="C92" s="1" t="s">
        <v>186</v>
      </c>
      <c r="D92" s="9">
        <f t="shared" ref="D92:D99" si="6">+D32*D$24</f>
        <v>0</v>
      </c>
      <c r="F92" s="9">
        <v>28750</v>
      </c>
      <c r="G92" s="9">
        <v>22999.986199994481</v>
      </c>
      <c r="H92" s="9">
        <v>22999.986199994481</v>
      </c>
      <c r="I92" s="9">
        <v>20999.98739999496</v>
      </c>
      <c r="J92" s="9">
        <v>22999.986199994481</v>
      </c>
      <c r="K92" s="9">
        <v>22999.986199994477</v>
      </c>
      <c r="L92" s="9">
        <v>22999.986199994481</v>
      </c>
      <c r="M92" s="9">
        <v>22999.986199994481</v>
      </c>
      <c r="N92" s="9">
        <v>23999.985599994237</v>
      </c>
      <c r="O92" s="9">
        <v>23999.985599994241</v>
      </c>
      <c r="P92" s="9">
        <v>36000</v>
      </c>
      <c r="Q92" s="9">
        <v>28600</v>
      </c>
      <c r="R92" s="9">
        <v>14300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109"/>
      <c r="CX92" s="109"/>
    </row>
    <row r="93" spans="2:106" ht="14.45">
      <c r="B93" s="1" t="s">
        <v>103</v>
      </c>
      <c r="C93" s="1" t="s">
        <v>131</v>
      </c>
      <c r="D93" s="9">
        <f t="shared" si="6"/>
        <v>24415.799999999996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26999.785498605743</v>
      </c>
      <c r="CA93" s="9">
        <v>26999.785498605739</v>
      </c>
      <c r="CB93" s="9">
        <v>26999.785498605743</v>
      </c>
      <c r="CC93" s="9">
        <v>26999.785498605743</v>
      </c>
      <c r="CD93" s="9">
        <v>26750</v>
      </c>
      <c r="CE93" s="9">
        <v>26750</v>
      </c>
      <c r="CF93" s="9">
        <v>29424.99759249976</v>
      </c>
      <c r="CG93" s="9">
        <v>29424.997592499756</v>
      </c>
      <c r="CH93" s="9">
        <v>32099.999999999996</v>
      </c>
      <c r="CI93" s="9">
        <v>32099.999999999996</v>
      </c>
      <c r="CJ93" s="9">
        <v>32099.999999999996</v>
      </c>
      <c r="CK93" s="9">
        <v>32100</v>
      </c>
      <c r="CL93" s="9">
        <v>32910</v>
      </c>
      <c r="CM93" s="9">
        <v>32910</v>
      </c>
      <c r="CN93" s="9">
        <v>33269.999999999993</v>
      </c>
      <c r="CO93" s="9">
        <v>33960</v>
      </c>
      <c r="CP93" s="9">
        <v>22640</v>
      </c>
      <c r="CQ93" s="9">
        <v>22640</v>
      </c>
      <c r="CR93" s="9">
        <v>23040</v>
      </c>
      <c r="CS93" s="9">
        <v>23040</v>
      </c>
      <c r="CT93" s="9">
        <v>23039.999999999996</v>
      </c>
      <c r="CU93" s="9">
        <v>23039.999999999996</v>
      </c>
      <c r="CV93" s="9">
        <v>24087.599999999999</v>
      </c>
      <c r="CW93" s="109"/>
      <c r="CX93" s="109"/>
    </row>
    <row r="94" spans="2:106" ht="14.45">
      <c r="B94" s="1" t="s">
        <v>103</v>
      </c>
      <c r="C94" s="1" t="s">
        <v>132</v>
      </c>
      <c r="D94" s="9">
        <f t="shared" si="6"/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109"/>
      <c r="CX94" s="109"/>
    </row>
    <row r="95" spans="2:106" ht="14.45">
      <c r="B95" s="1" t="s">
        <v>103</v>
      </c>
      <c r="C95" s="1" t="s">
        <v>133</v>
      </c>
      <c r="D95" s="9">
        <f t="shared" si="6"/>
        <v>48831.599999999991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53999.570997211478</v>
      </c>
      <c r="BN95" s="9">
        <v>41999.972699990445</v>
      </c>
      <c r="BO95" s="9">
        <v>41999.972699990445</v>
      </c>
      <c r="BP95" s="9">
        <v>41999.972699990445</v>
      </c>
      <c r="BQ95" s="9">
        <v>41999.972699990445</v>
      </c>
      <c r="BR95" s="9">
        <v>41999.972699990445</v>
      </c>
      <c r="BS95" s="9">
        <v>41999.972699990445</v>
      </c>
      <c r="BT95" s="9">
        <v>53999.570997211486</v>
      </c>
      <c r="BU95" s="9">
        <v>53999.570997211471</v>
      </c>
      <c r="BV95" s="9">
        <v>53999.570997211471</v>
      </c>
      <c r="BW95" s="9">
        <v>53999.570997211478</v>
      </c>
      <c r="BX95" s="9">
        <v>53999.570997211471</v>
      </c>
      <c r="BY95" s="9">
        <v>53999.570997211486</v>
      </c>
      <c r="BZ95" s="9">
        <v>26999.785498605743</v>
      </c>
      <c r="CA95" s="9">
        <v>26999.785498605739</v>
      </c>
      <c r="CB95" s="9">
        <v>26999.785498605743</v>
      </c>
      <c r="CC95" s="9">
        <v>26999.785498605743</v>
      </c>
      <c r="CD95" s="9">
        <v>26750</v>
      </c>
      <c r="CE95" s="9">
        <v>26750</v>
      </c>
      <c r="CF95" s="9">
        <v>29424.99759249976</v>
      </c>
      <c r="CG95" s="9">
        <v>29424.997592499756</v>
      </c>
      <c r="CH95" s="9">
        <v>32099.999999999996</v>
      </c>
      <c r="CI95" s="9">
        <v>32099.999999999996</v>
      </c>
      <c r="CJ95" s="9">
        <v>32099.999999999996</v>
      </c>
      <c r="CK95" s="9">
        <v>32100</v>
      </c>
      <c r="CL95" s="9">
        <v>32910</v>
      </c>
      <c r="CM95" s="9">
        <v>32910</v>
      </c>
      <c r="CN95" s="9">
        <v>33269.999999999993</v>
      </c>
      <c r="CO95" s="9">
        <v>33960</v>
      </c>
      <c r="CP95" s="9">
        <v>45280</v>
      </c>
      <c r="CQ95" s="9">
        <v>45280</v>
      </c>
      <c r="CR95" s="9">
        <v>46080</v>
      </c>
      <c r="CS95" s="9">
        <v>46080</v>
      </c>
      <c r="CT95" s="9">
        <v>46079.999999999993</v>
      </c>
      <c r="CU95" s="9">
        <v>46079.999999999993</v>
      </c>
      <c r="CV95" s="9">
        <v>48175.199999999997</v>
      </c>
      <c r="CW95" s="109"/>
      <c r="CX95" s="109"/>
    </row>
    <row r="96" spans="2:106" ht="14.45">
      <c r="B96" s="1" t="s">
        <v>103</v>
      </c>
      <c r="C96" s="1" t="s">
        <v>134</v>
      </c>
      <c r="D96" s="9">
        <f t="shared" si="6"/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109"/>
      <c r="CX96" s="109"/>
    </row>
    <row r="97" spans="1:102" ht="14.45">
      <c r="B97" s="1" t="s">
        <v>103</v>
      </c>
      <c r="C97" s="1" t="s">
        <v>135</v>
      </c>
      <c r="D97" s="9">
        <f t="shared" si="6"/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109"/>
      <c r="CX97" s="109"/>
    </row>
    <row r="98" spans="1:102" ht="14.45">
      <c r="B98" s="1" t="s">
        <v>103</v>
      </c>
      <c r="C98" s="1" t="s">
        <v>136</v>
      </c>
      <c r="D98" s="9">
        <f t="shared" si="6"/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109"/>
      <c r="CX98" s="109"/>
    </row>
    <row r="99" spans="1:102" ht="14.45">
      <c r="B99" s="1" t="s">
        <v>103</v>
      </c>
      <c r="C99" s="1" t="s">
        <v>137</v>
      </c>
      <c r="D99" s="9">
        <f t="shared" si="6"/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0</v>
      </c>
      <c r="CU99" s="9">
        <v>0</v>
      </c>
      <c r="CV99" s="9">
        <v>0</v>
      </c>
      <c r="CW99" s="109"/>
      <c r="CX99" s="109"/>
    </row>
    <row r="100" spans="1:102" ht="14.45">
      <c r="D100" s="148">
        <f>+SUM(D81:D99)</f>
        <v>131242.17434679333</v>
      </c>
      <c r="F100" s="11"/>
      <c r="G100" s="11"/>
      <c r="H100" s="11"/>
      <c r="I100" s="11">
        <v>77881.238306889631</v>
      </c>
      <c r="J100" s="11">
        <v>127947.74864703296</v>
      </c>
      <c r="K100" s="11">
        <v>127947.74864703297</v>
      </c>
      <c r="L100" s="11">
        <v>127947.74864703297</v>
      </c>
      <c r="M100" s="11">
        <v>127947.74864703295</v>
      </c>
      <c r="N100" s="11">
        <v>133510.69424038223</v>
      </c>
      <c r="O100" s="11">
        <v>133510.6942403822</v>
      </c>
      <c r="P100" s="11">
        <v>129007.12589073635</v>
      </c>
      <c r="Q100" s="11">
        <v>125133.49168646079</v>
      </c>
      <c r="R100" s="11">
        <v>125133.49168646082</v>
      </c>
      <c r="S100" s="11">
        <v>125133.49168646081</v>
      </c>
      <c r="T100" s="148">
        <v>125133.49168646079</v>
      </c>
      <c r="U100" s="148">
        <v>125133.49168646078</v>
      </c>
      <c r="V100" s="148">
        <v>136728.02850356293</v>
      </c>
      <c r="W100" s="148">
        <v>136728.02850356296</v>
      </c>
      <c r="X100" s="148">
        <v>131893.32541567695</v>
      </c>
      <c r="Y100" s="148">
        <v>128524.34679334916</v>
      </c>
      <c r="Z100" s="148">
        <v>128524.34679334916</v>
      </c>
      <c r="AA100" s="148">
        <v>128524.34679334916</v>
      </c>
      <c r="AB100" s="148">
        <v>128524.34679334919</v>
      </c>
      <c r="AC100" s="148">
        <v>128524.34679334915</v>
      </c>
      <c r="AD100" s="148">
        <v>128524.34679334913</v>
      </c>
      <c r="AE100" s="148">
        <v>116577.49496950718</v>
      </c>
      <c r="AF100" s="148">
        <v>116577.49496950723</v>
      </c>
      <c r="AG100" s="148">
        <v>107468.18373468058</v>
      </c>
      <c r="AH100" s="148">
        <v>126879.69219937062</v>
      </c>
      <c r="AI100" s="148">
        <v>126879.69219937063</v>
      </c>
      <c r="AJ100" s="148">
        <v>126879.69219937065</v>
      </c>
      <c r="AK100" s="148">
        <v>127977.43467933491</v>
      </c>
      <c r="AL100" s="148">
        <v>127977.43467933491</v>
      </c>
      <c r="AM100" s="148">
        <v>127977.43467933493</v>
      </c>
      <c r="AN100" s="148">
        <v>127977.43467933491</v>
      </c>
      <c r="AO100" s="148">
        <v>127977.43467933491</v>
      </c>
      <c r="AP100" s="148">
        <v>127977.43467933491</v>
      </c>
      <c r="AQ100" s="148">
        <v>129075.25663643655</v>
      </c>
      <c r="AR100" s="148">
        <v>129075.2566364365</v>
      </c>
      <c r="AS100" s="148">
        <v>129075.25663643655</v>
      </c>
      <c r="AT100" s="148">
        <v>129075.25663643653</v>
      </c>
      <c r="AU100" s="148">
        <v>129075.25663643653</v>
      </c>
      <c r="AV100" s="148">
        <v>129075.25663643653</v>
      </c>
      <c r="AW100" s="148">
        <v>129075.25663643653</v>
      </c>
      <c r="AX100" s="148">
        <v>129075.25663643656</v>
      </c>
      <c r="AY100" s="148">
        <v>129075.25663643656</v>
      </c>
      <c r="AZ100" s="148">
        <v>129075.25663643656</v>
      </c>
      <c r="BA100" s="148">
        <v>129075.25663643656</v>
      </c>
      <c r="BB100" s="148">
        <v>129075.25663643649</v>
      </c>
      <c r="BC100" s="148">
        <v>129075.25663643653</v>
      </c>
      <c r="BD100" s="148">
        <v>129075.25663643653</v>
      </c>
      <c r="BE100" s="148">
        <v>129075.25663643653</v>
      </c>
      <c r="BF100" s="148">
        <v>129075.25663643653</v>
      </c>
      <c r="BG100" s="148">
        <v>129075.25663643655</v>
      </c>
      <c r="BH100" s="148">
        <v>137128.67008469286</v>
      </c>
      <c r="BI100" s="148">
        <v>132384.87860147338</v>
      </c>
      <c r="BJ100" s="148">
        <v>132384.87860147338</v>
      </c>
      <c r="BK100" s="148">
        <v>132384.87860147335</v>
      </c>
      <c r="BL100" s="148">
        <v>132384.87860147338</v>
      </c>
      <c r="BM100" s="148">
        <v>132384.87860147338</v>
      </c>
      <c r="BN100" s="148">
        <v>134636.58469525119</v>
      </c>
      <c r="BO100" s="148">
        <v>134636.58469525122</v>
      </c>
      <c r="BP100" s="148">
        <v>134636.58469525122</v>
      </c>
      <c r="BQ100" s="148">
        <v>134636.58469525122</v>
      </c>
      <c r="BR100" s="148">
        <v>134636.58469525119</v>
      </c>
      <c r="BS100" s="148">
        <v>134636.58469525119</v>
      </c>
      <c r="BT100" s="148">
        <v>132384.87860147341</v>
      </c>
      <c r="BU100" s="148">
        <v>132384.87860147335</v>
      </c>
      <c r="BV100" s="148">
        <v>132384.87860147338</v>
      </c>
      <c r="BW100" s="148">
        <v>132384.87860147338</v>
      </c>
      <c r="BX100" s="148">
        <v>132384.87860147335</v>
      </c>
      <c r="BY100" s="148">
        <v>132384.87860147341</v>
      </c>
      <c r="BZ100" s="148">
        <v>132384.87860147341</v>
      </c>
      <c r="CA100" s="148">
        <v>132384.87860147335</v>
      </c>
      <c r="CB100" s="148">
        <v>132384.87860147338</v>
      </c>
      <c r="CC100" s="148">
        <v>132384.87860147338</v>
      </c>
      <c r="CD100" s="148">
        <v>117039.19239904988</v>
      </c>
      <c r="CE100" s="148">
        <v>117039.19239904988</v>
      </c>
      <c r="CF100" s="148">
        <v>116035.2740626723</v>
      </c>
      <c r="CG100" s="148">
        <v>116035.27406267227</v>
      </c>
      <c r="CH100" s="148">
        <v>115031.3539192399</v>
      </c>
      <c r="CI100" s="148">
        <v>115031.35391923989</v>
      </c>
      <c r="CJ100" s="148">
        <v>115031.35391923989</v>
      </c>
      <c r="CK100" s="148">
        <v>115031.35391923992</v>
      </c>
      <c r="CL100" s="148">
        <v>117934.01425178148</v>
      </c>
      <c r="CM100" s="148">
        <v>117934.01425178148</v>
      </c>
      <c r="CN100" s="148">
        <v>119224.0855106888</v>
      </c>
      <c r="CO100" s="148">
        <v>121696.72209026129</v>
      </c>
      <c r="CP100" s="148">
        <v>121696.72209026129</v>
      </c>
      <c r="CQ100" s="148">
        <v>121696.72209026129</v>
      </c>
      <c r="CR100" s="148">
        <v>123846.84085510689</v>
      </c>
      <c r="CS100" s="148">
        <v>123846.84085510687</v>
      </c>
      <c r="CT100" s="148">
        <v>123846.84085510689</v>
      </c>
      <c r="CU100" s="148">
        <v>123846.84085510689</v>
      </c>
      <c r="CV100" s="148">
        <v>129478.00190023753</v>
      </c>
      <c r="CW100" s="109"/>
      <c r="CX100" s="109"/>
    </row>
    <row r="101" spans="1:102" ht="14.45">
      <c r="D101" s="148">
        <f>+D100/24</f>
        <v>5468.4239311163883</v>
      </c>
      <c r="F101" s="11"/>
      <c r="G101" s="11"/>
      <c r="H101" s="11"/>
      <c r="I101" s="11">
        <v>3245.0515961204014</v>
      </c>
      <c r="J101" s="11">
        <v>5331.1561936263734</v>
      </c>
      <c r="K101" s="11">
        <v>5331.1561936263743</v>
      </c>
      <c r="L101" s="11">
        <v>5331.1561936263743</v>
      </c>
      <c r="M101" s="11">
        <v>5331.1561936263724</v>
      </c>
      <c r="N101" s="11">
        <v>5562.94559334926</v>
      </c>
      <c r="O101" s="11">
        <v>5562.9455933492582</v>
      </c>
      <c r="P101" s="11">
        <v>5375.296912114015</v>
      </c>
      <c r="Q101" s="11">
        <v>5213.8954869358668</v>
      </c>
      <c r="R101" s="11">
        <v>5213.8954869358677</v>
      </c>
      <c r="S101" s="11">
        <v>5213.8954869358668</v>
      </c>
      <c r="T101" s="148">
        <v>5213.8954869358668</v>
      </c>
      <c r="U101" s="148">
        <v>5213.8954869358658</v>
      </c>
      <c r="V101" s="148">
        <v>5697.0011876484559</v>
      </c>
      <c r="W101" s="148">
        <v>5697.0011876484568</v>
      </c>
      <c r="X101" s="148">
        <v>5495.5552256532064</v>
      </c>
      <c r="Y101" s="148">
        <v>5355.1811163895482</v>
      </c>
      <c r="Z101" s="148">
        <v>5355.1811163895482</v>
      </c>
      <c r="AA101" s="148">
        <v>5355.1811163895482</v>
      </c>
      <c r="AB101" s="148">
        <v>5355.18111638955</v>
      </c>
      <c r="AC101" s="148">
        <v>5355.1811163895482</v>
      </c>
      <c r="AD101" s="148">
        <v>5355.1811163895472</v>
      </c>
      <c r="AE101" s="148">
        <v>4857.395623729466</v>
      </c>
      <c r="AF101" s="148">
        <v>4857.3956237294678</v>
      </c>
      <c r="AG101" s="148">
        <v>4477.840988945024</v>
      </c>
      <c r="AH101" s="148">
        <v>5286.6538416404428</v>
      </c>
      <c r="AI101" s="148">
        <v>5286.6538416404428</v>
      </c>
      <c r="AJ101" s="148">
        <v>5286.6538416404437</v>
      </c>
      <c r="AK101" s="148">
        <v>5332.3931116389549</v>
      </c>
      <c r="AL101" s="148">
        <v>5332.3931116389549</v>
      </c>
      <c r="AM101" s="148">
        <v>5332.3931116389549</v>
      </c>
      <c r="AN101" s="148">
        <v>5332.3931116389549</v>
      </c>
      <c r="AO101" s="148">
        <v>5332.3931116389549</v>
      </c>
      <c r="AP101" s="148">
        <v>5332.3931116389549</v>
      </c>
      <c r="AQ101" s="148">
        <v>5378.1356931848559</v>
      </c>
      <c r="AR101" s="148">
        <v>5378.1356931848541</v>
      </c>
      <c r="AS101" s="148">
        <v>5378.1356931848559</v>
      </c>
      <c r="AT101" s="148">
        <v>5378.1356931848559</v>
      </c>
      <c r="AU101" s="148">
        <v>5378.1356931848559</v>
      </c>
      <c r="AV101" s="148">
        <v>5378.1356931848559</v>
      </c>
      <c r="AW101" s="148">
        <v>5378.1356931848559</v>
      </c>
      <c r="AX101" s="148">
        <v>5378.1356931848568</v>
      </c>
      <c r="AY101" s="148">
        <v>5378.1356931848568</v>
      </c>
      <c r="AZ101" s="148">
        <v>5378.1356931848568</v>
      </c>
      <c r="BA101" s="148">
        <v>5378.1356931848568</v>
      </c>
      <c r="BB101" s="148">
        <v>5378.1356931848541</v>
      </c>
      <c r="BC101" s="148">
        <v>5378.1356931848559</v>
      </c>
      <c r="BD101" s="148">
        <v>5378.1356931848559</v>
      </c>
      <c r="BE101" s="148">
        <v>5378.1356931848559</v>
      </c>
      <c r="BF101" s="148">
        <v>5378.1356931848559</v>
      </c>
      <c r="BG101" s="148">
        <v>5378.1356931848559</v>
      </c>
      <c r="BH101" s="148">
        <v>5713.6945868622024</v>
      </c>
      <c r="BI101" s="148">
        <v>5516.0366083947238</v>
      </c>
      <c r="BJ101" s="148">
        <v>5516.0366083947238</v>
      </c>
      <c r="BK101" s="148">
        <v>5516.0366083947229</v>
      </c>
      <c r="BL101" s="148">
        <v>5516.0366083947238</v>
      </c>
      <c r="BM101" s="148">
        <v>5516.0366083947238</v>
      </c>
      <c r="BN101" s="148">
        <v>5609.8576956354664</v>
      </c>
      <c r="BO101" s="148">
        <v>5609.8576956354673</v>
      </c>
      <c r="BP101" s="148">
        <v>5609.8576956354673</v>
      </c>
      <c r="BQ101" s="148">
        <v>5609.8576956354673</v>
      </c>
      <c r="BR101" s="148">
        <v>5609.8576956354664</v>
      </c>
      <c r="BS101" s="148">
        <v>5609.8576956354664</v>
      </c>
      <c r="BT101" s="148">
        <v>5516.0366083947256</v>
      </c>
      <c r="BU101" s="148">
        <v>5516.0366083947229</v>
      </c>
      <c r="BV101" s="148">
        <v>5516.0366083947238</v>
      </c>
      <c r="BW101" s="148">
        <v>5516.0366083947238</v>
      </c>
      <c r="BX101" s="148">
        <v>5516.0366083947229</v>
      </c>
      <c r="BY101" s="148">
        <v>5516.0366083947256</v>
      </c>
      <c r="BZ101" s="148">
        <v>5516.0366083947256</v>
      </c>
      <c r="CA101" s="148">
        <v>5516.0366083947229</v>
      </c>
      <c r="CB101" s="148">
        <v>5516.0366083947238</v>
      </c>
      <c r="CC101" s="148">
        <v>5516.0366083947238</v>
      </c>
      <c r="CD101" s="148">
        <v>4876.6330166270782</v>
      </c>
      <c r="CE101" s="148">
        <v>4876.6330166270782</v>
      </c>
      <c r="CF101" s="148">
        <v>4834.803085944679</v>
      </c>
      <c r="CG101" s="148">
        <v>4834.8030859446781</v>
      </c>
      <c r="CH101" s="148">
        <v>4792.9730799683293</v>
      </c>
      <c r="CI101" s="148">
        <v>4792.9730799683284</v>
      </c>
      <c r="CJ101" s="148">
        <v>4792.9730799683284</v>
      </c>
      <c r="CK101" s="148">
        <v>4792.9730799683302</v>
      </c>
      <c r="CL101" s="148">
        <v>4913.9172604908954</v>
      </c>
      <c r="CM101" s="148">
        <v>4913.9172604908954</v>
      </c>
      <c r="CN101" s="148">
        <v>4967.6702296120338</v>
      </c>
      <c r="CO101" s="148">
        <v>5070.6967537608871</v>
      </c>
      <c r="CP101" s="148">
        <v>5070.6967537608871</v>
      </c>
      <c r="CQ101" s="148">
        <v>5070.6967537608871</v>
      </c>
      <c r="CR101" s="148">
        <v>5160.2850356294539</v>
      </c>
      <c r="CS101" s="148">
        <v>5160.285035629453</v>
      </c>
      <c r="CT101" s="148">
        <v>5160.2850356294539</v>
      </c>
      <c r="CU101" s="148">
        <v>5160.2850356294539</v>
      </c>
      <c r="CV101" s="148">
        <v>5394.9167458432303</v>
      </c>
      <c r="CW101" s="109"/>
      <c r="CX101" s="109"/>
    </row>
    <row r="103" spans="1:102" ht="14.45">
      <c r="A103" s="1" t="s">
        <v>187</v>
      </c>
      <c r="B103" s="1" t="s">
        <v>188</v>
      </c>
      <c r="C103" s="4" t="s">
        <v>189</v>
      </c>
    </row>
    <row r="104" spans="1:102" ht="14.45">
      <c r="A104" s="1">
        <v>7820</v>
      </c>
      <c r="B104" s="1" t="s">
        <v>190</v>
      </c>
      <c r="C104" s="1" t="s">
        <v>104</v>
      </c>
      <c r="D104" s="1">
        <v>7.1531969309462914E-2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>
        <v>7.1531969309462914E-2</v>
      </c>
      <c r="AO104" s="1">
        <v>7.1531969309462914E-2</v>
      </c>
      <c r="AP104" s="1">
        <v>7.1531969309462914E-2</v>
      </c>
      <c r="AQ104" s="1">
        <v>7.1531969309462914E-2</v>
      </c>
      <c r="AR104" s="1">
        <v>7.1531969309462914E-2</v>
      </c>
      <c r="AS104" s="1">
        <v>7.1531969309462914E-2</v>
      </c>
      <c r="AT104" s="1">
        <v>7.1531969309462914E-2</v>
      </c>
      <c r="AU104" s="1">
        <v>7.1531969309462914E-2</v>
      </c>
      <c r="AV104" s="1">
        <v>7.1531969309462914E-2</v>
      </c>
      <c r="AW104" s="1">
        <v>7.1531969309462914E-2</v>
      </c>
      <c r="AX104" s="1">
        <v>7.1531969309462914E-2</v>
      </c>
      <c r="AY104" s="1">
        <v>7.1531969309462914E-2</v>
      </c>
      <c r="AZ104" s="1">
        <v>7.1531969309462914E-2</v>
      </c>
      <c r="BA104" s="1">
        <v>7.1531969309462914E-2</v>
      </c>
      <c r="BB104" s="1">
        <v>7.1531969309462914E-2</v>
      </c>
      <c r="BC104" s="1">
        <v>7.1531969309462914E-2</v>
      </c>
      <c r="BD104" s="1">
        <v>7.1531969309462914E-2</v>
      </c>
      <c r="BE104" s="1">
        <v>7.1531969309462914E-2</v>
      </c>
      <c r="BF104" s="1">
        <v>7.1531969309462914E-2</v>
      </c>
      <c r="BG104" s="1">
        <v>7.1531969309462914E-2</v>
      </c>
      <c r="BH104" s="1">
        <v>7.1531969309462914E-2</v>
      </c>
      <c r="BI104" s="1">
        <v>7.1531969309462914E-2</v>
      </c>
      <c r="BJ104" s="1">
        <v>7.1531969309462914E-2</v>
      </c>
      <c r="BK104" s="1">
        <v>7.1531969309462914E-2</v>
      </c>
      <c r="BL104" s="1">
        <v>7.1531969309462914E-2</v>
      </c>
      <c r="BM104" s="1">
        <v>7.1531969309462914E-2</v>
      </c>
      <c r="BN104" s="1">
        <v>7.1531969309462914E-2</v>
      </c>
      <c r="BO104" s="1">
        <v>7.1531969309462914E-2</v>
      </c>
      <c r="BP104" s="1">
        <v>7.1531969309462914E-2</v>
      </c>
      <c r="BQ104" s="1">
        <v>7.1531969309462914E-2</v>
      </c>
      <c r="BR104" s="1">
        <v>7.1531969309462914E-2</v>
      </c>
      <c r="BS104" s="1">
        <v>7.1531969309462914E-2</v>
      </c>
      <c r="BT104" s="1">
        <v>7.1531969309462914E-2</v>
      </c>
      <c r="BU104" s="1">
        <v>7.1531969309462914E-2</v>
      </c>
      <c r="BV104" s="1">
        <v>7.1531969309462914E-2</v>
      </c>
      <c r="BW104" s="1">
        <v>7.1531969309462914E-2</v>
      </c>
      <c r="BX104" s="1">
        <v>7.1531969309462914E-2</v>
      </c>
      <c r="BY104" s="1">
        <v>7.1531969309462914E-2</v>
      </c>
      <c r="BZ104" s="1">
        <v>7.1531969309462914E-2</v>
      </c>
      <c r="CA104" s="1">
        <v>7.1531969309462914E-2</v>
      </c>
      <c r="CB104" s="1">
        <v>7.1531969309462914E-2</v>
      </c>
      <c r="CC104" s="1">
        <v>7.1531969309462914E-2</v>
      </c>
      <c r="CD104" s="1">
        <v>7.1531969309462914E-2</v>
      </c>
      <c r="CE104" s="1">
        <v>7.1531969309462914E-2</v>
      </c>
      <c r="CF104" s="1">
        <v>7.1531969309462914E-2</v>
      </c>
      <c r="CG104" s="1">
        <v>7.1531969309462914E-2</v>
      </c>
      <c r="CH104" s="1">
        <v>7.1531969309462914E-2</v>
      </c>
      <c r="CI104" s="1">
        <v>7.1531969309462914E-2</v>
      </c>
      <c r="CJ104" s="1">
        <v>7.1531969309462914E-2</v>
      </c>
      <c r="CK104" s="1">
        <v>7.1531969309462914E-2</v>
      </c>
      <c r="CL104" s="1">
        <v>7.1531969309462914E-2</v>
      </c>
      <c r="CM104" s="1">
        <v>7.1531969309462914E-2</v>
      </c>
      <c r="CN104" s="1">
        <v>7.1531969309462914E-2</v>
      </c>
      <c r="CO104" s="1">
        <v>7.1531969309462914E-2</v>
      </c>
      <c r="CP104" s="1">
        <v>7.1531969309462914E-2</v>
      </c>
      <c r="CQ104" s="1">
        <v>7.1531969309462914E-2</v>
      </c>
      <c r="CR104" s="1">
        <v>7.1531969309462914E-2</v>
      </c>
      <c r="CS104" s="1">
        <v>7.1531969309462914E-2</v>
      </c>
      <c r="CT104" s="1">
        <v>7.1531969309462914E-2</v>
      </c>
      <c r="CU104" s="1">
        <v>7.1531969309462914E-2</v>
      </c>
      <c r="CV104" s="1">
        <v>7.1531969309462914E-2</v>
      </c>
    </row>
    <row r="105" spans="1:102" ht="14.45">
      <c r="A105" s="1"/>
      <c r="B105" s="1" t="s">
        <v>188</v>
      </c>
      <c r="C105" s="1" t="s">
        <v>105</v>
      </c>
      <c r="D105" s="194">
        <v>0.57030051150895145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94">
        <v>0.57030051150895145</v>
      </c>
      <c r="AO105" s="194">
        <v>0.57030051150895145</v>
      </c>
      <c r="AP105" s="194">
        <v>0.57030051150895145</v>
      </c>
      <c r="AQ105" s="194">
        <v>0.57030051150895145</v>
      </c>
      <c r="AR105" s="194">
        <v>0.57030051150895145</v>
      </c>
      <c r="AS105" s="194">
        <v>0.57030051150895145</v>
      </c>
      <c r="AT105" s="194">
        <v>0.57030051150895145</v>
      </c>
      <c r="AU105" s="194">
        <v>0.57030051150895145</v>
      </c>
      <c r="AV105" s="194">
        <v>0.57030051150895145</v>
      </c>
      <c r="AW105" s="194">
        <v>0.57030051150895145</v>
      </c>
      <c r="AX105" s="194">
        <v>0.57030051150895145</v>
      </c>
      <c r="AY105" s="194">
        <v>0.57030051150895145</v>
      </c>
      <c r="AZ105" s="194">
        <v>0.57030051150895145</v>
      </c>
      <c r="BA105" s="194">
        <v>0.57030051150895145</v>
      </c>
      <c r="BB105" s="194">
        <v>0.57030051150895145</v>
      </c>
      <c r="BC105" s="194">
        <v>0.57030051150895145</v>
      </c>
      <c r="BD105" s="194">
        <v>0.57030051150895145</v>
      </c>
      <c r="BE105" s="194">
        <v>0.57030051150895145</v>
      </c>
      <c r="BF105" s="194">
        <v>0.57030051150895145</v>
      </c>
      <c r="BG105" s="194">
        <v>0.57030051150895145</v>
      </c>
      <c r="BH105" s="194">
        <v>0.57030051150895145</v>
      </c>
      <c r="BI105" s="194">
        <v>0.57030051150895145</v>
      </c>
      <c r="BJ105" s="194">
        <v>0.57030051150895145</v>
      </c>
      <c r="BK105" s="194">
        <v>0.57030051150895145</v>
      </c>
      <c r="BL105" s="194">
        <v>0.57030051150895145</v>
      </c>
      <c r="BM105" s="194">
        <v>0.57030051150895145</v>
      </c>
      <c r="BN105" s="194">
        <v>0.57030051150895145</v>
      </c>
      <c r="BO105" s="194">
        <v>0.57030051150895145</v>
      </c>
      <c r="BP105" s="194">
        <v>0.57030051150895145</v>
      </c>
      <c r="BQ105" s="194">
        <v>0.57030051150895145</v>
      </c>
      <c r="BR105" s="194">
        <v>0.57030051150895145</v>
      </c>
      <c r="BS105" s="194">
        <v>0.57030051150895145</v>
      </c>
      <c r="BT105" s="194">
        <v>0.57030051150895145</v>
      </c>
      <c r="BU105" s="194">
        <v>0.57030051150895145</v>
      </c>
      <c r="BV105" s="194">
        <v>0.57030051150895145</v>
      </c>
      <c r="BW105" s="194">
        <v>0.57030051150895145</v>
      </c>
      <c r="BX105" s="194">
        <v>0.57030051150895145</v>
      </c>
      <c r="BY105" s="194">
        <v>0.57030051150895145</v>
      </c>
      <c r="BZ105" s="194">
        <v>0.57030051150895145</v>
      </c>
      <c r="CA105" s="194">
        <v>0.57030051150895145</v>
      </c>
      <c r="CB105" s="194">
        <v>0.57030051150895145</v>
      </c>
      <c r="CC105" s="194">
        <v>0.57030051150895145</v>
      </c>
      <c r="CD105" s="194">
        <v>0.57030051150895145</v>
      </c>
      <c r="CE105" s="194">
        <v>0.57030051150895145</v>
      </c>
      <c r="CF105" s="194">
        <v>0.57030051150895145</v>
      </c>
      <c r="CG105" s="194">
        <v>0.57030051150895145</v>
      </c>
      <c r="CH105" s="194">
        <v>0.57030051150895145</v>
      </c>
      <c r="CI105" s="194">
        <v>0.57030051150895145</v>
      </c>
      <c r="CJ105" s="194">
        <v>0.57030051150895145</v>
      </c>
      <c r="CK105" s="194">
        <v>0.57030051150895145</v>
      </c>
      <c r="CL105" s="194">
        <v>0.57030051150895145</v>
      </c>
      <c r="CM105" s="194">
        <v>0.57030051150895145</v>
      </c>
      <c r="CN105" s="194">
        <v>0.57030051150895145</v>
      </c>
      <c r="CO105" s="194">
        <v>0.57030051150895145</v>
      </c>
      <c r="CP105" s="194">
        <v>0.57030051150895145</v>
      </c>
      <c r="CQ105" s="194">
        <v>0.57030051150895145</v>
      </c>
      <c r="CR105" s="194">
        <v>0.57030051150895145</v>
      </c>
      <c r="CS105" s="194">
        <v>0.57030051150895145</v>
      </c>
      <c r="CT105" s="194">
        <v>0.57030051150895145</v>
      </c>
      <c r="CU105" s="194">
        <v>0.57030051150895145</v>
      </c>
      <c r="CV105" s="194">
        <v>0.57030051150895145</v>
      </c>
    </row>
    <row r="106" spans="1:102" ht="14.45">
      <c r="A106" s="1"/>
      <c r="B106" s="1" t="s">
        <v>188</v>
      </c>
      <c r="C106" s="1" t="s">
        <v>106</v>
      </c>
      <c r="D106" s="1">
        <v>5.6909207161125318E-2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>
        <v>5.6909207161125318E-2</v>
      </c>
      <c r="AO106" s="1">
        <v>5.6909207161125318E-2</v>
      </c>
      <c r="AP106" s="1">
        <v>5.6909207161125318E-2</v>
      </c>
      <c r="AQ106" s="1">
        <v>5.6909207161125318E-2</v>
      </c>
      <c r="AR106" s="1">
        <v>5.6909207161125318E-2</v>
      </c>
      <c r="AS106" s="1">
        <v>5.6909207161125318E-2</v>
      </c>
      <c r="AT106" s="1">
        <v>5.6909207161125318E-2</v>
      </c>
      <c r="AU106" s="1">
        <v>5.6909207161125318E-2</v>
      </c>
      <c r="AV106" s="1">
        <v>5.6909207161125318E-2</v>
      </c>
      <c r="AW106" s="1">
        <v>5.6909207161125318E-2</v>
      </c>
      <c r="AX106" s="1">
        <v>5.6909207161125318E-2</v>
      </c>
      <c r="AY106" s="1">
        <v>5.6909207161125318E-2</v>
      </c>
      <c r="AZ106" s="1">
        <v>5.6909207161125318E-2</v>
      </c>
      <c r="BA106" s="1">
        <v>5.6909207161125318E-2</v>
      </c>
      <c r="BB106" s="1">
        <v>5.6909207161125318E-2</v>
      </c>
      <c r="BC106" s="1">
        <v>5.6909207161125318E-2</v>
      </c>
      <c r="BD106" s="1">
        <v>5.6909207161125318E-2</v>
      </c>
      <c r="BE106" s="1">
        <v>5.6909207161125318E-2</v>
      </c>
      <c r="BF106" s="1">
        <v>5.6909207161125318E-2</v>
      </c>
      <c r="BG106" s="1">
        <v>5.6909207161125318E-2</v>
      </c>
      <c r="BH106" s="1">
        <v>5.6909207161125318E-2</v>
      </c>
      <c r="BI106" s="1">
        <v>5.6909207161125318E-2</v>
      </c>
      <c r="BJ106" s="1">
        <v>5.6909207161125318E-2</v>
      </c>
      <c r="BK106" s="1">
        <v>5.6909207161125318E-2</v>
      </c>
      <c r="BL106" s="1">
        <v>5.6909207161125318E-2</v>
      </c>
      <c r="BM106" s="1">
        <v>5.6909207161125318E-2</v>
      </c>
      <c r="BN106" s="1">
        <v>5.6909207161125318E-2</v>
      </c>
      <c r="BO106" s="1">
        <v>5.6909207161125318E-2</v>
      </c>
      <c r="BP106" s="1">
        <v>5.6909207161125318E-2</v>
      </c>
      <c r="BQ106" s="1">
        <v>5.6909207161125318E-2</v>
      </c>
      <c r="BR106" s="1">
        <v>5.6909207161125318E-2</v>
      </c>
      <c r="BS106" s="1">
        <v>5.6909207161125318E-2</v>
      </c>
      <c r="BT106" s="1">
        <v>5.6909207161125318E-2</v>
      </c>
      <c r="BU106" s="1">
        <v>5.6909207161125318E-2</v>
      </c>
      <c r="BV106" s="1">
        <v>5.6909207161125318E-2</v>
      </c>
      <c r="BW106" s="1">
        <v>5.6909207161125318E-2</v>
      </c>
      <c r="BX106" s="1">
        <v>5.6909207161125318E-2</v>
      </c>
      <c r="BY106" s="1">
        <v>5.6909207161125318E-2</v>
      </c>
      <c r="BZ106" s="1">
        <v>5.6909207161125318E-2</v>
      </c>
      <c r="CA106" s="1">
        <v>5.6909207161125318E-2</v>
      </c>
      <c r="CB106" s="1">
        <v>5.6909207161125318E-2</v>
      </c>
      <c r="CC106" s="1">
        <v>5.6909207161125318E-2</v>
      </c>
      <c r="CD106" s="1">
        <v>5.6909207161125318E-2</v>
      </c>
      <c r="CE106" s="1">
        <v>5.6909207161125318E-2</v>
      </c>
      <c r="CF106" s="1">
        <v>5.6909207161125318E-2</v>
      </c>
      <c r="CG106" s="1">
        <v>5.6909207161125318E-2</v>
      </c>
      <c r="CH106" s="1">
        <v>5.6909207161125318E-2</v>
      </c>
      <c r="CI106" s="1">
        <v>5.6909207161125318E-2</v>
      </c>
      <c r="CJ106" s="1">
        <v>5.6909207161125318E-2</v>
      </c>
      <c r="CK106" s="1">
        <v>5.6909207161125318E-2</v>
      </c>
      <c r="CL106" s="1">
        <v>5.6909207161125318E-2</v>
      </c>
      <c r="CM106" s="1">
        <v>5.6909207161125318E-2</v>
      </c>
      <c r="CN106" s="1">
        <v>5.6909207161125318E-2</v>
      </c>
      <c r="CO106" s="1">
        <v>5.6909207161125318E-2</v>
      </c>
      <c r="CP106" s="1">
        <v>5.6909207161125318E-2</v>
      </c>
      <c r="CQ106" s="1">
        <v>5.6909207161125318E-2</v>
      </c>
      <c r="CR106" s="1">
        <v>5.6909207161125318E-2</v>
      </c>
      <c r="CS106" s="1">
        <v>5.6909207161125318E-2</v>
      </c>
      <c r="CT106" s="1">
        <v>5.6909207161125318E-2</v>
      </c>
      <c r="CU106" s="1">
        <v>5.6909207161125318E-2</v>
      </c>
      <c r="CV106" s="1">
        <v>5.6909207161125318E-2</v>
      </c>
    </row>
    <row r="107" spans="1:102" ht="14.45">
      <c r="A107" s="1"/>
      <c r="B107" s="1" t="s">
        <v>188</v>
      </c>
      <c r="C107" s="1" t="s">
        <v>107</v>
      </c>
      <c r="D107" s="194">
        <v>0.2879002557544757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94">
        <v>0.2879002557544757</v>
      </c>
      <c r="AO107" s="194">
        <v>0.2879002557544757</v>
      </c>
      <c r="AP107" s="194">
        <v>0.2879002557544757</v>
      </c>
      <c r="AQ107" s="194">
        <v>0.2879002557544757</v>
      </c>
      <c r="AR107" s="194">
        <v>0.2879002557544757</v>
      </c>
      <c r="AS107" s="194">
        <v>0.2879002557544757</v>
      </c>
      <c r="AT107" s="194">
        <v>0.2879002557544757</v>
      </c>
      <c r="AU107" s="194">
        <v>0.2879002557544757</v>
      </c>
      <c r="AV107" s="194">
        <v>0.2879002557544757</v>
      </c>
      <c r="AW107" s="194">
        <v>0.2879002557544757</v>
      </c>
      <c r="AX107" s="194">
        <v>0.2879002557544757</v>
      </c>
      <c r="AY107" s="194">
        <v>0.2879002557544757</v>
      </c>
      <c r="AZ107" s="194">
        <v>0.2879002557544757</v>
      </c>
      <c r="BA107" s="194">
        <v>0.2879002557544757</v>
      </c>
      <c r="BB107" s="194">
        <v>0.2879002557544757</v>
      </c>
      <c r="BC107" s="194">
        <v>0.2879002557544757</v>
      </c>
      <c r="BD107" s="194">
        <v>0.2879002557544757</v>
      </c>
      <c r="BE107" s="194">
        <v>0.2879002557544757</v>
      </c>
      <c r="BF107" s="194">
        <v>0.2879002557544757</v>
      </c>
      <c r="BG107" s="194">
        <v>0.2879002557544757</v>
      </c>
      <c r="BH107" s="194">
        <v>0.2879002557544757</v>
      </c>
      <c r="BI107" s="194">
        <v>0.2879002557544757</v>
      </c>
      <c r="BJ107" s="194">
        <v>0.2879002557544757</v>
      </c>
      <c r="BK107" s="194">
        <v>0.2879002557544757</v>
      </c>
      <c r="BL107" s="194">
        <v>0.2879002557544757</v>
      </c>
      <c r="BM107" s="194">
        <v>0.2879002557544757</v>
      </c>
      <c r="BN107" s="194">
        <v>0.2879002557544757</v>
      </c>
      <c r="BO107" s="194">
        <v>0.2879002557544757</v>
      </c>
      <c r="BP107" s="194">
        <v>0.2879002557544757</v>
      </c>
      <c r="BQ107" s="194">
        <v>0.2879002557544757</v>
      </c>
      <c r="BR107" s="194">
        <v>0.2879002557544757</v>
      </c>
      <c r="BS107" s="194">
        <v>0.2879002557544757</v>
      </c>
      <c r="BT107" s="194">
        <v>0.2879002557544757</v>
      </c>
      <c r="BU107" s="194">
        <v>0.2879002557544757</v>
      </c>
      <c r="BV107" s="194">
        <v>0.2879002557544757</v>
      </c>
      <c r="BW107" s="194">
        <v>0.2879002557544757</v>
      </c>
      <c r="BX107" s="194">
        <v>0.2879002557544757</v>
      </c>
      <c r="BY107" s="194">
        <v>0.2879002557544757</v>
      </c>
      <c r="BZ107" s="194">
        <v>0.2879002557544757</v>
      </c>
      <c r="CA107" s="194">
        <v>0.2879002557544757</v>
      </c>
      <c r="CB107" s="194">
        <v>0.2879002557544757</v>
      </c>
      <c r="CC107" s="194">
        <v>0.2879002557544757</v>
      </c>
      <c r="CD107" s="194">
        <v>0.2879002557544757</v>
      </c>
      <c r="CE107" s="194">
        <v>0.2879002557544757</v>
      </c>
      <c r="CF107" s="194">
        <v>0.2879002557544757</v>
      </c>
      <c r="CG107" s="194">
        <v>0.2879002557544757</v>
      </c>
      <c r="CH107" s="194">
        <v>0.2879002557544757</v>
      </c>
      <c r="CI107" s="194">
        <v>0.2879002557544757</v>
      </c>
      <c r="CJ107" s="194">
        <v>0.2879002557544757</v>
      </c>
      <c r="CK107" s="194">
        <v>0.2879002557544757</v>
      </c>
      <c r="CL107" s="194">
        <v>0.2879002557544757</v>
      </c>
      <c r="CM107" s="194">
        <v>0.2879002557544757</v>
      </c>
      <c r="CN107" s="194">
        <v>0.2879002557544757</v>
      </c>
      <c r="CO107" s="194">
        <v>0.2879002557544757</v>
      </c>
      <c r="CP107" s="194">
        <v>0.2879002557544757</v>
      </c>
      <c r="CQ107" s="194">
        <v>0.2879002557544757</v>
      </c>
      <c r="CR107" s="194">
        <v>0.2879002557544757</v>
      </c>
      <c r="CS107" s="194">
        <v>0.2879002557544757</v>
      </c>
      <c r="CT107" s="194">
        <v>0.2879002557544757</v>
      </c>
      <c r="CU107" s="194">
        <v>0.2879002557544757</v>
      </c>
      <c r="CV107" s="194">
        <v>0.2879002557544757</v>
      </c>
    </row>
    <row r="108" spans="1:102" ht="14.45">
      <c r="A108" s="1"/>
      <c r="B108" s="1" t="s">
        <v>188</v>
      </c>
      <c r="C108" s="1" t="s">
        <v>108</v>
      </c>
      <c r="D108" s="194">
        <v>0.20533375959079284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94">
        <v>0.20533375959079284</v>
      </c>
      <c r="AO108" s="194">
        <v>0.20533375959079284</v>
      </c>
      <c r="AP108" s="194">
        <v>0.20533375959079284</v>
      </c>
      <c r="AQ108" s="194">
        <v>0.20533375959079284</v>
      </c>
      <c r="AR108" s="194">
        <v>0.20533375959079284</v>
      </c>
      <c r="AS108" s="194">
        <v>0.20533375959079284</v>
      </c>
      <c r="AT108" s="194">
        <v>0.20533375959079284</v>
      </c>
      <c r="AU108" s="194">
        <v>0.20533375959079284</v>
      </c>
      <c r="AV108" s="194">
        <v>0.20533375959079284</v>
      </c>
      <c r="AW108" s="194">
        <v>0.20533375959079284</v>
      </c>
      <c r="AX108" s="194">
        <v>0.20533375959079284</v>
      </c>
      <c r="AY108" s="194">
        <v>0.20533375959079284</v>
      </c>
      <c r="AZ108" s="194">
        <v>0.20533375959079284</v>
      </c>
      <c r="BA108" s="194">
        <v>0.20533375959079284</v>
      </c>
      <c r="BB108" s="194">
        <v>0.20533375959079284</v>
      </c>
      <c r="BC108" s="194">
        <v>0.20533375959079284</v>
      </c>
      <c r="BD108" s="194">
        <v>0.20533375959079284</v>
      </c>
      <c r="BE108" s="194">
        <v>0.20533375959079284</v>
      </c>
      <c r="BF108" s="194">
        <v>0.20533375959079284</v>
      </c>
      <c r="BG108" s="194">
        <v>0.20533375959079284</v>
      </c>
      <c r="BH108" s="194">
        <v>0.20533375959079284</v>
      </c>
      <c r="BI108" s="194">
        <v>0.20533375959079284</v>
      </c>
      <c r="BJ108" s="194">
        <v>0.20533375959079284</v>
      </c>
      <c r="BK108" s="194">
        <v>0.20533375959079284</v>
      </c>
      <c r="BL108" s="194">
        <v>0.20533375959079284</v>
      </c>
      <c r="BM108" s="194">
        <v>0.20533375959079284</v>
      </c>
      <c r="BN108" s="194">
        <v>0.20533375959079284</v>
      </c>
      <c r="BO108" s="194">
        <v>0.20533375959079284</v>
      </c>
      <c r="BP108" s="194">
        <v>0.20533375959079284</v>
      </c>
      <c r="BQ108" s="194">
        <v>0.20533375959079284</v>
      </c>
      <c r="BR108" s="194">
        <v>0.20533375959079284</v>
      </c>
      <c r="BS108" s="194">
        <v>0.20533375959079284</v>
      </c>
      <c r="BT108" s="194">
        <v>0.20533375959079284</v>
      </c>
      <c r="BU108" s="194">
        <v>0.20533375959079284</v>
      </c>
      <c r="BV108" s="194">
        <v>0.20533375959079284</v>
      </c>
      <c r="BW108" s="194">
        <v>0.20533375959079284</v>
      </c>
      <c r="BX108" s="194">
        <v>0.20533375959079284</v>
      </c>
      <c r="BY108" s="194">
        <v>0.20533375959079284</v>
      </c>
      <c r="BZ108" s="194">
        <v>0.20533375959079284</v>
      </c>
      <c r="CA108" s="194">
        <v>0.20533375959079284</v>
      </c>
      <c r="CB108" s="194">
        <v>0.20533375959079284</v>
      </c>
      <c r="CC108" s="194">
        <v>0.20533375959079284</v>
      </c>
      <c r="CD108" s="194">
        <v>0.20533375959079284</v>
      </c>
      <c r="CE108" s="194">
        <v>0.20533375959079284</v>
      </c>
      <c r="CF108" s="194">
        <v>0.20533375959079284</v>
      </c>
      <c r="CG108" s="194">
        <v>0.20533375959079284</v>
      </c>
      <c r="CH108" s="194">
        <v>0.20533375959079284</v>
      </c>
      <c r="CI108" s="194">
        <v>0.20533375959079284</v>
      </c>
      <c r="CJ108" s="194">
        <v>0.20533375959079284</v>
      </c>
      <c r="CK108" s="194">
        <v>0.20533375959079284</v>
      </c>
      <c r="CL108" s="194">
        <v>0.20533375959079284</v>
      </c>
      <c r="CM108" s="194">
        <v>0.20533375959079284</v>
      </c>
      <c r="CN108" s="194">
        <v>0.20533375959079284</v>
      </c>
      <c r="CO108" s="194">
        <v>0.20533375959079284</v>
      </c>
      <c r="CP108" s="194">
        <v>0.20533375959079284</v>
      </c>
      <c r="CQ108" s="194">
        <v>0.20533375959079284</v>
      </c>
      <c r="CR108" s="194">
        <v>0.20533375959079284</v>
      </c>
      <c r="CS108" s="194">
        <v>0.20533375959079284</v>
      </c>
      <c r="CT108" s="194">
        <v>0.20533375959079284</v>
      </c>
      <c r="CU108" s="194">
        <v>0.20533375959079284</v>
      </c>
      <c r="CV108" s="194">
        <v>0.20533375959079284</v>
      </c>
    </row>
    <row r="109" spans="1:102" ht="14.45">
      <c r="A109" s="1"/>
      <c r="B109" s="1" t="s">
        <v>188</v>
      </c>
      <c r="C109" s="1" t="s">
        <v>109</v>
      </c>
      <c r="D109" s="194">
        <v>0.9839066496163682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94">
        <v>0.9839066496163682</v>
      </c>
      <c r="AO109" s="194">
        <v>0.9839066496163682</v>
      </c>
      <c r="AP109" s="194">
        <v>0.9839066496163682</v>
      </c>
      <c r="AQ109" s="194">
        <v>0.9839066496163682</v>
      </c>
      <c r="AR109" s="194">
        <v>0.9839066496163682</v>
      </c>
      <c r="AS109" s="194">
        <v>0.9839066496163682</v>
      </c>
      <c r="AT109" s="194">
        <v>0.9839066496163682</v>
      </c>
      <c r="AU109" s="194">
        <v>0.9839066496163682</v>
      </c>
      <c r="AV109" s="194">
        <v>0.9839066496163682</v>
      </c>
      <c r="AW109" s="194">
        <v>0.9839066496163682</v>
      </c>
      <c r="AX109" s="194">
        <v>0.9839066496163682</v>
      </c>
      <c r="AY109" s="194">
        <v>0.9839066496163682</v>
      </c>
      <c r="AZ109" s="194">
        <v>0.9839066496163682</v>
      </c>
      <c r="BA109" s="194">
        <v>0.9839066496163682</v>
      </c>
      <c r="BB109" s="194">
        <v>0.9839066496163682</v>
      </c>
      <c r="BC109" s="194">
        <v>0.9839066496163682</v>
      </c>
      <c r="BD109" s="194">
        <v>0.9839066496163682</v>
      </c>
      <c r="BE109" s="194">
        <v>0.9839066496163682</v>
      </c>
      <c r="BF109" s="194">
        <v>0.9839066496163682</v>
      </c>
      <c r="BG109" s="194">
        <v>0.9839066496163682</v>
      </c>
      <c r="BH109" s="194">
        <v>0.9839066496163682</v>
      </c>
      <c r="BI109" s="194">
        <v>0.9839066496163682</v>
      </c>
      <c r="BJ109" s="194">
        <v>0.9839066496163682</v>
      </c>
      <c r="BK109" s="194">
        <v>0.9839066496163682</v>
      </c>
      <c r="BL109" s="194">
        <v>0.9839066496163682</v>
      </c>
      <c r="BM109" s="194">
        <v>0.9839066496163682</v>
      </c>
      <c r="BN109" s="194">
        <v>0.9839066496163682</v>
      </c>
      <c r="BO109" s="194">
        <v>0.9839066496163682</v>
      </c>
      <c r="BP109" s="194">
        <v>0.9839066496163682</v>
      </c>
      <c r="BQ109" s="194">
        <v>0.9839066496163682</v>
      </c>
      <c r="BR109" s="194">
        <v>0.9839066496163682</v>
      </c>
      <c r="BS109" s="194">
        <v>0.9839066496163682</v>
      </c>
      <c r="BT109" s="194">
        <v>0.9839066496163682</v>
      </c>
      <c r="BU109" s="194">
        <v>0.9839066496163682</v>
      </c>
      <c r="BV109" s="194">
        <v>0.9839066496163682</v>
      </c>
      <c r="BW109" s="194">
        <v>0.9839066496163682</v>
      </c>
      <c r="BX109" s="194">
        <v>0.9839066496163682</v>
      </c>
      <c r="BY109" s="194">
        <v>0.9839066496163682</v>
      </c>
      <c r="BZ109" s="194">
        <v>0.9839066496163682</v>
      </c>
      <c r="CA109" s="194">
        <v>0.9839066496163682</v>
      </c>
      <c r="CB109" s="194">
        <v>0.9839066496163682</v>
      </c>
      <c r="CC109" s="194">
        <v>0.9839066496163682</v>
      </c>
      <c r="CD109" s="194">
        <v>0.9839066496163682</v>
      </c>
      <c r="CE109" s="194">
        <v>0.9839066496163682</v>
      </c>
      <c r="CF109" s="194">
        <v>0.9839066496163682</v>
      </c>
      <c r="CG109" s="194">
        <v>0.9839066496163682</v>
      </c>
      <c r="CH109" s="194">
        <v>0.9839066496163682</v>
      </c>
      <c r="CI109" s="194">
        <v>0.9839066496163682</v>
      </c>
      <c r="CJ109" s="194">
        <v>0.9839066496163682</v>
      </c>
      <c r="CK109" s="194">
        <v>0.9839066496163682</v>
      </c>
      <c r="CL109" s="194">
        <v>0.9839066496163682</v>
      </c>
      <c r="CM109" s="194">
        <v>0.9839066496163682</v>
      </c>
      <c r="CN109" s="194">
        <v>0.9839066496163682</v>
      </c>
      <c r="CO109" s="194">
        <v>0.9839066496163682</v>
      </c>
      <c r="CP109" s="194">
        <v>0.9839066496163682</v>
      </c>
      <c r="CQ109" s="194">
        <v>0.9839066496163682</v>
      </c>
      <c r="CR109" s="194">
        <v>0.9839066496163682</v>
      </c>
      <c r="CS109" s="194">
        <v>0.9839066496163682</v>
      </c>
      <c r="CT109" s="194">
        <v>0.9839066496163682</v>
      </c>
      <c r="CU109" s="194">
        <v>0.9839066496163682</v>
      </c>
      <c r="CV109" s="194">
        <v>0.9839066496163682</v>
      </c>
    </row>
    <row r="110" spans="1:102" ht="14.45">
      <c r="A110" s="1"/>
      <c r="B110" s="1" t="s">
        <v>188</v>
      </c>
      <c r="C110" s="1" t="s">
        <v>110</v>
      </c>
      <c r="D110" s="194">
        <v>0.85026982097186699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94">
        <v>0.85026982097186699</v>
      </c>
      <c r="AO110" s="194">
        <v>0.85026982097186699</v>
      </c>
      <c r="AP110" s="194">
        <v>0.85026982097186699</v>
      </c>
      <c r="AQ110" s="194">
        <v>0.85026982097186699</v>
      </c>
      <c r="AR110" s="194">
        <v>0.85026982097186699</v>
      </c>
      <c r="AS110" s="194">
        <v>0.85026982097186699</v>
      </c>
      <c r="AT110" s="194">
        <v>0.85026982097186699</v>
      </c>
      <c r="AU110" s="194">
        <v>0.85026982097186699</v>
      </c>
      <c r="AV110" s="194">
        <v>0.85026982097186699</v>
      </c>
      <c r="AW110" s="194">
        <v>0.85026982097186699</v>
      </c>
      <c r="AX110" s="194">
        <v>0.85026982097186699</v>
      </c>
      <c r="AY110" s="194">
        <v>0.85026982097186699</v>
      </c>
      <c r="AZ110" s="194">
        <v>0.85026982097186699</v>
      </c>
      <c r="BA110" s="194">
        <v>0.85026982097186699</v>
      </c>
      <c r="BB110" s="194">
        <v>0.85026982097186699</v>
      </c>
      <c r="BC110" s="194">
        <v>0.85026982097186699</v>
      </c>
      <c r="BD110" s="194">
        <v>0.85026982097186699</v>
      </c>
      <c r="BE110" s="194">
        <v>0.85026982097186699</v>
      </c>
      <c r="BF110" s="194">
        <v>0.85026982097186699</v>
      </c>
      <c r="BG110" s="194">
        <v>0.85026982097186699</v>
      </c>
      <c r="BH110" s="194">
        <v>0.85026982097186699</v>
      </c>
      <c r="BI110" s="194">
        <v>0.85026982097186699</v>
      </c>
      <c r="BJ110" s="194">
        <v>0.85026982097186699</v>
      </c>
      <c r="BK110" s="194">
        <v>0.85026982097186699</v>
      </c>
      <c r="BL110" s="194">
        <v>0.85026982097186699</v>
      </c>
      <c r="BM110" s="194">
        <v>0.85026982097186699</v>
      </c>
      <c r="BN110" s="194">
        <v>0.85026982097186699</v>
      </c>
      <c r="BO110" s="194">
        <v>0.85026982097186699</v>
      </c>
      <c r="BP110" s="194">
        <v>0.85026982097186699</v>
      </c>
      <c r="BQ110" s="194">
        <v>0.85026982097186699</v>
      </c>
      <c r="BR110" s="194">
        <v>0.85026982097186699</v>
      </c>
      <c r="BS110" s="194">
        <v>0.85026982097186699</v>
      </c>
      <c r="BT110" s="194">
        <v>0.85026982097186699</v>
      </c>
      <c r="BU110" s="194">
        <v>0.85026982097186699</v>
      </c>
      <c r="BV110" s="194">
        <v>0.85026982097186699</v>
      </c>
      <c r="BW110" s="194">
        <v>0.85026982097186699</v>
      </c>
      <c r="BX110" s="194">
        <v>0.85026982097186699</v>
      </c>
      <c r="BY110" s="194">
        <v>0.85026982097186699</v>
      </c>
      <c r="BZ110" s="194">
        <v>0.85026982097186699</v>
      </c>
      <c r="CA110" s="194">
        <v>0.85026982097186699</v>
      </c>
      <c r="CB110" s="194">
        <v>0.85026982097186699</v>
      </c>
      <c r="CC110" s="194">
        <v>0.85026982097186699</v>
      </c>
      <c r="CD110" s="194">
        <v>0.85026982097186699</v>
      </c>
      <c r="CE110" s="194">
        <v>0.85026982097186699</v>
      </c>
      <c r="CF110" s="194">
        <v>0.85026982097186699</v>
      </c>
      <c r="CG110" s="194">
        <v>0.85026982097186699</v>
      </c>
      <c r="CH110" s="194">
        <v>0.85026982097186699</v>
      </c>
      <c r="CI110" s="194">
        <v>0.85026982097186699</v>
      </c>
      <c r="CJ110" s="194">
        <v>0.85026982097186699</v>
      </c>
      <c r="CK110" s="194">
        <v>0.85026982097186699</v>
      </c>
      <c r="CL110" s="194">
        <v>0.85026982097186699</v>
      </c>
      <c r="CM110" s="194">
        <v>0.85026982097186699</v>
      </c>
      <c r="CN110" s="194">
        <v>0.85026982097186699</v>
      </c>
      <c r="CO110" s="194">
        <v>0.85026982097186699</v>
      </c>
      <c r="CP110" s="194">
        <v>0.85026982097186699</v>
      </c>
      <c r="CQ110" s="194">
        <v>0.85026982097186699</v>
      </c>
      <c r="CR110" s="194">
        <v>0.85026982097186699</v>
      </c>
      <c r="CS110" s="194">
        <v>0.85026982097186699</v>
      </c>
      <c r="CT110" s="194">
        <v>0.85026982097186699</v>
      </c>
      <c r="CU110" s="194">
        <v>0.85026982097186699</v>
      </c>
      <c r="CV110" s="194">
        <v>0.85026982097186699</v>
      </c>
    </row>
    <row r="111" spans="1:102" ht="14.45">
      <c r="A111" s="1"/>
      <c r="B111" s="1" t="s">
        <v>188</v>
      </c>
      <c r="C111" s="1" t="s">
        <v>111</v>
      </c>
      <c r="D111" s="194">
        <v>27.534410485933503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94">
        <v>27.534410485933503</v>
      </c>
      <c r="AO111" s="194">
        <v>27.534410485933503</v>
      </c>
      <c r="AP111" s="194">
        <v>27.534410485933503</v>
      </c>
      <c r="AQ111" s="194">
        <v>27.534410485933503</v>
      </c>
      <c r="AR111" s="194">
        <v>27.534410485933503</v>
      </c>
      <c r="AS111" s="194">
        <v>27.534410485933503</v>
      </c>
      <c r="AT111" s="194">
        <v>27.534410485933503</v>
      </c>
      <c r="AU111" s="194">
        <v>27.534410485933503</v>
      </c>
      <c r="AV111" s="194">
        <v>27.534410485933503</v>
      </c>
      <c r="AW111" s="194">
        <v>27.534410485933503</v>
      </c>
      <c r="AX111" s="194">
        <v>27.534410485933503</v>
      </c>
      <c r="AY111" s="194">
        <v>27.534410485933503</v>
      </c>
      <c r="AZ111" s="194">
        <v>27.534410485933503</v>
      </c>
      <c r="BA111" s="194">
        <v>27.534410485933503</v>
      </c>
      <c r="BB111" s="194">
        <v>27.534410485933503</v>
      </c>
      <c r="BC111" s="194">
        <v>27.534410485933503</v>
      </c>
      <c r="BD111" s="194">
        <v>27.534410485933503</v>
      </c>
      <c r="BE111" s="194">
        <v>27.534410485933503</v>
      </c>
      <c r="BF111" s="194">
        <v>27.534410485933503</v>
      </c>
      <c r="BG111" s="194">
        <v>27.534410485933503</v>
      </c>
      <c r="BH111" s="194">
        <v>27.534410485933503</v>
      </c>
      <c r="BI111" s="194">
        <v>27.534410485933503</v>
      </c>
      <c r="BJ111" s="194">
        <v>27.534410485933503</v>
      </c>
      <c r="BK111" s="194">
        <v>27.534410485933503</v>
      </c>
      <c r="BL111" s="194">
        <v>27.534410485933503</v>
      </c>
      <c r="BM111" s="194">
        <v>27.534410485933503</v>
      </c>
      <c r="BN111" s="194">
        <v>27.534410485933503</v>
      </c>
      <c r="BO111" s="194">
        <v>27.534410485933503</v>
      </c>
      <c r="BP111" s="194">
        <v>27.534410485933503</v>
      </c>
      <c r="BQ111" s="194">
        <v>27.534410485933503</v>
      </c>
      <c r="BR111" s="194">
        <v>27.534410485933503</v>
      </c>
      <c r="BS111" s="194">
        <v>27.534410485933503</v>
      </c>
      <c r="BT111" s="194">
        <v>27.534410485933503</v>
      </c>
      <c r="BU111" s="194">
        <v>27.534410485933503</v>
      </c>
      <c r="BV111" s="194">
        <v>27.534410485933503</v>
      </c>
      <c r="BW111" s="194">
        <v>27.534410485933503</v>
      </c>
      <c r="BX111" s="194">
        <v>27.534410485933503</v>
      </c>
      <c r="BY111" s="194">
        <v>27.534410485933503</v>
      </c>
      <c r="BZ111" s="194">
        <v>27.534410485933503</v>
      </c>
      <c r="CA111" s="194">
        <v>27.534410485933503</v>
      </c>
      <c r="CB111" s="194">
        <v>27.534410485933503</v>
      </c>
      <c r="CC111" s="194">
        <v>27.534410485933503</v>
      </c>
      <c r="CD111" s="194">
        <v>27.534410485933503</v>
      </c>
      <c r="CE111" s="194">
        <v>27.534410485933503</v>
      </c>
      <c r="CF111" s="194">
        <v>27.534410485933503</v>
      </c>
      <c r="CG111" s="194">
        <v>27.534410485933503</v>
      </c>
      <c r="CH111" s="194">
        <v>27.534410485933503</v>
      </c>
      <c r="CI111" s="194">
        <v>27.534410485933503</v>
      </c>
      <c r="CJ111" s="194">
        <v>27.534410485933503</v>
      </c>
      <c r="CK111" s="194">
        <v>27.534410485933503</v>
      </c>
      <c r="CL111" s="194">
        <v>27.534410485933503</v>
      </c>
      <c r="CM111" s="194">
        <v>27.534410485933503</v>
      </c>
      <c r="CN111" s="194">
        <v>27.534410485933503</v>
      </c>
      <c r="CO111" s="194">
        <v>27.534410485933503</v>
      </c>
      <c r="CP111" s="194">
        <v>27.534410485933503</v>
      </c>
      <c r="CQ111" s="194">
        <v>27.534410485933503</v>
      </c>
      <c r="CR111" s="194">
        <v>27.534410485933503</v>
      </c>
      <c r="CS111" s="194">
        <v>27.534410485933503</v>
      </c>
      <c r="CT111" s="194">
        <v>27.534410485933503</v>
      </c>
      <c r="CU111" s="194">
        <v>27.534410485933503</v>
      </c>
      <c r="CV111" s="194">
        <v>27.534410485933503</v>
      </c>
    </row>
    <row r="112" spans="1:102" ht="14.45">
      <c r="A112" s="1"/>
      <c r="B112" s="1" t="s">
        <v>188</v>
      </c>
      <c r="C112" s="1" t="s">
        <v>112</v>
      </c>
      <c r="D112" s="194">
        <v>31.477704603580563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94">
        <v>31.477704603580563</v>
      </c>
      <c r="AO112" s="194">
        <v>31.477704603580563</v>
      </c>
      <c r="AP112" s="194">
        <v>31.477704603580563</v>
      </c>
      <c r="AQ112" s="194">
        <v>31.477704603580563</v>
      </c>
      <c r="AR112" s="194">
        <v>31.477704603580563</v>
      </c>
      <c r="AS112" s="194">
        <v>31.477704603580563</v>
      </c>
      <c r="AT112" s="194">
        <v>31.477704603580563</v>
      </c>
      <c r="AU112" s="194">
        <v>31.477704603580563</v>
      </c>
      <c r="AV112" s="194">
        <v>31.477704603580563</v>
      </c>
      <c r="AW112" s="194">
        <v>31.477704603580563</v>
      </c>
      <c r="AX112" s="194">
        <v>31.477704603580563</v>
      </c>
      <c r="AY112" s="194">
        <v>31.477704603580563</v>
      </c>
      <c r="AZ112" s="194">
        <v>31.477704603580563</v>
      </c>
      <c r="BA112" s="194">
        <v>31.477704603580563</v>
      </c>
      <c r="BB112" s="194">
        <v>31.477704603580563</v>
      </c>
      <c r="BC112" s="194">
        <v>31.477704603580563</v>
      </c>
      <c r="BD112" s="194">
        <v>31.477704603580563</v>
      </c>
      <c r="BE112" s="194">
        <v>31.477704603580563</v>
      </c>
      <c r="BF112" s="194">
        <v>31.477704603580563</v>
      </c>
      <c r="BG112" s="194">
        <v>31.477704603580563</v>
      </c>
      <c r="BH112" s="194">
        <v>31.477704603580563</v>
      </c>
      <c r="BI112" s="194">
        <v>31.477704603580563</v>
      </c>
      <c r="BJ112" s="194">
        <v>31.477704603580563</v>
      </c>
      <c r="BK112" s="194">
        <v>31.477704603580563</v>
      </c>
      <c r="BL112" s="194">
        <v>31.477704603580563</v>
      </c>
      <c r="BM112" s="194">
        <v>31.477704603580563</v>
      </c>
      <c r="BN112" s="194">
        <v>31.477704603580563</v>
      </c>
      <c r="BO112" s="194">
        <v>31.477704603580563</v>
      </c>
      <c r="BP112" s="194">
        <v>31.477704603580563</v>
      </c>
      <c r="BQ112" s="194">
        <v>31.477704603580563</v>
      </c>
      <c r="BR112" s="194">
        <v>31.477704603580563</v>
      </c>
      <c r="BS112" s="194">
        <v>31.477704603580563</v>
      </c>
      <c r="BT112" s="194">
        <v>31.477704603580563</v>
      </c>
      <c r="BU112" s="194">
        <v>31.477704603580563</v>
      </c>
      <c r="BV112" s="194">
        <v>31.477704603580563</v>
      </c>
      <c r="BW112" s="194">
        <v>31.477704603580563</v>
      </c>
      <c r="BX112" s="194">
        <v>31.477704603580563</v>
      </c>
      <c r="BY112" s="194">
        <v>31.477704603580563</v>
      </c>
      <c r="BZ112" s="194">
        <v>31.477704603580563</v>
      </c>
      <c r="CA112" s="194">
        <v>31.477704603580563</v>
      </c>
      <c r="CB112" s="194">
        <v>31.477704603580563</v>
      </c>
      <c r="CC112" s="194">
        <v>31.477704603580563</v>
      </c>
      <c r="CD112" s="194">
        <v>31.477704603580563</v>
      </c>
      <c r="CE112" s="194">
        <v>31.477704603580563</v>
      </c>
      <c r="CF112" s="194">
        <v>31.477704603580563</v>
      </c>
      <c r="CG112" s="194">
        <v>31.477704603580563</v>
      </c>
      <c r="CH112" s="194">
        <v>31.477704603580563</v>
      </c>
      <c r="CI112" s="194">
        <v>31.477704603580563</v>
      </c>
      <c r="CJ112" s="194">
        <v>31.477704603580563</v>
      </c>
      <c r="CK112" s="194">
        <v>31.477704603580563</v>
      </c>
      <c r="CL112" s="194">
        <v>31.477704603580563</v>
      </c>
      <c r="CM112" s="194">
        <v>31.477704603580563</v>
      </c>
      <c r="CN112" s="194">
        <v>31.477704603580563</v>
      </c>
      <c r="CO112" s="194">
        <v>31.477704603580563</v>
      </c>
      <c r="CP112" s="194">
        <v>31.477704603580563</v>
      </c>
      <c r="CQ112" s="194">
        <v>31.477704603580563</v>
      </c>
      <c r="CR112" s="194">
        <v>31.477704603580563</v>
      </c>
      <c r="CS112" s="194">
        <v>31.477704603580563</v>
      </c>
      <c r="CT112" s="194">
        <v>31.477704603580563</v>
      </c>
      <c r="CU112" s="194">
        <v>31.477704603580563</v>
      </c>
      <c r="CV112" s="194">
        <v>31.477704603580563</v>
      </c>
    </row>
    <row r="113" spans="1:100" ht="14.45">
      <c r="A113" s="1"/>
      <c r="B113" s="1" t="s">
        <v>188</v>
      </c>
      <c r="C113" s="1" t="s">
        <v>128</v>
      </c>
      <c r="D113" s="1">
        <v>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 ht="14.45">
      <c r="A114" s="1"/>
      <c r="B114" s="1" t="s">
        <v>188</v>
      </c>
      <c r="C114" s="1" t="s">
        <v>129</v>
      </c>
      <c r="D114" s="1">
        <v>3.5365728900255758E-2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>
        <v>3.5365728900255758E-2</v>
      </c>
      <c r="AO114" s="1">
        <v>3.5365728900255758E-2</v>
      </c>
      <c r="AP114" s="1">
        <v>3.5365728900255758E-2</v>
      </c>
      <c r="AQ114" s="1">
        <v>3.5365728900255758E-2</v>
      </c>
      <c r="AR114" s="1">
        <v>3.5365728900255758E-2</v>
      </c>
      <c r="AS114" s="1">
        <v>3.5365728900255758E-2</v>
      </c>
      <c r="AT114" s="1">
        <v>3.5365728900255758E-2</v>
      </c>
      <c r="AU114" s="1">
        <v>3.5365728900255758E-2</v>
      </c>
      <c r="AV114" s="1">
        <v>3.5365728900255758E-2</v>
      </c>
      <c r="AW114" s="1">
        <v>3.5365728900255758E-2</v>
      </c>
      <c r="AX114" s="1">
        <v>3.5365728900255758E-2</v>
      </c>
      <c r="AY114" s="1">
        <v>3.5365728900255758E-2</v>
      </c>
      <c r="AZ114" s="1">
        <v>3.5365728900255758E-2</v>
      </c>
      <c r="BA114" s="1">
        <v>3.5365728900255758E-2</v>
      </c>
      <c r="BB114" s="1">
        <v>3.5365728900255758E-2</v>
      </c>
      <c r="BC114" s="1">
        <v>3.5365728900255758E-2</v>
      </c>
      <c r="BD114" s="1">
        <v>3.5365728900255758E-2</v>
      </c>
      <c r="BE114" s="1">
        <v>3.5365728900255758E-2</v>
      </c>
      <c r="BF114" s="1">
        <v>3.5365728900255758E-2</v>
      </c>
      <c r="BG114" s="1">
        <v>3.5365728900255758E-2</v>
      </c>
      <c r="BH114" s="1">
        <v>3.5365728900255758E-2</v>
      </c>
      <c r="BI114" s="1">
        <v>3.5365728900255758E-2</v>
      </c>
      <c r="BJ114" s="1">
        <v>3.5365728900255758E-2</v>
      </c>
      <c r="BK114" s="1">
        <v>3.5365728900255758E-2</v>
      </c>
      <c r="BL114" s="1">
        <v>3.5365728900255758E-2</v>
      </c>
      <c r="BM114" s="1">
        <v>3.5365728900255758E-2</v>
      </c>
      <c r="BN114" s="1">
        <v>3.5365728900255758E-2</v>
      </c>
      <c r="BO114" s="1">
        <v>3.5365728900255758E-2</v>
      </c>
      <c r="BP114" s="1">
        <v>3.5365728900255758E-2</v>
      </c>
      <c r="BQ114" s="1">
        <v>3.5365728900255758E-2</v>
      </c>
      <c r="BR114" s="1">
        <v>3.5365728900255758E-2</v>
      </c>
      <c r="BS114" s="1">
        <v>3.5365728900255758E-2</v>
      </c>
      <c r="BT114" s="1">
        <v>3.5365728900255758E-2</v>
      </c>
      <c r="BU114" s="1">
        <v>3.5365728900255758E-2</v>
      </c>
      <c r="BV114" s="1">
        <v>3.5365728900255758E-2</v>
      </c>
      <c r="BW114" s="1">
        <v>3.5365728900255758E-2</v>
      </c>
      <c r="BX114" s="1">
        <v>3.5365728900255758E-2</v>
      </c>
      <c r="BY114" s="1">
        <v>3.5365728900255758E-2</v>
      </c>
      <c r="BZ114" s="1">
        <v>3.5365728900255758E-2</v>
      </c>
      <c r="CA114" s="1">
        <v>3.5365728900255758E-2</v>
      </c>
      <c r="CB114" s="1">
        <v>3.5365728900255758E-2</v>
      </c>
      <c r="CC114" s="1">
        <v>3.5365728900255758E-2</v>
      </c>
      <c r="CD114" s="1">
        <v>3.5365728900255758E-2</v>
      </c>
      <c r="CE114" s="1">
        <v>3.5365728900255758E-2</v>
      </c>
      <c r="CF114" s="1">
        <v>3.5365728900255758E-2</v>
      </c>
      <c r="CG114" s="1">
        <v>3.5365728900255758E-2</v>
      </c>
      <c r="CH114" s="1">
        <v>3.5365728900255758E-2</v>
      </c>
      <c r="CI114" s="1">
        <v>3.5365728900255758E-2</v>
      </c>
      <c r="CJ114" s="1">
        <v>3.5365728900255758E-2</v>
      </c>
      <c r="CK114" s="1">
        <v>3.5365728900255758E-2</v>
      </c>
      <c r="CL114" s="1">
        <v>3.5365728900255758E-2</v>
      </c>
      <c r="CM114" s="1">
        <v>3.5365728900255758E-2</v>
      </c>
      <c r="CN114" s="1">
        <v>3.5365728900255758E-2</v>
      </c>
      <c r="CO114" s="1">
        <v>3.5365728900255758E-2</v>
      </c>
      <c r="CP114" s="1">
        <v>3.5365728900255758E-2</v>
      </c>
      <c r="CQ114" s="1">
        <v>3.5365728900255758E-2</v>
      </c>
      <c r="CR114" s="1">
        <v>3.5365728900255758E-2</v>
      </c>
      <c r="CS114" s="1">
        <v>3.5365728900255758E-2</v>
      </c>
      <c r="CT114" s="1">
        <v>3.5365728900255758E-2</v>
      </c>
      <c r="CU114" s="1">
        <v>3.5365728900255758E-2</v>
      </c>
      <c r="CV114" s="1">
        <v>3.5365728900255758E-2</v>
      </c>
    </row>
    <row r="115" spans="1:100" ht="14.45">
      <c r="A115" s="1"/>
      <c r="B115" s="1" t="s">
        <v>188</v>
      </c>
      <c r="C115" s="1" t="s">
        <v>186</v>
      </c>
      <c r="D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</row>
    <row r="116" spans="1:100" ht="14.45">
      <c r="A116" s="1"/>
      <c r="B116" s="1" t="s">
        <v>188</v>
      </c>
      <c r="C116" s="1" t="s">
        <v>131</v>
      </c>
      <c r="D116" s="1">
        <v>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</row>
    <row r="117" spans="1:100" ht="14.45">
      <c r="A117" s="1"/>
      <c r="B117" s="1" t="s">
        <v>188</v>
      </c>
      <c r="C117" s="1" t="s">
        <v>132</v>
      </c>
      <c r="D117" s="1">
        <v>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</row>
    <row r="118" spans="1:100" ht="14.45">
      <c r="A118" s="1"/>
      <c r="B118" s="1" t="s">
        <v>188</v>
      </c>
      <c r="C118" s="1" t="s">
        <v>133</v>
      </c>
      <c r="D118" s="194">
        <v>0.15755754475703324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94">
        <v>0.15755754475703324</v>
      </c>
      <c r="AO118" s="194">
        <v>0.15755754475703324</v>
      </c>
      <c r="AP118" s="194">
        <v>0.15755754475703324</v>
      </c>
      <c r="AQ118" s="194">
        <v>0.15755754475703324</v>
      </c>
      <c r="AR118" s="194">
        <v>0.15755754475703324</v>
      </c>
      <c r="AS118" s="194">
        <v>0.15755754475703324</v>
      </c>
      <c r="AT118" s="194">
        <v>0.15755754475703324</v>
      </c>
      <c r="AU118" s="194">
        <v>0.15755754475703324</v>
      </c>
      <c r="AV118" s="194">
        <v>0.15755754475703324</v>
      </c>
      <c r="AW118" s="194">
        <v>0.15755754475703324</v>
      </c>
      <c r="AX118" s="194">
        <v>0.15755754475703324</v>
      </c>
      <c r="AY118" s="194">
        <v>0.15755754475703324</v>
      </c>
      <c r="AZ118" s="194">
        <v>0.15755754475703324</v>
      </c>
      <c r="BA118" s="194">
        <v>0.15755754475703324</v>
      </c>
      <c r="BB118" s="194">
        <v>0.15755754475703324</v>
      </c>
      <c r="BC118" s="194">
        <v>0.15755754475703324</v>
      </c>
      <c r="BD118" s="194">
        <v>0.15755754475703324</v>
      </c>
      <c r="BE118" s="194">
        <v>0.15755754475703324</v>
      </c>
      <c r="BF118" s="194">
        <v>0.15755754475703324</v>
      </c>
      <c r="BG118" s="194">
        <v>0.15755754475703324</v>
      </c>
      <c r="BH118" s="194">
        <v>0.15755754475703324</v>
      </c>
      <c r="BI118" s="194">
        <v>0.15755754475703324</v>
      </c>
      <c r="BJ118" s="194">
        <v>0.15755754475703324</v>
      </c>
      <c r="BK118" s="194">
        <v>0.15755754475703324</v>
      </c>
      <c r="BL118" s="194">
        <v>0.15755754475703324</v>
      </c>
      <c r="BM118" s="194">
        <v>0.15755754475703324</v>
      </c>
      <c r="BN118" s="194">
        <v>0.15755754475703324</v>
      </c>
      <c r="BO118" s="194">
        <v>0.15755754475703324</v>
      </c>
      <c r="BP118" s="194">
        <v>0.15755754475703324</v>
      </c>
      <c r="BQ118" s="194">
        <v>0.15755754475703324</v>
      </c>
      <c r="BR118" s="194">
        <v>0.15755754475703324</v>
      </c>
      <c r="BS118" s="194">
        <v>0.15755754475703324</v>
      </c>
      <c r="BT118" s="194">
        <v>0.15755754475703324</v>
      </c>
      <c r="BU118" s="194">
        <v>0.15755754475703324</v>
      </c>
      <c r="BV118" s="194">
        <v>0.15755754475703324</v>
      </c>
      <c r="BW118" s="194">
        <v>0.15755754475703324</v>
      </c>
      <c r="BX118" s="194">
        <v>0.15755754475703324</v>
      </c>
      <c r="BY118" s="194">
        <v>0.15755754475703324</v>
      </c>
      <c r="BZ118" s="194">
        <v>0.15755754475703324</v>
      </c>
      <c r="CA118" s="194">
        <v>0.15755754475703324</v>
      </c>
      <c r="CB118" s="194">
        <v>0.15755754475703324</v>
      </c>
      <c r="CC118" s="194">
        <v>0.15755754475703324</v>
      </c>
      <c r="CD118" s="194">
        <v>0.15755754475703324</v>
      </c>
      <c r="CE118" s="194">
        <v>0.15755754475703324</v>
      </c>
      <c r="CF118" s="194">
        <v>0.15755754475703324</v>
      </c>
      <c r="CG118" s="194">
        <v>0.15755754475703324</v>
      </c>
      <c r="CH118" s="194">
        <v>0.15755754475703324</v>
      </c>
      <c r="CI118" s="194">
        <v>0.15755754475703324</v>
      </c>
      <c r="CJ118" s="194">
        <v>0.15755754475703324</v>
      </c>
      <c r="CK118" s="194">
        <v>0.15755754475703324</v>
      </c>
      <c r="CL118" s="194">
        <v>0.15755754475703324</v>
      </c>
      <c r="CM118" s="194">
        <v>0.15755754475703324</v>
      </c>
      <c r="CN118" s="194">
        <v>0.15755754475703324</v>
      </c>
      <c r="CO118" s="194">
        <v>0.15755754475703324</v>
      </c>
      <c r="CP118" s="194">
        <v>0.15755754475703324</v>
      </c>
      <c r="CQ118" s="194">
        <v>0.15755754475703324</v>
      </c>
      <c r="CR118" s="194">
        <v>0.15755754475703324</v>
      </c>
      <c r="CS118" s="194">
        <v>0.15755754475703324</v>
      </c>
      <c r="CT118" s="194">
        <v>0.15755754475703324</v>
      </c>
      <c r="CU118" s="194">
        <v>0.15755754475703324</v>
      </c>
      <c r="CV118" s="194">
        <v>0.15755754475703324</v>
      </c>
    </row>
    <row r="119" spans="1:100" ht="14.45">
      <c r="A119" s="1"/>
      <c r="B119" s="1" t="s">
        <v>188</v>
      </c>
      <c r="C119" s="1" t="s">
        <v>134</v>
      </c>
      <c r="D119" s="194">
        <v>0.15755754475703324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94">
        <v>0.15755754475703324</v>
      </c>
      <c r="AO119" s="194">
        <v>0.15755754475703324</v>
      </c>
      <c r="AP119" s="194">
        <v>0.15755754475703324</v>
      </c>
      <c r="AQ119" s="194">
        <v>0.15755754475703324</v>
      </c>
      <c r="AR119" s="194">
        <v>0.15755754475703324</v>
      </c>
      <c r="AS119" s="194">
        <v>0.15755754475703324</v>
      </c>
      <c r="AT119" s="194">
        <v>0.15755754475703324</v>
      </c>
      <c r="AU119" s="194">
        <v>0.15755754475703324</v>
      </c>
      <c r="AV119" s="194">
        <v>0.15755754475703324</v>
      </c>
      <c r="AW119" s="194">
        <v>0.15755754475703324</v>
      </c>
      <c r="AX119" s="194">
        <v>0.15755754475703324</v>
      </c>
      <c r="AY119" s="194">
        <v>0.15755754475703324</v>
      </c>
      <c r="AZ119" s="194">
        <v>0.15755754475703324</v>
      </c>
      <c r="BA119" s="194">
        <v>0.15755754475703324</v>
      </c>
      <c r="BB119" s="194">
        <v>0.15755754475703324</v>
      </c>
      <c r="BC119" s="194">
        <v>0.15755754475703324</v>
      </c>
      <c r="BD119" s="194">
        <v>0.15755754475703324</v>
      </c>
      <c r="BE119" s="194">
        <v>0.15755754475703324</v>
      </c>
      <c r="BF119" s="194">
        <v>0.15755754475703324</v>
      </c>
      <c r="BG119" s="194">
        <v>0.15755754475703324</v>
      </c>
      <c r="BH119" s="194">
        <v>0.15755754475703324</v>
      </c>
      <c r="BI119" s="194">
        <v>0.15755754475703324</v>
      </c>
      <c r="BJ119" s="194">
        <v>0.15755754475703324</v>
      </c>
      <c r="BK119" s="194">
        <v>0.15755754475703324</v>
      </c>
      <c r="BL119" s="194">
        <v>0.15755754475703324</v>
      </c>
      <c r="BM119" s="194">
        <v>0.15755754475703324</v>
      </c>
      <c r="BN119" s="194">
        <v>0.15755754475703324</v>
      </c>
      <c r="BO119" s="194">
        <v>0.15755754475703324</v>
      </c>
      <c r="BP119" s="194">
        <v>0.15755754475703324</v>
      </c>
      <c r="BQ119" s="194">
        <v>0.15755754475703324</v>
      </c>
      <c r="BR119" s="194">
        <v>0.15755754475703324</v>
      </c>
      <c r="BS119" s="194">
        <v>0.15755754475703324</v>
      </c>
      <c r="BT119" s="194">
        <v>0.15755754475703324</v>
      </c>
      <c r="BU119" s="194">
        <v>0.15755754475703324</v>
      </c>
      <c r="BV119" s="194">
        <v>0.15755754475703324</v>
      </c>
      <c r="BW119" s="194">
        <v>0.15755754475703324</v>
      </c>
      <c r="BX119" s="194">
        <v>0.15755754475703324</v>
      </c>
      <c r="BY119" s="194">
        <v>0.15755754475703324</v>
      </c>
      <c r="BZ119" s="194">
        <v>0.15755754475703324</v>
      </c>
      <c r="CA119" s="194">
        <v>0.15755754475703324</v>
      </c>
      <c r="CB119" s="194">
        <v>0.15755754475703324</v>
      </c>
      <c r="CC119" s="194">
        <v>0.15755754475703324</v>
      </c>
      <c r="CD119" s="194">
        <v>0.15755754475703324</v>
      </c>
      <c r="CE119" s="194">
        <v>0.15755754475703324</v>
      </c>
      <c r="CF119" s="194">
        <v>0.15755754475703324</v>
      </c>
      <c r="CG119" s="194">
        <v>0.15755754475703324</v>
      </c>
      <c r="CH119" s="194">
        <v>0.15755754475703324</v>
      </c>
      <c r="CI119" s="194">
        <v>0.15755754475703324</v>
      </c>
      <c r="CJ119" s="194">
        <v>0.15755754475703324</v>
      </c>
      <c r="CK119" s="194">
        <v>0.15755754475703324</v>
      </c>
      <c r="CL119" s="194">
        <v>0.15755754475703324</v>
      </c>
      <c r="CM119" s="194">
        <v>0.15755754475703324</v>
      </c>
      <c r="CN119" s="194">
        <v>0.15755754475703324</v>
      </c>
      <c r="CO119" s="194">
        <v>0.15755754475703324</v>
      </c>
      <c r="CP119" s="194">
        <v>0.15755754475703324</v>
      </c>
      <c r="CQ119" s="194">
        <v>0.15755754475703324</v>
      </c>
      <c r="CR119" s="194">
        <v>0.15755754475703324</v>
      </c>
      <c r="CS119" s="194">
        <v>0.15755754475703324</v>
      </c>
      <c r="CT119" s="194">
        <v>0.15755754475703324</v>
      </c>
      <c r="CU119" s="194">
        <v>0.15755754475703324</v>
      </c>
      <c r="CV119" s="194">
        <v>0.15755754475703324</v>
      </c>
    </row>
    <row r="120" spans="1:100" ht="14.45">
      <c r="A120" s="1"/>
      <c r="B120" s="1" t="s">
        <v>188</v>
      </c>
      <c r="C120" s="1" t="s">
        <v>135</v>
      </c>
      <c r="D120" s="194">
        <v>0.15755754475703324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94">
        <v>0.15755754475703324</v>
      </c>
      <c r="AO120" s="194">
        <v>0.15755754475703324</v>
      </c>
      <c r="AP120" s="194">
        <v>0.15755754475703324</v>
      </c>
      <c r="AQ120" s="194">
        <v>0.15755754475703324</v>
      </c>
      <c r="AR120" s="194">
        <v>0.15755754475703324</v>
      </c>
      <c r="AS120" s="194">
        <v>0.15755754475703324</v>
      </c>
      <c r="AT120" s="194">
        <v>0.15755754475703324</v>
      </c>
      <c r="AU120" s="194">
        <v>0.15755754475703324</v>
      </c>
      <c r="AV120" s="194">
        <v>0.15755754475703324</v>
      </c>
      <c r="AW120" s="194">
        <v>0.15755754475703324</v>
      </c>
      <c r="AX120" s="194">
        <v>0.15755754475703324</v>
      </c>
      <c r="AY120" s="194">
        <v>0.15755754475703324</v>
      </c>
      <c r="AZ120" s="194">
        <v>0.15755754475703324</v>
      </c>
      <c r="BA120" s="194">
        <v>0.15755754475703324</v>
      </c>
      <c r="BB120" s="194">
        <v>0.15755754475703324</v>
      </c>
      <c r="BC120" s="194">
        <v>0.15755754475703324</v>
      </c>
      <c r="BD120" s="194">
        <v>0.15755754475703324</v>
      </c>
      <c r="BE120" s="194">
        <v>0.15755754475703324</v>
      </c>
      <c r="BF120" s="194">
        <v>0.15755754475703324</v>
      </c>
      <c r="BG120" s="194">
        <v>0.15755754475703324</v>
      </c>
      <c r="BH120" s="194">
        <v>0.15755754475703324</v>
      </c>
      <c r="BI120" s="194">
        <v>0.15755754475703324</v>
      </c>
      <c r="BJ120" s="194">
        <v>0.15755754475703324</v>
      </c>
      <c r="BK120" s="194">
        <v>0.15755754475703324</v>
      </c>
      <c r="BL120" s="194">
        <v>0.15755754475703324</v>
      </c>
      <c r="BM120" s="194">
        <v>0.15755754475703324</v>
      </c>
      <c r="BN120" s="194">
        <v>0.15755754475703324</v>
      </c>
      <c r="BO120" s="194">
        <v>0.15755754475703324</v>
      </c>
      <c r="BP120" s="194">
        <v>0.15755754475703324</v>
      </c>
      <c r="BQ120" s="194">
        <v>0.15755754475703324</v>
      </c>
      <c r="BR120" s="194">
        <v>0.15755754475703324</v>
      </c>
      <c r="BS120" s="194">
        <v>0.15755754475703324</v>
      </c>
      <c r="BT120" s="194">
        <v>0.15755754475703324</v>
      </c>
      <c r="BU120" s="194">
        <v>0.15755754475703324</v>
      </c>
      <c r="BV120" s="194">
        <v>0.15755754475703324</v>
      </c>
      <c r="BW120" s="194">
        <v>0.15755754475703324</v>
      </c>
      <c r="BX120" s="194">
        <v>0.15755754475703324</v>
      </c>
      <c r="BY120" s="194">
        <v>0.15755754475703324</v>
      </c>
      <c r="BZ120" s="194">
        <v>0.15755754475703324</v>
      </c>
      <c r="CA120" s="194">
        <v>0.15755754475703324</v>
      </c>
      <c r="CB120" s="194">
        <v>0.15755754475703324</v>
      </c>
      <c r="CC120" s="194">
        <v>0.15755754475703324</v>
      </c>
      <c r="CD120" s="194">
        <v>0.15755754475703324</v>
      </c>
      <c r="CE120" s="194">
        <v>0.15755754475703324</v>
      </c>
      <c r="CF120" s="194">
        <v>0.15755754475703324</v>
      </c>
      <c r="CG120" s="194">
        <v>0.15755754475703324</v>
      </c>
      <c r="CH120" s="194">
        <v>0.15755754475703324</v>
      </c>
      <c r="CI120" s="194">
        <v>0.15755754475703324</v>
      </c>
      <c r="CJ120" s="194">
        <v>0.15755754475703324</v>
      </c>
      <c r="CK120" s="194">
        <v>0.15755754475703324</v>
      </c>
      <c r="CL120" s="194">
        <v>0.15755754475703324</v>
      </c>
      <c r="CM120" s="194">
        <v>0.15755754475703324</v>
      </c>
      <c r="CN120" s="194">
        <v>0.15755754475703324</v>
      </c>
      <c r="CO120" s="194">
        <v>0.15755754475703324</v>
      </c>
      <c r="CP120" s="194">
        <v>0.15755754475703324</v>
      </c>
      <c r="CQ120" s="194">
        <v>0.15755754475703324</v>
      </c>
      <c r="CR120" s="194">
        <v>0.15755754475703324</v>
      </c>
      <c r="CS120" s="194">
        <v>0.15755754475703324</v>
      </c>
      <c r="CT120" s="194">
        <v>0.15755754475703324</v>
      </c>
      <c r="CU120" s="194">
        <v>0.15755754475703324</v>
      </c>
      <c r="CV120" s="194">
        <v>0.15755754475703324</v>
      </c>
    </row>
    <row r="121" spans="1:100" ht="14.45">
      <c r="A121" s="1"/>
      <c r="B121" s="1" t="s">
        <v>188</v>
      </c>
      <c r="C121" s="1" t="s">
        <v>136</v>
      </c>
      <c r="D121" s="194">
        <v>0.15755754475703324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94">
        <v>0.15755754475703324</v>
      </c>
      <c r="AO121" s="194">
        <v>0.15755754475703324</v>
      </c>
      <c r="AP121" s="194">
        <v>0.15755754475703324</v>
      </c>
      <c r="AQ121" s="194">
        <v>0.15755754475703324</v>
      </c>
      <c r="AR121" s="194">
        <v>0.15755754475703324</v>
      </c>
      <c r="AS121" s="194">
        <v>0.15755754475703324</v>
      </c>
      <c r="AT121" s="194">
        <v>0.15755754475703324</v>
      </c>
      <c r="AU121" s="194">
        <v>0.15755754475703324</v>
      </c>
      <c r="AV121" s="194">
        <v>0.15755754475703324</v>
      </c>
      <c r="AW121" s="194">
        <v>0.15755754475703324</v>
      </c>
      <c r="AX121" s="194">
        <v>0.15755754475703324</v>
      </c>
      <c r="AY121" s="194">
        <v>0.15755754475703324</v>
      </c>
      <c r="AZ121" s="194">
        <v>0.15755754475703324</v>
      </c>
      <c r="BA121" s="194">
        <v>0.15755754475703324</v>
      </c>
      <c r="BB121" s="194">
        <v>0.15755754475703324</v>
      </c>
      <c r="BC121" s="194">
        <v>0.15755754475703324</v>
      </c>
      <c r="BD121" s="194">
        <v>0.15755754475703324</v>
      </c>
      <c r="BE121" s="194">
        <v>0.15755754475703324</v>
      </c>
      <c r="BF121" s="194">
        <v>0.15755754475703324</v>
      </c>
      <c r="BG121" s="194">
        <v>0.15755754475703324</v>
      </c>
      <c r="BH121" s="194">
        <v>0.15755754475703324</v>
      </c>
      <c r="BI121" s="194">
        <v>0.15755754475703324</v>
      </c>
      <c r="BJ121" s="194">
        <v>0.15755754475703324</v>
      </c>
      <c r="BK121" s="194">
        <v>0.15755754475703324</v>
      </c>
      <c r="BL121" s="194">
        <v>0.15755754475703324</v>
      </c>
      <c r="BM121" s="194">
        <v>0.15755754475703324</v>
      </c>
      <c r="BN121" s="194">
        <v>0.15755754475703324</v>
      </c>
      <c r="BO121" s="194">
        <v>0.15755754475703324</v>
      </c>
      <c r="BP121" s="194">
        <v>0.15755754475703324</v>
      </c>
      <c r="BQ121" s="194">
        <v>0.15755754475703324</v>
      </c>
      <c r="BR121" s="194">
        <v>0.15755754475703324</v>
      </c>
      <c r="BS121" s="194">
        <v>0.15755754475703324</v>
      </c>
      <c r="BT121" s="194">
        <v>0.15755754475703324</v>
      </c>
      <c r="BU121" s="194">
        <v>0.15755754475703324</v>
      </c>
      <c r="BV121" s="194">
        <v>0.15755754475703324</v>
      </c>
      <c r="BW121" s="194">
        <v>0.15755754475703324</v>
      </c>
      <c r="BX121" s="194">
        <v>0.15755754475703324</v>
      </c>
      <c r="BY121" s="194">
        <v>0.15755754475703324</v>
      </c>
      <c r="BZ121" s="194">
        <v>0.15755754475703324</v>
      </c>
      <c r="CA121" s="194">
        <v>0.15755754475703324</v>
      </c>
      <c r="CB121" s="194">
        <v>0.15755754475703324</v>
      </c>
      <c r="CC121" s="194">
        <v>0.15755754475703324</v>
      </c>
      <c r="CD121" s="194">
        <v>0.15755754475703324</v>
      </c>
      <c r="CE121" s="194">
        <v>0.15755754475703324</v>
      </c>
      <c r="CF121" s="194">
        <v>0.15755754475703324</v>
      </c>
      <c r="CG121" s="194">
        <v>0.15755754475703324</v>
      </c>
      <c r="CH121" s="194">
        <v>0.15755754475703324</v>
      </c>
      <c r="CI121" s="194">
        <v>0.15755754475703324</v>
      </c>
      <c r="CJ121" s="194">
        <v>0.15755754475703324</v>
      </c>
      <c r="CK121" s="194">
        <v>0.15755754475703324</v>
      </c>
      <c r="CL121" s="194">
        <v>0.15755754475703324</v>
      </c>
      <c r="CM121" s="194">
        <v>0.15755754475703324</v>
      </c>
      <c r="CN121" s="194">
        <v>0.15755754475703324</v>
      </c>
      <c r="CO121" s="194">
        <v>0.15755754475703324</v>
      </c>
      <c r="CP121" s="194">
        <v>0.15755754475703324</v>
      </c>
      <c r="CQ121" s="194">
        <v>0.15755754475703324</v>
      </c>
      <c r="CR121" s="194">
        <v>0.15755754475703324</v>
      </c>
      <c r="CS121" s="194">
        <v>0.15755754475703324</v>
      </c>
      <c r="CT121" s="194">
        <v>0.15755754475703324</v>
      </c>
      <c r="CU121" s="194">
        <v>0.15755754475703324</v>
      </c>
      <c r="CV121" s="194">
        <v>0.15755754475703324</v>
      </c>
    </row>
    <row r="122" spans="1:100" ht="14.45">
      <c r="A122" s="1"/>
      <c r="B122" s="1" t="s">
        <v>188</v>
      </c>
      <c r="C122" s="1" t="s">
        <v>137</v>
      </c>
      <c r="D122" s="194">
        <v>0.1953478260869565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94">
        <v>0.1953478260869565</v>
      </c>
      <c r="AO122" s="194">
        <v>0.1953478260869565</v>
      </c>
      <c r="AP122" s="194">
        <v>0.1953478260869565</v>
      </c>
      <c r="AQ122" s="194">
        <v>0.1953478260869565</v>
      </c>
      <c r="AR122" s="194">
        <v>0.1953478260869565</v>
      </c>
      <c r="AS122" s="194">
        <v>0.1953478260869565</v>
      </c>
      <c r="AT122" s="194">
        <v>0.1953478260869565</v>
      </c>
      <c r="AU122" s="194">
        <v>0.1953478260869565</v>
      </c>
      <c r="AV122" s="194">
        <v>0.1953478260869565</v>
      </c>
      <c r="AW122" s="194">
        <v>0.1953478260869565</v>
      </c>
      <c r="AX122" s="194">
        <v>0.1953478260869565</v>
      </c>
      <c r="AY122" s="194">
        <v>0.1953478260869565</v>
      </c>
      <c r="AZ122" s="194">
        <v>0.1953478260869565</v>
      </c>
      <c r="BA122" s="194">
        <v>0.1953478260869565</v>
      </c>
      <c r="BB122" s="194">
        <v>0.1953478260869565</v>
      </c>
      <c r="BC122" s="194">
        <v>0.1953478260869565</v>
      </c>
      <c r="BD122" s="194">
        <v>0.1953478260869565</v>
      </c>
      <c r="BE122" s="194">
        <v>0.1953478260869565</v>
      </c>
      <c r="BF122" s="194">
        <v>0.1953478260869565</v>
      </c>
      <c r="BG122" s="194">
        <v>0.1953478260869565</v>
      </c>
      <c r="BH122" s="194">
        <v>0.1953478260869565</v>
      </c>
      <c r="BI122" s="194">
        <v>0.1953478260869565</v>
      </c>
      <c r="BJ122" s="194">
        <v>0.1953478260869565</v>
      </c>
      <c r="BK122" s="194">
        <v>0.1953478260869565</v>
      </c>
      <c r="BL122" s="194">
        <v>0.1953478260869565</v>
      </c>
      <c r="BM122" s="194">
        <v>0.1953478260869565</v>
      </c>
      <c r="BN122" s="194">
        <v>0.1953478260869565</v>
      </c>
      <c r="BO122" s="194">
        <v>0.1953478260869565</v>
      </c>
      <c r="BP122" s="194">
        <v>0.1953478260869565</v>
      </c>
      <c r="BQ122" s="194">
        <v>0.1953478260869565</v>
      </c>
      <c r="BR122" s="194">
        <v>0.1953478260869565</v>
      </c>
      <c r="BS122" s="194">
        <v>0.1953478260869565</v>
      </c>
      <c r="BT122" s="194">
        <v>0.1953478260869565</v>
      </c>
      <c r="BU122" s="194">
        <v>0.1953478260869565</v>
      </c>
      <c r="BV122" s="194">
        <v>0.1953478260869565</v>
      </c>
      <c r="BW122" s="194">
        <v>0.1953478260869565</v>
      </c>
      <c r="BX122" s="194">
        <v>0.1953478260869565</v>
      </c>
      <c r="BY122" s="194">
        <v>0.1953478260869565</v>
      </c>
      <c r="BZ122" s="194">
        <v>0.1953478260869565</v>
      </c>
      <c r="CA122" s="194">
        <v>0.1953478260869565</v>
      </c>
      <c r="CB122" s="194">
        <v>0.1953478260869565</v>
      </c>
      <c r="CC122" s="194">
        <v>0.1953478260869565</v>
      </c>
      <c r="CD122" s="194">
        <v>0.1953478260869565</v>
      </c>
      <c r="CE122" s="194">
        <v>0.1953478260869565</v>
      </c>
      <c r="CF122" s="194">
        <v>0.1953478260869565</v>
      </c>
      <c r="CG122" s="194">
        <v>0.1953478260869565</v>
      </c>
      <c r="CH122" s="194">
        <v>0.1953478260869565</v>
      </c>
      <c r="CI122" s="194">
        <v>0.1953478260869565</v>
      </c>
      <c r="CJ122" s="194">
        <v>0.1953478260869565</v>
      </c>
      <c r="CK122" s="194">
        <v>0.1953478260869565</v>
      </c>
      <c r="CL122" s="194">
        <v>0.1953478260869565</v>
      </c>
      <c r="CM122" s="194">
        <v>0.1953478260869565</v>
      </c>
      <c r="CN122" s="194">
        <v>0.1953478260869565</v>
      </c>
      <c r="CO122" s="194">
        <v>0.1953478260869565</v>
      </c>
      <c r="CP122" s="194">
        <v>0.1953478260869565</v>
      </c>
      <c r="CQ122" s="194">
        <v>0.1953478260869565</v>
      </c>
      <c r="CR122" s="194">
        <v>0.1953478260869565</v>
      </c>
      <c r="CS122" s="194">
        <v>0.1953478260869565</v>
      </c>
      <c r="CT122" s="194">
        <v>0.1953478260869565</v>
      </c>
      <c r="CU122" s="194">
        <v>0.1953478260869565</v>
      </c>
      <c r="CV122" s="194">
        <v>0.1953478260869565</v>
      </c>
    </row>
    <row r="123" spans="1:100" ht="14.45">
      <c r="A123" s="1"/>
      <c r="B123" s="1" t="s">
        <v>188</v>
      </c>
      <c r="C123" s="2" t="s">
        <v>191</v>
      </c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</row>
    <row r="125" spans="1:100" ht="14.45">
      <c r="A125" s="1" t="s">
        <v>187</v>
      </c>
      <c r="B125" s="1" t="s">
        <v>188</v>
      </c>
      <c r="C125" s="4" t="s">
        <v>189</v>
      </c>
    </row>
    <row r="126" spans="1:100" ht="14.45">
      <c r="A126" s="1">
        <v>7820</v>
      </c>
      <c r="B126" s="1" t="s">
        <v>190</v>
      </c>
      <c r="C126" s="1" t="s">
        <v>104</v>
      </c>
      <c r="D126" s="83">
        <f>+D104*D81</f>
        <v>2500.885908649057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83">
        <v>3073.9627799222658</v>
      </c>
      <c r="AO126" s="83">
        <v>3073.9586466421615</v>
      </c>
      <c r="AP126" s="83">
        <v>3073.952446742846</v>
      </c>
      <c r="AQ126" s="83">
        <v>3361.0262246900888</v>
      </c>
      <c r="AR126" s="83">
        <v>3361.0194865987346</v>
      </c>
      <c r="AS126" s="83">
        <v>3361.0262246900888</v>
      </c>
      <c r="AT126" s="83">
        <v>3361.0172405742878</v>
      </c>
      <c r="AU126" s="83">
        <v>3379.081999341724</v>
      </c>
      <c r="AV126" s="83">
        <v>3379.0751886605626</v>
      </c>
      <c r="AW126" s="83">
        <v>3379.0706482217079</v>
      </c>
      <c r="AX126" s="83">
        <v>3397.3305218776518</v>
      </c>
      <c r="AY126" s="83">
        <v>3397.3305218776518</v>
      </c>
      <c r="AZ126" s="83">
        <v>3397.3305218776518</v>
      </c>
      <c r="BA126" s="83">
        <v>3433.9797921197478</v>
      </c>
      <c r="BB126" s="83">
        <v>3433.5109367715359</v>
      </c>
      <c r="BC126" s="83">
        <v>3441.4918655976294</v>
      </c>
      <c r="BD126" s="83">
        <v>3441.4918655976294</v>
      </c>
      <c r="BE126" s="83">
        <v>3441.4918655976294</v>
      </c>
      <c r="BF126" s="83">
        <v>3442.6649886297228</v>
      </c>
      <c r="BG126" s="83">
        <v>3405.3698912185032</v>
      </c>
      <c r="BH126" s="83">
        <v>3612.7098188276705</v>
      </c>
      <c r="BI126" s="83">
        <v>3501.9366313204787</v>
      </c>
      <c r="BJ126" s="83">
        <v>3502.4121667242093</v>
      </c>
      <c r="BK126" s="83">
        <v>3502.1743828799495</v>
      </c>
      <c r="BL126" s="83">
        <v>3501.9366313204787</v>
      </c>
      <c r="BM126" s="83">
        <v>3488.2952288558304</v>
      </c>
      <c r="BN126" s="83">
        <v>4135.3689752295531</v>
      </c>
      <c r="BO126" s="83">
        <v>4134.8080190473465</v>
      </c>
      <c r="BP126" s="83">
        <v>4126.4119015049464</v>
      </c>
      <c r="BQ126" s="83">
        <v>4123.0629942400974</v>
      </c>
      <c r="BR126" s="83">
        <v>4114.1590925114097</v>
      </c>
      <c r="BS126" s="83">
        <v>4114.1590925114097</v>
      </c>
      <c r="BT126" s="83">
        <v>3481.2329494074793</v>
      </c>
      <c r="BU126" s="83">
        <v>3480.7631473900146</v>
      </c>
      <c r="BV126" s="83">
        <v>3481.7028782613406</v>
      </c>
      <c r="BW126" s="83">
        <v>3464.6322684075508</v>
      </c>
      <c r="BX126" s="83">
        <v>3465.3305014322195</v>
      </c>
      <c r="BY126" s="83">
        <v>3452.3430494123972</v>
      </c>
      <c r="BZ126" s="83">
        <v>3448.650210209923</v>
      </c>
      <c r="CA126" s="83">
        <v>3449.3420156683392</v>
      </c>
      <c r="CB126" s="83">
        <v>3440.1407031890644</v>
      </c>
      <c r="CC126" s="83">
        <v>3440.5996027692936</v>
      </c>
      <c r="CD126" s="83">
        <v>2788.9527618128081</v>
      </c>
      <c r="CE126" s="83">
        <v>2781.531880387111</v>
      </c>
      <c r="CF126" s="83">
        <v>2503.3789426862941</v>
      </c>
      <c r="CG126" s="83">
        <v>2503.8786191219597</v>
      </c>
      <c r="CH126" s="83">
        <v>2213.5928405431146</v>
      </c>
      <c r="CI126" s="83">
        <v>2207.1664691401124</v>
      </c>
      <c r="CJ126" s="83">
        <v>2206.5841033171205</v>
      </c>
      <c r="CK126" s="83">
        <v>2206.2930356343199</v>
      </c>
      <c r="CL126" s="83">
        <v>2249.6507855737868</v>
      </c>
      <c r="CM126" s="83">
        <v>2248.1760882381109</v>
      </c>
      <c r="CN126" s="83">
        <v>2272.1729319220763</v>
      </c>
      <c r="CO126" s="83">
        <v>2318.6886243819426</v>
      </c>
      <c r="CP126" s="83">
        <v>2318.6886243819426</v>
      </c>
      <c r="CQ126" s="83">
        <v>2318.5367186806602</v>
      </c>
      <c r="CR126" s="83">
        <v>2359.5002649471026</v>
      </c>
      <c r="CS126" s="83">
        <v>2360.1187447020034</v>
      </c>
      <c r="CT126" s="83">
        <v>2360.4281061838105</v>
      </c>
      <c r="CU126" s="83">
        <v>2360.4281061838105</v>
      </c>
      <c r="CV126" s="83">
        <v>2467.5920971580799</v>
      </c>
    </row>
    <row r="127" spans="1:100" ht="14.45">
      <c r="A127" s="1"/>
      <c r="B127" s="1" t="s">
        <v>188</v>
      </c>
      <c r="C127" s="1" t="s">
        <v>105</v>
      </c>
      <c r="D127" s="83">
        <f t="shared" ref="D127:D144" si="7">+D105*D82</f>
        <v>6891.8648404387286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83">
        <v>7885.079346964234</v>
      </c>
      <c r="AO127" s="83">
        <v>7885.0687446102302</v>
      </c>
      <c r="AP127" s="83">
        <v>7885.052841132685</v>
      </c>
      <c r="AQ127" s="83">
        <v>8388.4194986097718</v>
      </c>
      <c r="AR127" s="83">
        <v>8388.4026817410195</v>
      </c>
      <c r="AS127" s="83">
        <v>8388.4194986097718</v>
      </c>
      <c r="AT127" s="83">
        <v>8388.3970761330875</v>
      </c>
      <c r="AU127" s="83">
        <v>8316.3512336333715</v>
      </c>
      <c r="AV127" s="83">
        <v>8316.3344716794782</v>
      </c>
      <c r="AW127" s="83">
        <v>8316.3232970810877</v>
      </c>
      <c r="AX127" s="83">
        <v>8361.2631721223497</v>
      </c>
      <c r="AY127" s="83">
        <v>8361.2631721223497</v>
      </c>
      <c r="AZ127" s="83">
        <v>8361.2631721223497</v>
      </c>
      <c r="BA127" s="83">
        <v>8570.4963663903927</v>
      </c>
      <c r="BB127" s="83">
        <v>8569.3262013627973</v>
      </c>
      <c r="BC127" s="83">
        <v>8469.9498643648258</v>
      </c>
      <c r="BD127" s="83">
        <v>8469.9498643648258</v>
      </c>
      <c r="BE127" s="83">
        <v>8469.9498643648258</v>
      </c>
      <c r="BF127" s="83">
        <v>8472.8370695812282</v>
      </c>
      <c r="BG127" s="83">
        <v>8381.0490841388237</v>
      </c>
      <c r="BH127" s="83">
        <v>8953.9541210839361</v>
      </c>
      <c r="BI127" s="83">
        <v>8800.7975999517657</v>
      </c>
      <c r="BJ127" s="83">
        <v>8801.9926789267556</v>
      </c>
      <c r="BK127" s="83">
        <v>8801.3950988714369</v>
      </c>
      <c r="BL127" s="83">
        <v>8800.7975999517657</v>
      </c>
      <c r="BM127" s="83">
        <v>8766.5150772478682</v>
      </c>
      <c r="BN127" s="83">
        <v>10392.691011770796</v>
      </c>
      <c r="BO127" s="83">
        <v>10391.281259870122</v>
      </c>
      <c r="BP127" s="83">
        <v>10370.180783506505</v>
      </c>
      <c r="BQ127" s="83">
        <v>10361.764567531793</v>
      </c>
      <c r="BR127" s="83">
        <v>10339.387967035029</v>
      </c>
      <c r="BS127" s="83">
        <v>10339.387967035029</v>
      </c>
      <c r="BT127" s="83">
        <v>8748.766700117525</v>
      </c>
      <c r="BU127" s="83">
        <v>8747.5860298476018</v>
      </c>
      <c r="BV127" s="83">
        <v>8749.9476891429167</v>
      </c>
      <c r="BW127" s="83">
        <v>8827.1443483915209</v>
      </c>
      <c r="BX127" s="83">
        <v>8828.923297272695</v>
      </c>
      <c r="BY127" s="83">
        <v>8855.669644199661</v>
      </c>
      <c r="BZ127" s="83">
        <v>8905.9686752280559</v>
      </c>
      <c r="CA127" s="83">
        <v>8907.755228623284</v>
      </c>
      <c r="CB127" s="83">
        <v>9003.2415261701317</v>
      </c>
      <c r="CC127" s="83">
        <v>9004.4425188368641</v>
      </c>
      <c r="CD127" s="83">
        <v>7299.0082342861569</v>
      </c>
      <c r="CE127" s="83">
        <v>7376.005309232628</v>
      </c>
      <c r="CF127" s="83">
        <v>6638.4054421499104</v>
      </c>
      <c r="CG127" s="83">
        <v>6639.7304731762852</v>
      </c>
      <c r="CH127" s="83">
        <v>5946.6884685408086</v>
      </c>
      <c r="CI127" s="83">
        <v>6005.9330972698654</v>
      </c>
      <c r="CJ127" s="83">
        <v>6004.3484183523806</v>
      </c>
      <c r="CK127" s="83">
        <v>6003.556392443089</v>
      </c>
      <c r="CL127" s="83">
        <v>6199.5187780223632</v>
      </c>
      <c r="CM127" s="83">
        <v>6195.4548522419482</v>
      </c>
      <c r="CN127" s="83">
        <v>6261.5846195756221</v>
      </c>
      <c r="CO127" s="83">
        <v>6389.7711411134997</v>
      </c>
      <c r="CP127" s="83">
        <v>6389.7711411134997</v>
      </c>
      <c r="CQ127" s="83">
        <v>6389.3525240314048</v>
      </c>
      <c r="CR127" s="83">
        <v>6502.2386110284251</v>
      </c>
      <c r="CS127" s="83">
        <v>6503.9429986066752</v>
      </c>
      <c r="CT127" s="83">
        <v>6504.7955275093645</v>
      </c>
      <c r="CU127" s="83">
        <v>6504.7955275093645</v>
      </c>
      <c r="CV127" s="83">
        <v>6800.1147737822275</v>
      </c>
    </row>
    <row r="128" spans="1:100" ht="14.45">
      <c r="A128" s="1"/>
      <c r="B128" s="1" t="s">
        <v>188</v>
      </c>
      <c r="C128" s="1" t="s">
        <v>106</v>
      </c>
      <c r="D128" s="83">
        <f t="shared" si="7"/>
        <v>601.2196988813954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83">
        <v>664.55838138187437</v>
      </c>
      <c r="AO128" s="83">
        <v>664.55748781024306</v>
      </c>
      <c r="AP128" s="83">
        <v>664.55614745730168</v>
      </c>
      <c r="AQ128" s="83">
        <v>749.87026630346986</v>
      </c>
      <c r="AR128" s="83">
        <v>749.86876298453672</v>
      </c>
      <c r="AS128" s="83">
        <v>749.87026630346986</v>
      </c>
      <c r="AT128" s="83">
        <v>749.86826187956547</v>
      </c>
      <c r="AU128" s="83">
        <v>742.21029453111532</v>
      </c>
      <c r="AV128" s="83">
        <v>742.20879857521015</v>
      </c>
      <c r="AW128" s="83">
        <v>742.20780127462376</v>
      </c>
      <c r="AX128" s="83">
        <v>746.21855514414187</v>
      </c>
      <c r="AY128" s="83">
        <v>746.21855514414187</v>
      </c>
      <c r="AZ128" s="83">
        <v>746.21855514414187</v>
      </c>
      <c r="BA128" s="83">
        <v>742.3902681108176</v>
      </c>
      <c r="BB128" s="83">
        <v>742.2889065220096</v>
      </c>
      <c r="BC128" s="83">
        <v>744.01429928773678</v>
      </c>
      <c r="BD128" s="83">
        <v>744.01429928773678</v>
      </c>
      <c r="BE128" s="83">
        <v>744.01429928773678</v>
      </c>
      <c r="BF128" s="83">
        <v>744.26791613321768</v>
      </c>
      <c r="BG128" s="83">
        <v>736.20510882437111</v>
      </c>
      <c r="BH128" s="83">
        <v>781.02981769455062</v>
      </c>
      <c r="BI128" s="83">
        <v>775.25178480475563</v>
      </c>
      <c r="BJ128" s="83">
        <v>775.35705788913492</v>
      </c>
      <c r="BK128" s="83">
        <v>775.30441777337398</v>
      </c>
      <c r="BL128" s="83">
        <v>775.25178480475563</v>
      </c>
      <c r="BM128" s="83">
        <v>802.39718592865802</v>
      </c>
      <c r="BN128" s="83">
        <v>936.93633794511402</v>
      </c>
      <c r="BO128" s="83">
        <v>936.80924403058009</v>
      </c>
      <c r="BP128" s="83">
        <v>934.90696453139799</v>
      </c>
      <c r="BQ128" s="83">
        <v>934.14821412057847</v>
      </c>
      <c r="BR128" s="83">
        <v>932.1308877032576</v>
      </c>
      <c r="BS128" s="83">
        <v>932.1308877032576</v>
      </c>
      <c r="BT128" s="83">
        <v>788.73098644617471</v>
      </c>
      <c r="BU128" s="83">
        <v>788.62454501750437</v>
      </c>
      <c r="BV128" s="83">
        <v>788.83745661173157</v>
      </c>
      <c r="BW128" s="83">
        <v>796.95409936953422</v>
      </c>
      <c r="BX128" s="83">
        <v>797.11471083655749</v>
      </c>
      <c r="BY128" s="83">
        <v>806.06902783205578</v>
      </c>
      <c r="BZ128" s="83">
        <v>805.20680664972429</v>
      </c>
      <c r="CA128" s="83">
        <v>805.36833258887134</v>
      </c>
      <c r="CB128" s="83">
        <v>803.21996758029832</v>
      </c>
      <c r="CC128" s="83">
        <v>803.32711357744097</v>
      </c>
      <c r="CD128" s="83">
        <v>651.17759423317193</v>
      </c>
      <c r="CE128" s="83">
        <v>649.44493250435357</v>
      </c>
      <c r="CF128" s="83">
        <v>584.50049770396811</v>
      </c>
      <c r="CG128" s="83">
        <v>584.61716446997661</v>
      </c>
      <c r="CH128" s="83">
        <v>524.49678522294732</v>
      </c>
      <c r="CI128" s="83">
        <v>522.97409727429249</v>
      </c>
      <c r="CJ128" s="83">
        <v>522.83610938582956</v>
      </c>
      <c r="CK128" s="83">
        <v>522.76714274430685</v>
      </c>
      <c r="CL128" s="83">
        <v>540.82209956614395</v>
      </c>
      <c r="CM128" s="83">
        <v>540.46757836026643</v>
      </c>
      <c r="CN128" s="83">
        <v>546.23648412437262</v>
      </c>
      <c r="CO128" s="83">
        <v>557.41898170143634</v>
      </c>
      <c r="CP128" s="83">
        <v>557.41898170143634</v>
      </c>
      <c r="CQ128" s="83">
        <v>557.38246316227878</v>
      </c>
      <c r="CR128" s="83">
        <v>567.23020986125891</v>
      </c>
      <c r="CS128" s="83">
        <v>567.37889405781493</v>
      </c>
      <c r="CT128" s="83">
        <v>567.45326539010728</v>
      </c>
      <c r="CU128" s="83">
        <v>567.45326539010728</v>
      </c>
      <c r="CV128" s="83">
        <v>593.21577705113816</v>
      </c>
    </row>
    <row r="129" spans="1:100" ht="14.45">
      <c r="A129" s="1"/>
      <c r="B129" s="1" t="s">
        <v>188</v>
      </c>
      <c r="C129" s="1" t="s">
        <v>107</v>
      </c>
      <c r="D129" s="83">
        <f t="shared" si="7"/>
        <v>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83">
        <v>201.71765256394281</v>
      </c>
      <c r="AO129" s="83">
        <v>201.71738133243494</v>
      </c>
      <c r="AP129" s="83">
        <v>201.71697448654066</v>
      </c>
      <c r="AQ129" s="83">
        <v>352.88823907879862</v>
      </c>
      <c r="AR129" s="83">
        <v>352.88753161832858</v>
      </c>
      <c r="AS129" s="83">
        <v>352.88823907879862</v>
      </c>
      <c r="AT129" s="83">
        <v>352.88729579880237</v>
      </c>
      <c r="AU129" s="83">
        <v>354.78399058326858</v>
      </c>
      <c r="AV129" s="83">
        <v>354.78327550129029</v>
      </c>
      <c r="AW129" s="83">
        <v>354.78279878157286</v>
      </c>
      <c r="AX129" s="83">
        <v>237.7999863309816</v>
      </c>
      <c r="AY129" s="83">
        <v>237.7999863309816</v>
      </c>
      <c r="AZ129" s="83">
        <v>237.7999863309816</v>
      </c>
      <c r="BA129" s="83">
        <v>0</v>
      </c>
      <c r="BB129" s="83">
        <v>0</v>
      </c>
      <c r="BC129" s="83">
        <v>0</v>
      </c>
      <c r="BD129" s="83">
        <v>0</v>
      </c>
      <c r="BE129" s="83">
        <v>0</v>
      </c>
      <c r="BF129" s="83">
        <v>0</v>
      </c>
      <c r="BG129" s="83">
        <v>238.36271106649176</v>
      </c>
      <c r="BH129" s="83">
        <v>252.87570343912563</v>
      </c>
      <c r="BI129" s="83">
        <v>0</v>
      </c>
      <c r="BJ129" s="83">
        <v>0</v>
      </c>
      <c r="BK129" s="83">
        <v>0</v>
      </c>
      <c r="BL129" s="83">
        <v>0</v>
      </c>
      <c r="BM129" s="83">
        <v>0</v>
      </c>
      <c r="BN129" s="83">
        <v>0</v>
      </c>
      <c r="BO129" s="83">
        <v>0</v>
      </c>
      <c r="BP129" s="83">
        <v>0</v>
      </c>
      <c r="BQ129" s="83">
        <v>0</v>
      </c>
      <c r="BR129" s="83">
        <v>0</v>
      </c>
      <c r="BS129" s="83">
        <v>0</v>
      </c>
      <c r="BT129" s="83">
        <v>0</v>
      </c>
      <c r="BU129" s="83">
        <v>0</v>
      </c>
      <c r="BV129" s="83">
        <v>0</v>
      </c>
      <c r="BW129" s="83">
        <v>0</v>
      </c>
      <c r="BX129" s="83">
        <v>0</v>
      </c>
      <c r="BY129" s="83">
        <v>0</v>
      </c>
      <c r="BZ129" s="83">
        <v>0</v>
      </c>
      <c r="CA129" s="83">
        <v>0</v>
      </c>
      <c r="CB129" s="83">
        <v>0</v>
      </c>
      <c r="CC129" s="83">
        <v>0</v>
      </c>
      <c r="CD129" s="83">
        <v>0</v>
      </c>
      <c r="CE129" s="83">
        <v>0</v>
      </c>
      <c r="CF129" s="83">
        <v>0</v>
      </c>
      <c r="CG129" s="83">
        <v>0</v>
      </c>
      <c r="CH129" s="83">
        <v>0</v>
      </c>
      <c r="CI129" s="83">
        <v>0</v>
      </c>
      <c r="CJ129" s="83">
        <v>0</v>
      </c>
      <c r="CK129" s="83">
        <v>0</v>
      </c>
      <c r="CL129" s="83">
        <v>0</v>
      </c>
      <c r="CM129" s="83">
        <v>0</v>
      </c>
      <c r="CN129" s="83">
        <v>0</v>
      </c>
      <c r="CO129" s="83">
        <v>0</v>
      </c>
      <c r="CP129" s="83">
        <v>0</v>
      </c>
      <c r="CQ129" s="83">
        <v>0</v>
      </c>
      <c r="CR129" s="83">
        <v>0</v>
      </c>
      <c r="CS129" s="83">
        <v>0</v>
      </c>
      <c r="CT129" s="83">
        <v>0</v>
      </c>
      <c r="CU129" s="83">
        <v>0</v>
      </c>
      <c r="CV129" s="83">
        <v>0</v>
      </c>
    </row>
    <row r="130" spans="1:100" ht="14.45">
      <c r="A130" s="1"/>
      <c r="B130" s="1" t="s">
        <v>188</v>
      </c>
      <c r="C130" s="1" t="s">
        <v>108</v>
      </c>
      <c r="D130" s="83">
        <f t="shared" si="7"/>
        <v>31.212332227892659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83">
        <v>61.383398394172204</v>
      </c>
      <c r="AO130" s="83">
        <v>61.383315857460644</v>
      </c>
      <c r="AP130" s="83">
        <v>61.383192052809463</v>
      </c>
      <c r="AQ130" s="83">
        <v>67.115715619897472</v>
      </c>
      <c r="AR130" s="83">
        <v>67.115581068188277</v>
      </c>
      <c r="AS130" s="83">
        <v>67.115715619897472</v>
      </c>
      <c r="AT130" s="83">
        <v>67.115536217738452</v>
      </c>
      <c r="AU130" s="83">
        <v>67.476268069001861</v>
      </c>
      <c r="AV130" s="83">
        <v>67.476132067760147</v>
      </c>
      <c r="AW130" s="83">
        <v>67.476041400570239</v>
      </c>
      <c r="AX130" s="83">
        <v>67.840669465220529</v>
      </c>
      <c r="AY130" s="83">
        <v>67.840669465220529</v>
      </c>
      <c r="AZ130" s="83">
        <v>67.840669465220529</v>
      </c>
      <c r="BA130" s="83">
        <v>68.572512014134915</v>
      </c>
      <c r="BB130" s="83">
        <v>68.563149527765034</v>
      </c>
      <c r="BC130" s="83">
        <v>75.16525540808648</v>
      </c>
      <c r="BD130" s="83">
        <v>75.16525540808648</v>
      </c>
      <c r="BE130" s="83">
        <v>75.16525540808648</v>
      </c>
      <c r="BF130" s="83">
        <v>68.745945108701179</v>
      </c>
      <c r="BG130" s="83">
        <v>68.001206155615932</v>
      </c>
      <c r="BH130" s="83">
        <v>72.141539103880902</v>
      </c>
      <c r="BI130" s="83">
        <v>69.929529659733291</v>
      </c>
      <c r="BJ130" s="83">
        <v>69.939025538905412</v>
      </c>
      <c r="BK130" s="83">
        <v>69.934277276974839</v>
      </c>
      <c r="BL130" s="83">
        <v>69.929529659733291</v>
      </c>
      <c r="BM130" s="83">
        <v>0</v>
      </c>
      <c r="BN130" s="83">
        <v>0</v>
      </c>
      <c r="BO130" s="83">
        <v>0</v>
      </c>
      <c r="BP130" s="83">
        <v>33.474821932804339</v>
      </c>
      <c r="BQ130" s="83">
        <v>36.020550985305825</v>
      </c>
      <c r="BR130" s="83">
        <v>48.779464505070607</v>
      </c>
      <c r="BS130" s="83">
        <v>48.779464505070607</v>
      </c>
      <c r="BT130" s="83">
        <v>41.275185346769241</v>
      </c>
      <c r="BU130" s="83">
        <v>41.269615146317577</v>
      </c>
      <c r="BV130" s="83">
        <v>41.280757051054707</v>
      </c>
      <c r="BW130" s="83">
        <v>36.75432177044604</v>
      </c>
      <c r="BX130" s="83">
        <v>36.761728929206711</v>
      </c>
      <c r="BY130" s="83">
        <v>32.31525212233408</v>
      </c>
      <c r="BZ130" s="83">
        <v>27.976594302958979</v>
      </c>
      <c r="CA130" s="83">
        <v>25.829729038417419</v>
      </c>
      <c r="CB130" s="83">
        <v>25.760826793566693</v>
      </c>
      <c r="CC130" s="83">
        <v>23.617241242940363</v>
      </c>
      <c r="CD130" s="83">
        <v>19.144154448510108</v>
      </c>
      <c r="CE130" s="83">
        <v>19.093215435808691</v>
      </c>
      <c r="CF130" s="83">
        <v>17.183895610617384</v>
      </c>
      <c r="CG130" s="83">
        <v>17.187325529900939</v>
      </c>
      <c r="CH130" s="83">
        <v>15.194722479963586</v>
      </c>
      <c r="CI130" s="83">
        <v>15.150610063157142</v>
      </c>
      <c r="CJ130" s="83">
        <v>17.900542093569953</v>
      </c>
      <c r="CK130" s="83">
        <v>17.898180855990013</v>
      </c>
      <c r="CL130" s="83">
        <v>18.249913303761737</v>
      </c>
      <c r="CM130" s="83">
        <v>21.043788542156243</v>
      </c>
      <c r="CN130" s="83">
        <v>21.268408182408844</v>
      </c>
      <c r="CO130" s="83">
        <v>23.150733722623524</v>
      </c>
      <c r="CP130" s="83">
        <v>23.150733722623524</v>
      </c>
      <c r="CQ130" s="83">
        <v>26.042869163355164</v>
      </c>
      <c r="CR130" s="83">
        <v>29.447767251850358</v>
      </c>
      <c r="CS130" s="83">
        <v>29.455486194773517</v>
      </c>
      <c r="CT130" s="83">
        <v>29.459347183919508</v>
      </c>
      <c r="CU130" s="83">
        <v>29.459347183919508</v>
      </c>
      <c r="CV130" s="83">
        <v>30.796808472172614</v>
      </c>
    </row>
    <row r="131" spans="1:100" ht="14.45">
      <c r="A131" s="1"/>
      <c r="B131" s="1" t="s">
        <v>188</v>
      </c>
      <c r="C131" s="1" t="s">
        <v>109</v>
      </c>
      <c r="D131" s="83">
        <f t="shared" si="7"/>
        <v>123.38822200725738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83">
        <v>0</v>
      </c>
      <c r="AO131" s="83">
        <v>0</v>
      </c>
      <c r="AP131" s="83">
        <v>0</v>
      </c>
      <c r="AQ131" s="83">
        <v>0</v>
      </c>
      <c r="AR131" s="83">
        <v>0</v>
      </c>
      <c r="AS131" s="83">
        <v>0</v>
      </c>
      <c r="AT131" s="83">
        <v>0</v>
      </c>
      <c r="AU131" s="83">
        <v>0</v>
      </c>
      <c r="AV131" s="83">
        <v>0</v>
      </c>
      <c r="AW131" s="83">
        <v>0</v>
      </c>
      <c r="AX131" s="83">
        <v>0</v>
      </c>
      <c r="AY131" s="83">
        <v>0</v>
      </c>
      <c r="AZ131" s="83">
        <v>0</v>
      </c>
      <c r="BA131" s="83">
        <v>10.268183414843669</v>
      </c>
      <c r="BB131" s="83">
        <v>20.533562915277873</v>
      </c>
      <c r="BC131" s="83">
        <v>20.581291583451865</v>
      </c>
      <c r="BD131" s="83">
        <v>20.581291583451865</v>
      </c>
      <c r="BE131" s="83">
        <v>20.581291583451865</v>
      </c>
      <c r="BF131" s="83">
        <v>25.735384072608124</v>
      </c>
      <c r="BG131" s="83">
        <v>25.456587367418084</v>
      </c>
      <c r="BH131" s="83">
        <v>32.407849745758405</v>
      </c>
      <c r="BI131" s="83">
        <v>31.414157753702227</v>
      </c>
      <c r="BJ131" s="83">
        <v>20.945615699214407</v>
      </c>
      <c r="BK131" s="83">
        <v>26.180242088713669</v>
      </c>
      <c r="BL131" s="83">
        <v>31.414157753702227</v>
      </c>
      <c r="BM131" s="83">
        <v>31.291787415765921</v>
      </c>
      <c r="BN131" s="83">
        <v>0</v>
      </c>
      <c r="BO131" s="83">
        <v>12.363778966368486</v>
      </c>
      <c r="BP131" s="83">
        <v>74.032038884582505</v>
      </c>
      <c r="BQ131" s="83">
        <v>98.629274762687402</v>
      </c>
      <c r="BR131" s="83">
        <v>123.02035165348694</v>
      </c>
      <c r="BS131" s="83">
        <v>123.02035165348694</v>
      </c>
      <c r="BT131" s="83">
        <v>104.09478388994164</v>
      </c>
      <c r="BU131" s="83">
        <v>114.48880961196157</v>
      </c>
      <c r="BV131" s="83">
        <v>114.51971911779633</v>
      </c>
      <c r="BW131" s="83">
        <v>108.77831506919289</v>
      </c>
      <c r="BX131" s="83">
        <v>108.80023734147606</v>
      </c>
      <c r="BY131" s="83">
        <v>108.39247310033552</v>
      </c>
      <c r="BZ131" s="83">
        <v>118.58858028034021</v>
      </c>
      <c r="CA131" s="83">
        <v>123.76942890119597</v>
      </c>
      <c r="CB131" s="83">
        <v>123.439267036838</v>
      </c>
      <c r="CC131" s="83">
        <v>123.45573329002774</v>
      </c>
      <c r="CD131" s="83">
        <v>100.07331514068534</v>
      </c>
      <c r="CE131" s="83">
        <v>99.807038774981393</v>
      </c>
      <c r="CF131" s="83">
        <v>89.826343880117648</v>
      </c>
      <c r="CG131" s="83">
        <v>89.84427329007373</v>
      </c>
      <c r="CH131" s="83">
        <v>86.047246253554988</v>
      </c>
      <c r="CI131" s="83">
        <v>98.997044992365744</v>
      </c>
      <c r="CJ131" s="83">
        <v>98.97092440001947</v>
      </c>
      <c r="CK131" s="83">
        <v>98.957869272147192</v>
      </c>
      <c r="CL131" s="83">
        <v>110.99283242358079</v>
      </c>
      <c r="CM131" s="83">
        <v>124.36493155946306</v>
      </c>
      <c r="CN131" s="83">
        <v>125.69239244565118</v>
      </c>
      <c r="CO131" s="83">
        <v>135.19882748529128</v>
      </c>
      <c r="CP131" s="83">
        <v>135.19882748529128</v>
      </c>
      <c r="CQ131" s="83">
        <v>124.7907416490083</v>
      </c>
      <c r="CR131" s="83">
        <v>112.88491117366122</v>
      </c>
      <c r="CS131" s="83">
        <v>112.91450092757304</v>
      </c>
      <c r="CT131" s="83">
        <v>105.87122027101138</v>
      </c>
      <c r="CU131" s="83">
        <v>105.87122027101138</v>
      </c>
      <c r="CV131" s="83">
        <v>114.36705851447606</v>
      </c>
    </row>
    <row r="132" spans="1:100" ht="14.45">
      <c r="A132" s="1"/>
      <c r="B132" s="1" t="s">
        <v>188</v>
      </c>
      <c r="C132" s="1" t="s">
        <v>110</v>
      </c>
      <c r="D132" s="83">
        <f t="shared" si="7"/>
        <v>90.473349009386723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83">
        <v>0</v>
      </c>
      <c r="AO132" s="83">
        <v>0</v>
      </c>
      <c r="AP132" s="83">
        <v>0</v>
      </c>
      <c r="AQ132" s="83">
        <v>0</v>
      </c>
      <c r="AR132" s="83">
        <v>0</v>
      </c>
      <c r="AS132" s="83">
        <v>0</v>
      </c>
      <c r="AT132" s="83">
        <v>0</v>
      </c>
      <c r="AU132" s="83">
        <v>0</v>
      </c>
      <c r="AV132" s="83">
        <v>0</v>
      </c>
      <c r="AW132" s="83">
        <v>0</v>
      </c>
      <c r="AX132" s="83">
        <v>0</v>
      </c>
      <c r="AY132" s="83">
        <v>0</v>
      </c>
      <c r="AZ132" s="83">
        <v>0</v>
      </c>
      <c r="BA132" s="83">
        <v>0</v>
      </c>
      <c r="BB132" s="83">
        <v>0</v>
      </c>
      <c r="BC132" s="83">
        <v>0</v>
      </c>
      <c r="BD132" s="83">
        <v>0</v>
      </c>
      <c r="BE132" s="83">
        <v>0</v>
      </c>
      <c r="BF132" s="83">
        <v>0</v>
      </c>
      <c r="BG132" s="83">
        <v>0</v>
      </c>
      <c r="BH132" s="83">
        <v>0</v>
      </c>
      <c r="BI132" s="83">
        <v>0</v>
      </c>
      <c r="BJ132" s="83">
        <v>0</v>
      </c>
      <c r="BK132" s="83">
        <v>0</v>
      </c>
      <c r="BL132" s="83">
        <v>0</v>
      </c>
      <c r="BM132" s="83">
        <v>99.152728712267432</v>
      </c>
      <c r="BN132" s="83">
        <v>117.54541723825227</v>
      </c>
      <c r="BO132" s="83">
        <v>117.5294723905531</v>
      </c>
      <c r="BP132" s="83">
        <v>85.302412883877821</v>
      </c>
      <c r="BQ132" s="83">
        <v>117.19562700705498</v>
      </c>
      <c r="BR132" s="83">
        <v>212.62279793939982</v>
      </c>
      <c r="BS132" s="83">
        <v>212.62279793939982</v>
      </c>
      <c r="BT132" s="83">
        <v>179.91270471993656</v>
      </c>
      <c r="BU132" s="83">
        <v>179.88842500270036</v>
      </c>
      <c r="BV132" s="83">
        <v>161.94329189295473</v>
      </c>
      <c r="BW132" s="83">
        <v>152.19655381550248</v>
      </c>
      <c r="BX132" s="83">
        <v>138.79541215696057</v>
      </c>
      <c r="BY132" s="83">
        <v>138.27523125207574</v>
      </c>
      <c r="BZ132" s="83">
        <v>129.21588330268182</v>
      </c>
      <c r="CA132" s="83">
        <v>120.32857636339104</v>
      </c>
      <c r="CB132" s="83">
        <v>120.007593165356</v>
      </c>
      <c r="CC132" s="83">
        <v>120.02360164840346</v>
      </c>
      <c r="CD132" s="83">
        <v>97.291226514880492</v>
      </c>
      <c r="CE132" s="83">
        <v>97.032352766420757</v>
      </c>
      <c r="CF132" s="83">
        <v>87.329126222691315</v>
      </c>
      <c r="CG132" s="83">
        <v>77.641384165341492</v>
      </c>
      <c r="CH132" s="83">
        <v>68.640073366865636</v>
      </c>
      <c r="CI132" s="83">
        <v>68.440801578257677</v>
      </c>
      <c r="CJ132" s="83">
        <v>68.422743319266047</v>
      </c>
      <c r="CK132" s="83">
        <v>74.114860909735739</v>
      </c>
      <c r="CL132" s="83">
        <v>75.571355379972246</v>
      </c>
      <c r="CM132" s="83">
        <v>81.331187145437681</v>
      </c>
      <c r="CN132" s="83">
        <v>93.942067931560217</v>
      </c>
      <c r="CO132" s="83">
        <v>95.865240362477223</v>
      </c>
      <c r="CP132" s="83">
        <v>95.865240362477223</v>
      </c>
      <c r="CQ132" s="83">
        <v>95.858959882893743</v>
      </c>
      <c r="CR132" s="83">
        <v>97.552581082238135</v>
      </c>
      <c r="CS132" s="83">
        <v>85.380882892160713</v>
      </c>
      <c r="CT132" s="83">
        <v>85.392074513984312</v>
      </c>
      <c r="CU132" s="83">
        <v>85.392074513984312</v>
      </c>
      <c r="CV132" s="83">
        <v>89.268894773206469</v>
      </c>
    </row>
    <row r="133" spans="1:100" ht="14.45">
      <c r="A133" s="1"/>
      <c r="B133" s="1" t="s">
        <v>188</v>
      </c>
      <c r="C133" s="1" t="s">
        <v>111</v>
      </c>
      <c r="D133" s="83">
        <f t="shared" si="7"/>
        <v>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83">
        <v>19.292017068200096</v>
      </c>
      <c r="AO133" s="83">
        <v>21.864256611696195</v>
      </c>
      <c r="AP133" s="83">
        <v>25.722602956998315</v>
      </c>
      <c r="AQ133" s="83">
        <v>32.343536959062057</v>
      </c>
      <c r="AR133" s="83">
        <v>36.562185872119237</v>
      </c>
      <c r="AS133" s="83">
        <v>32.343536959062057</v>
      </c>
      <c r="AT133" s="83">
        <v>37.968398417616669</v>
      </c>
      <c r="AU133" s="83">
        <v>38.172470550874444</v>
      </c>
      <c r="AV133" s="83">
        <v>42.413770680736434</v>
      </c>
      <c r="AW133" s="83">
        <v>45.241294602303995</v>
      </c>
      <c r="AX133" s="83">
        <v>45.485770202097733</v>
      </c>
      <c r="AY133" s="83">
        <v>45.485770202097733</v>
      </c>
      <c r="AZ133" s="83">
        <v>45.485770202097733</v>
      </c>
      <c r="BA133" s="83">
        <v>45.976455542711932</v>
      </c>
      <c r="BB133" s="83">
        <v>45.970178188627763</v>
      </c>
      <c r="BC133" s="83">
        <v>50.396754065450061</v>
      </c>
      <c r="BD133" s="83">
        <v>50.396754065450061</v>
      </c>
      <c r="BE133" s="83">
        <v>50.396754065450061</v>
      </c>
      <c r="BF133" s="83">
        <v>53.294729303337114</v>
      </c>
      <c r="BG133" s="83">
        <v>52.717376546842594</v>
      </c>
      <c r="BH133" s="83">
        <v>52.904047244545126</v>
      </c>
      <c r="BI133" s="83">
        <v>52.747096383436308</v>
      </c>
      <c r="BJ133" s="83">
        <v>52.754259023545195</v>
      </c>
      <c r="BK133" s="83">
        <v>52.750677460349735</v>
      </c>
      <c r="BL133" s="83">
        <v>52.747096383436308</v>
      </c>
      <c r="BM133" s="83">
        <v>0</v>
      </c>
      <c r="BN133" s="83">
        <v>0</v>
      </c>
      <c r="BO133" s="83">
        <v>0</v>
      </c>
      <c r="BP133" s="83">
        <v>0</v>
      </c>
      <c r="BQ133" s="83">
        <v>0</v>
      </c>
      <c r="BR133" s="83">
        <v>0</v>
      </c>
      <c r="BS133" s="83">
        <v>0</v>
      </c>
      <c r="BT133" s="83">
        <v>0</v>
      </c>
      <c r="BU133" s="83">
        <v>0</v>
      </c>
      <c r="BV133" s="83">
        <v>0</v>
      </c>
      <c r="BW133" s="83">
        <v>0</v>
      </c>
      <c r="BX133" s="83">
        <v>0</v>
      </c>
      <c r="BY133" s="83">
        <v>0</v>
      </c>
      <c r="BZ133" s="83">
        <v>0</v>
      </c>
      <c r="CA133" s="83">
        <v>0</v>
      </c>
      <c r="CB133" s="83">
        <v>0</v>
      </c>
      <c r="CC133" s="83">
        <v>0</v>
      </c>
      <c r="CD133" s="83">
        <v>0</v>
      </c>
      <c r="CE133" s="83">
        <v>0</v>
      </c>
      <c r="CF133" s="83">
        <v>0</v>
      </c>
      <c r="CG133" s="83">
        <v>0</v>
      </c>
      <c r="CH133" s="83">
        <v>0</v>
      </c>
      <c r="CI133" s="83">
        <v>0</v>
      </c>
      <c r="CJ133" s="83">
        <v>0</v>
      </c>
      <c r="CK133" s="83">
        <v>0</v>
      </c>
      <c r="CL133" s="83">
        <v>0</v>
      </c>
      <c r="CM133" s="83">
        <v>0</v>
      </c>
      <c r="CN133" s="83">
        <v>0</v>
      </c>
      <c r="CO133" s="83">
        <v>0</v>
      </c>
      <c r="CP133" s="83">
        <v>0</v>
      </c>
      <c r="CQ133" s="83">
        <v>0</v>
      </c>
      <c r="CR133" s="83">
        <v>0</v>
      </c>
      <c r="CS133" s="83">
        <v>0</v>
      </c>
      <c r="CT133" s="83">
        <v>0</v>
      </c>
      <c r="CU133" s="83">
        <v>0</v>
      </c>
      <c r="CV133" s="83">
        <v>0</v>
      </c>
    </row>
    <row r="134" spans="1:100" ht="14.45">
      <c r="A134" s="1"/>
      <c r="B134" s="1" t="s">
        <v>188</v>
      </c>
      <c r="C134" s="1" t="s">
        <v>112</v>
      </c>
      <c r="D134" s="83">
        <f t="shared" si="7"/>
        <v>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83">
        <v>5.1461411694673282</v>
      </c>
      <c r="AO134" s="83">
        <v>5.1461342499161065</v>
      </c>
      <c r="AP134" s="83">
        <v>5.1461238706241632</v>
      </c>
      <c r="AQ134" s="83">
        <v>5.6267159574958798</v>
      </c>
      <c r="AR134" s="83">
        <v>5.6267046772131302</v>
      </c>
      <c r="AS134" s="83">
        <v>5.6267159574958798</v>
      </c>
      <c r="AT134" s="83">
        <v>5.6267009171289324</v>
      </c>
      <c r="AU134" s="83">
        <v>5.6569432477832908</v>
      </c>
      <c r="AV134" s="83">
        <v>5.6569318459774705</v>
      </c>
      <c r="AW134" s="83">
        <v>5.6569242447991241</v>
      </c>
      <c r="AX134" s="83">
        <v>5.6874932185628548</v>
      </c>
      <c r="AY134" s="83">
        <v>5.6874932185628548</v>
      </c>
      <c r="AZ134" s="83">
        <v>5.6874932185628548</v>
      </c>
      <c r="BA134" s="83">
        <v>5.7488480012738385</v>
      </c>
      <c r="BB134" s="83">
        <v>5.7480630874727616</v>
      </c>
      <c r="BC134" s="83">
        <v>5.7614240125531833</v>
      </c>
      <c r="BD134" s="83">
        <v>5.7614240125531833</v>
      </c>
      <c r="BE134" s="83">
        <v>5.7614240125531833</v>
      </c>
      <c r="BF134" s="83">
        <v>5.7633879454842321</v>
      </c>
      <c r="BG134" s="83">
        <v>5.7009519792907746</v>
      </c>
      <c r="BH134" s="83">
        <v>6.0480611064777001</v>
      </c>
      <c r="BI134" s="83">
        <v>5.8626149896843476</v>
      </c>
      <c r="BJ134" s="83">
        <v>5.8634110866100029</v>
      </c>
      <c r="BK134" s="83">
        <v>5.8630130111230869</v>
      </c>
      <c r="BL134" s="83">
        <v>5.8626149896843476</v>
      </c>
      <c r="BM134" s="83">
        <v>0</v>
      </c>
      <c r="BN134" s="83">
        <v>0</v>
      </c>
      <c r="BO134" s="83">
        <v>0</v>
      </c>
      <c r="BP134" s="83">
        <v>0</v>
      </c>
      <c r="BQ134" s="83">
        <v>0</v>
      </c>
      <c r="BR134" s="83">
        <v>0</v>
      </c>
      <c r="BS134" s="83">
        <v>0</v>
      </c>
      <c r="BT134" s="83">
        <v>0</v>
      </c>
      <c r="BU134" s="83">
        <v>0</v>
      </c>
      <c r="BV134" s="83">
        <v>0</v>
      </c>
      <c r="BW134" s="83">
        <v>0</v>
      </c>
      <c r="BX134" s="83">
        <v>0</v>
      </c>
      <c r="BY134" s="83">
        <v>0</v>
      </c>
      <c r="BZ134" s="83">
        <v>0</v>
      </c>
      <c r="CA134" s="83">
        <v>0</v>
      </c>
      <c r="CB134" s="83">
        <v>0</v>
      </c>
      <c r="CC134" s="83">
        <v>0</v>
      </c>
      <c r="CD134" s="83">
        <v>0</v>
      </c>
      <c r="CE134" s="83">
        <v>0</v>
      </c>
      <c r="CF134" s="83">
        <v>0</v>
      </c>
      <c r="CG134" s="83">
        <v>0</v>
      </c>
      <c r="CH134" s="83">
        <v>0</v>
      </c>
      <c r="CI134" s="83">
        <v>0</v>
      </c>
      <c r="CJ134" s="83">
        <v>0</v>
      </c>
      <c r="CK134" s="83">
        <v>0</v>
      </c>
      <c r="CL134" s="83">
        <v>0</v>
      </c>
      <c r="CM134" s="83">
        <v>0</v>
      </c>
      <c r="CN134" s="83">
        <v>0</v>
      </c>
      <c r="CO134" s="83">
        <v>0</v>
      </c>
      <c r="CP134" s="83">
        <v>0</v>
      </c>
      <c r="CQ134" s="83">
        <v>0</v>
      </c>
      <c r="CR134" s="83">
        <v>0</v>
      </c>
      <c r="CS134" s="83">
        <v>0</v>
      </c>
      <c r="CT134" s="83">
        <v>0</v>
      </c>
      <c r="CU134" s="83">
        <v>0</v>
      </c>
      <c r="CV134" s="83">
        <v>0</v>
      </c>
    </row>
    <row r="135" spans="1:100" ht="14.45">
      <c r="A135" s="1"/>
      <c r="B135" s="1" t="s">
        <v>188</v>
      </c>
      <c r="C135" s="1" t="s">
        <v>128</v>
      </c>
      <c r="D135" s="83">
        <f t="shared" si="7"/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83">
        <v>0</v>
      </c>
      <c r="AO135" s="83">
        <v>0</v>
      </c>
      <c r="AP135" s="83">
        <v>0</v>
      </c>
      <c r="AQ135" s="83">
        <v>0</v>
      </c>
      <c r="AR135" s="83">
        <v>0</v>
      </c>
      <c r="AS135" s="83">
        <v>0</v>
      </c>
      <c r="AT135" s="83">
        <v>0</v>
      </c>
      <c r="AU135" s="83">
        <v>0</v>
      </c>
      <c r="AV135" s="83">
        <v>0</v>
      </c>
      <c r="AW135" s="83">
        <v>0</v>
      </c>
      <c r="AX135" s="83">
        <v>0</v>
      </c>
      <c r="AY135" s="83">
        <v>0</v>
      </c>
      <c r="AZ135" s="83">
        <v>0</v>
      </c>
      <c r="BA135" s="83">
        <v>0</v>
      </c>
      <c r="BB135" s="83">
        <v>0</v>
      </c>
      <c r="BC135" s="83">
        <v>0</v>
      </c>
      <c r="BD135" s="83">
        <v>0</v>
      </c>
      <c r="BE135" s="83">
        <v>0</v>
      </c>
      <c r="BF135" s="83">
        <v>0</v>
      </c>
      <c r="BG135" s="83">
        <v>0</v>
      </c>
      <c r="BH135" s="83">
        <v>0</v>
      </c>
      <c r="BI135" s="83">
        <v>0</v>
      </c>
      <c r="BJ135" s="83">
        <v>0</v>
      </c>
      <c r="BK135" s="83">
        <v>0</v>
      </c>
      <c r="BL135" s="83">
        <v>0</v>
      </c>
      <c r="BM135" s="83">
        <v>0</v>
      </c>
      <c r="BN135" s="83">
        <v>0</v>
      </c>
      <c r="BO135" s="83">
        <v>0</v>
      </c>
      <c r="BP135" s="83">
        <v>0</v>
      </c>
      <c r="BQ135" s="83">
        <v>0</v>
      </c>
      <c r="BR135" s="83">
        <v>0</v>
      </c>
      <c r="BS135" s="83">
        <v>0</v>
      </c>
      <c r="BT135" s="83">
        <v>0</v>
      </c>
      <c r="BU135" s="83">
        <v>0</v>
      </c>
      <c r="BV135" s="83">
        <v>0</v>
      </c>
      <c r="BW135" s="83">
        <v>0</v>
      </c>
      <c r="BX135" s="83">
        <v>0</v>
      </c>
      <c r="BY135" s="83">
        <v>0</v>
      </c>
      <c r="BZ135" s="83">
        <v>0</v>
      </c>
      <c r="CA135" s="83">
        <v>0</v>
      </c>
      <c r="CB135" s="83">
        <v>0</v>
      </c>
      <c r="CC135" s="83">
        <v>0</v>
      </c>
      <c r="CD135" s="83">
        <v>0</v>
      </c>
      <c r="CE135" s="83">
        <v>0</v>
      </c>
      <c r="CF135" s="83">
        <v>0</v>
      </c>
      <c r="CG135" s="83">
        <v>0</v>
      </c>
      <c r="CH135" s="83">
        <v>0</v>
      </c>
      <c r="CI135" s="83">
        <v>0</v>
      </c>
      <c r="CJ135" s="83">
        <v>0</v>
      </c>
      <c r="CK135" s="83">
        <v>0</v>
      </c>
      <c r="CL135" s="83">
        <v>0</v>
      </c>
      <c r="CM135" s="83">
        <v>0</v>
      </c>
      <c r="CN135" s="83">
        <v>0</v>
      </c>
      <c r="CO135" s="83">
        <v>0</v>
      </c>
      <c r="CP135" s="83">
        <v>0</v>
      </c>
      <c r="CQ135" s="83">
        <v>0</v>
      </c>
      <c r="CR135" s="83">
        <v>0</v>
      </c>
      <c r="CS135" s="83">
        <v>0</v>
      </c>
      <c r="CT135" s="83">
        <v>0</v>
      </c>
      <c r="CU135" s="83">
        <v>0</v>
      </c>
      <c r="CV135" s="83">
        <v>0</v>
      </c>
    </row>
    <row r="136" spans="1:100" ht="14.45">
      <c r="A136" s="1"/>
      <c r="B136" s="1" t="s">
        <v>188</v>
      </c>
      <c r="C136" s="1" t="s">
        <v>129</v>
      </c>
      <c r="D136" s="83">
        <f t="shared" si="7"/>
        <v>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83">
        <v>1034.4475703324808</v>
      </c>
      <c r="AO136" s="83">
        <v>1034.4475703324808</v>
      </c>
      <c r="AP136" s="83">
        <v>1034.4475703324808</v>
      </c>
      <c r="AQ136" s="83">
        <v>620.66361130068594</v>
      </c>
      <c r="AR136" s="83">
        <v>620.6636113006856</v>
      </c>
      <c r="AS136" s="83">
        <v>620.66361130068594</v>
      </c>
      <c r="AT136" s="83">
        <v>620.66361130068572</v>
      </c>
      <c r="AU136" s="83">
        <v>930.99541695102857</v>
      </c>
      <c r="AV136" s="83">
        <v>930.99541695102857</v>
      </c>
      <c r="AW136" s="83">
        <v>930.99541695102857</v>
      </c>
      <c r="AX136" s="83">
        <v>930.99541695102869</v>
      </c>
      <c r="AY136" s="83">
        <v>930.99541695102869</v>
      </c>
      <c r="AZ136" s="83">
        <v>930.99541695102869</v>
      </c>
      <c r="BA136" s="83">
        <v>930.9954169510288</v>
      </c>
      <c r="BB136" s="83">
        <v>930.99541695102846</v>
      </c>
      <c r="BC136" s="83">
        <v>930.99541695102857</v>
      </c>
      <c r="BD136" s="83">
        <v>930.99541695102857</v>
      </c>
      <c r="BE136" s="83">
        <v>930.99541695102857</v>
      </c>
      <c r="BF136" s="83">
        <v>930.99541695102857</v>
      </c>
      <c r="BG136" s="83">
        <v>930.99541695102869</v>
      </c>
      <c r="BH136" s="83">
        <v>989.08316518814422</v>
      </c>
      <c r="BI136" s="83">
        <v>636.57806287249821</v>
      </c>
      <c r="BJ136" s="83">
        <v>636.57806287249821</v>
      </c>
      <c r="BK136" s="83">
        <v>0</v>
      </c>
      <c r="BL136" s="83">
        <v>0</v>
      </c>
      <c r="BM136" s="83">
        <v>0</v>
      </c>
      <c r="BN136" s="83">
        <v>0</v>
      </c>
      <c r="BO136" s="83">
        <v>0</v>
      </c>
      <c r="BP136" s="83">
        <v>0</v>
      </c>
      <c r="BQ136" s="83">
        <v>0</v>
      </c>
      <c r="BR136" s="83">
        <v>0</v>
      </c>
      <c r="BS136" s="83">
        <v>0</v>
      </c>
      <c r="BT136" s="83">
        <v>0</v>
      </c>
      <c r="BU136" s="83">
        <v>0</v>
      </c>
      <c r="BV136" s="83">
        <v>0</v>
      </c>
      <c r="BW136" s="83">
        <v>0</v>
      </c>
      <c r="BX136" s="83">
        <v>0</v>
      </c>
      <c r="BY136" s="83">
        <v>0</v>
      </c>
      <c r="BZ136" s="83">
        <v>0</v>
      </c>
      <c r="CA136" s="83">
        <v>0</v>
      </c>
      <c r="CB136" s="83">
        <v>0</v>
      </c>
      <c r="CC136" s="83">
        <v>0</v>
      </c>
      <c r="CD136" s="83">
        <v>0</v>
      </c>
      <c r="CE136" s="83">
        <v>0</v>
      </c>
      <c r="CF136" s="83">
        <v>0</v>
      </c>
      <c r="CG136" s="83">
        <v>0</v>
      </c>
      <c r="CH136" s="83">
        <v>0</v>
      </c>
      <c r="CI136" s="83">
        <v>0</v>
      </c>
      <c r="CJ136" s="83">
        <v>0</v>
      </c>
      <c r="CK136" s="83">
        <v>0</v>
      </c>
      <c r="CL136" s="83">
        <v>0</v>
      </c>
      <c r="CM136" s="83">
        <v>0</v>
      </c>
      <c r="CN136" s="83">
        <v>0</v>
      </c>
      <c r="CO136" s="83">
        <v>0</v>
      </c>
      <c r="CP136" s="83">
        <v>0</v>
      </c>
      <c r="CQ136" s="83">
        <v>0</v>
      </c>
      <c r="CR136" s="83">
        <v>0</v>
      </c>
      <c r="CS136" s="83">
        <v>0</v>
      </c>
      <c r="CT136" s="83">
        <v>0</v>
      </c>
      <c r="CU136" s="83">
        <v>0</v>
      </c>
      <c r="CV136" s="83">
        <v>0</v>
      </c>
    </row>
    <row r="137" spans="1:100" ht="14.45">
      <c r="A137" s="1"/>
      <c r="B137" s="1" t="s">
        <v>188</v>
      </c>
      <c r="C137" s="1" t="s">
        <v>186</v>
      </c>
      <c r="D137" s="83">
        <f t="shared" si="7"/>
        <v>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83">
        <v>0</v>
      </c>
      <c r="AO137" s="83">
        <v>0</v>
      </c>
      <c r="AP137" s="83">
        <v>0</v>
      </c>
      <c r="AQ137" s="83">
        <v>0</v>
      </c>
      <c r="AR137" s="83">
        <v>0</v>
      </c>
      <c r="AS137" s="83">
        <v>0</v>
      </c>
      <c r="AT137" s="83">
        <v>0</v>
      </c>
      <c r="AU137" s="83">
        <v>0</v>
      </c>
      <c r="AV137" s="83">
        <v>0</v>
      </c>
      <c r="AW137" s="83">
        <v>0</v>
      </c>
      <c r="AX137" s="83">
        <v>0</v>
      </c>
      <c r="AY137" s="83">
        <v>0</v>
      </c>
      <c r="AZ137" s="83">
        <v>0</v>
      </c>
      <c r="BA137" s="83">
        <v>0</v>
      </c>
      <c r="BB137" s="83">
        <v>0</v>
      </c>
      <c r="BC137" s="83">
        <v>0</v>
      </c>
      <c r="BD137" s="83">
        <v>0</v>
      </c>
      <c r="BE137" s="83">
        <v>0</v>
      </c>
      <c r="BF137" s="83">
        <v>0</v>
      </c>
      <c r="BG137" s="83">
        <v>0</v>
      </c>
      <c r="BH137" s="83">
        <v>0</v>
      </c>
      <c r="BI137" s="83">
        <v>0</v>
      </c>
      <c r="BJ137" s="83">
        <v>0</v>
      </c>
      <c r="BK137" s="83">
        <v>0</v>
      </c>
      <c r="BL137" s="83">
        <v>0</v>
      </c>
      <c r="BM137" s="83">
        <v>0</v>
      </c>
      <c r="BN137" s="83">
        <v>0</v>
      </c>
      <c r="BO137" s="83">
        <v>0</v>
      </c>
      <c r="BP137" s="83">
        <v>0</v>
      </c>
      <c r="BQ137" s="83">
        <v>0</v>
      </c>
      <c r="BR137" s="83">
        <v>0</v>
      </c>
      <c r="BS137" s="83">
        <v>0</v>
      </c>
      <c r="BT137" s="83">
        <v>0</v>
      </c>
      <c r="BU137" s="83">
        <v>0</v>
      </c>
      <c r="BV137" s="83">
        <v>0</v>
      </c>
      <c r="BW137" s="83">
        <v>0</v>
      </c>
      <c r="BX137" s="83">
        <v>0</v>
      </c>
      <c r="BY137" s="83">
        <v>0</v>
      </c>
      <c r="BZ137" s="83">
        <v>0</v>
      </c>
      <c r="CA137" s="83">
        <v>0</v>
      </c>
      <c r="CB137" s="83">
        <v>0</v>
      </c>
      <c r="CC137" s="83">
        <v>0</v>
      </c>
      <c r="CD137" s="83">
        <v>0</v>
      </c>
      <c r="CE137" s="83">
        <v>0</v>
      </c>
      <c r="CF137" s="83">
        <v>0</v>
      </c>
      <c r="CG137" s="83">
        <v>0</v>
      </c>
      <c r="CH137" s="83">
        <v>0</v>
      </c>
      <c r="CI137" s="83">
        <v>0</v>
      </c>
      <c r="CJ137" s="83">
        <v>0</v>
      </c>
      <c r="CK137" s="83">
        <v>0</v>
      </c>
      <c r="CL137" s="83">
        <v>0</v>
      </c>
      <c r="CM137" s="83">
        <v>0</v>
      </c>
      <c r="CN137" s="83">
        <v>0</v>
      </c>
      <c r="CO137" s="83">
        <v>0</v>
      </c>
      <c r="CP137" s="83">
        <v>0</v>
      </c>
      <c r="CQ137" s="83">
        <v>0</v>
      </c>
      <c r="CR137" s="83">
        <v>0</v>
      </c>
      <c r="CS137" s="83">
        <v>0</v>
      </c>
      <c r="CT137" s="83">
        <v>0</v>
      </c>
      <c r="CU137" s="83">
        <v>0</v>
      </c>
      <c r="CV137" s="83">
        <v>0</v>
      </c>
    </row>
    <row r="138" spans="1:100" ht="14.45">
      <c r="A138" s="1"/>
      <c r="B138" s="1" t="s">
        <v>188</v>
      </c>
      <c r="C138" s="1" t="s">
        <v>131</v>
      </c>
      <c r="D138" s="83">
        <f t="shared" si="7"/>
        <v>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83">
        <v>0</v>
      </c>
      <c r="AO138" s="83">
        <v>0</v>
      </c>
      <c r="AP138" s="83">
        <v>0</v>
      </c>
      <c r="AQ138" s="83">
        <v>0</v>
      </c>
      <c r="AR138" s="83">
        <v>0</v>
      </c>
      <c r="AS138" s="83">
        <v>0</v>
      </c>
      <c r="AT138" s="83">
        <v>0</v>
      </c>
      <c r="AU138" s="83">
        <v>0</v>
      </c>
      <c r="AV138" s="83">
        <v>0</v>
      </c>
      <c r="AW138" s="83">
        <v>0</v>
      </c>
      <c r="AX138" s="83">
        <v>0</v>
      </c>
      <c r="AY138" s="83">
        <v>0</v>
      </c>
      <c r="AZ138" s="83">
        <v>0</v>
      </c>
      <c r="BA138" s="83">
        <v>0</v>
      </c>
      <c r="BB138" s="83">
        <v>0</v>
      </c>
      <c r="BC138" s="83">
        <v>0</v>
      </c>
      <c r="BD138" s="83">
        <v>0</v>
      </c>
      <c r="BE138" s="83">
        <v>0</v>
      </c>
      <c r="BF138" s="83">
        <v>0</v>
      </c>
      <c r="BG138" s="83">
        <v>0</v>
      </c>
      <c r="BH138" s="83">
        <v>0</v>
      </c>
      <c r="BI138" s="83">
        <v>0</v>
      </c>
      <c r="BJ138" s="83">
        <v>0</v>
      </c>
      <c r="BK138" s="83">
        <v>0</v>
      </c>
      <c r="BL138" s="83">
        <v>0</v>
      </c>
      <c r="BM138" s="83">
        <v>0</v>
      </c>
      <c r="BN138" s="83">
        <v>0</v>
      </c>
      <c r="BO138" s="83">
        <v>0</v>
      </c>
      <c r="BP138" s="83">
        <v>0</v>
      </c>
      <c r="BQ138" s="83">
        <v>0</v>
      </c>
      <c r="BR138" s="83">
        <v>0</v>
      </c>
      <c r="BS138" s="83">
        <v>0</v>
      </c>
      <c r="BT138" s="83">
        <v>0</v>
      </c>
      <c r="BU138" s="83">
        <v>0</v>
      </c>
      <c r="BV138" s="83">
        <v>0</v>
      </c>
      <c r="BW138" s="83">
        <v>0</v>
      </c>
      <c r="BX138" s="83">
        <v>0</v>
      </c>
      <c r="BY138" s="83">
        <v>0</v>
      </c>
      <c r="BZ138" s="83">
        <v>0</v>
      </c>
      <c r="CA138" s="83">
        <v>0</v>
      </c>
      <c r="CB138" s="83">
        <v>0</v>
      </c>
      <c r="CC138" s="83">
        <v>0</v>
      </c>
      <c r="CD138" s="83">
        <v>0</v>
      </c>
      <c r="CE138" s="83">
        <v>0</v>
      </c>
      <c r="CF138" s="83">
        <v>0</v>
      </c>
      <c r="CG138" s="83">
        <v>0</v>
      </c>
      <c r="CH138" s="83">
        <v>0</v>
      </c>
      <c r="CI138" s="83">
        <v>0</v>
      </c>
      <c r="CJ138" s="83">
        <v>0</v>
      </c>
      <c r="CK138" s="83">
        <v>0</v>
      </c>
      <c r="CL138" s="83">
        <v>0</v>
      </c>
      <c r="CM138" s="83">
        <v>0</v>
      </c>
      <c r="CN138" s="83">
        <v>0</v>
      </c>
      <c r="CO138" s="83">
        <v>0</v>
      </c>
      <c r="CP138" s="83">
        <v>0</v>
      </c>
      <c r="CQ138" s="83">
        <v>0</v>
      </c>
      <c r="CR138" s="83">
        <v>0</v>
      </c>
      <c r="CS138" s="83">
        <v>0</v>
      </c>
      <c r="CT138" s="83">
        <v>0</v>
      </c>
      <c r="CU138" s="83">
        <v>0</v>
      </c>
      <c r="CV138" s="83">
        <v>0</v>
      </c>
    </row>
    <row r="139" spans="1:100" ht="14.45">
      <c r="A139" s="1"/>
      <c r="B139" s="1" t="s">
        <v>188</v>
      </c>
      <c r="C139" s="1" t="s">
        <v>132</v>
      </c>
      <c r="D139" s="83">
        <f t="shared" si="7"/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83">
        <v>0</v>
      </c>
      <c r="AO139" s="83">
        <v>0</v>
      </c>
      <c r="AP139" s="83">
        <v>0</v>
      </c>
      <c r="AQ139" s="83">
        <v>0</v>
      </c>
      <c r="AR139" s="83">
        <v>0</v>
      </c>
      <c r="AS139" s="83">
        <v>0</v>
      </c>
      <c r="AT139" s="83">
        <v>0</v>
      </c>
      <c r="AU139" s="83">
        <v>0</v>
      </c>
      <c r="AV139" s="83">
        <v>0</v>
      </c>
      <c r="AW139" s="83">
        <v>0</v>
      </c>
      <c r="AX139" s="83">
        <v>0</v>
      </c>
      <c r="AY139" s="83">
        <v>0</v>
      </c>
      <c r="AZ139" s="83">
        <v>0</v>
      </c>
      <c r="BA139" s="83">
        <v>0</v>
      </c>
      <c r="BB139" s="83">
        <v>0</v>
      </c>
      <c r="BC139" s="83">
        <v>0</v>
      </c>
      <c r="BD139" s="83">
        <v>0</v>
      </c>
      <c r="BE139" s="83">
        <v>0</v>
      </c>
      <c r="BF139" s="83">
        <v>0</v>
      </c>
      <c r="BG139" s="83">
        <v>0</v>
      </c>
      <c r="BH139" s="83">
        <v>0</v>
      </c>
      <c r="BI139" s="83">
        <v>0</v>
      </c>
      <c r="BJ139" s="83">
        <v>0</v>
      </c>
      <c r="BK139" s="83">
        <v>0</v>
      </c>
      <c r="BL139" s="83">
        <v>0</v>
      </c>
      <c r="BM139" s="83">
        <v>0</v>
      </c>
      <c r="BN139" s="83">
        <v>0</v>
      </c>
      <c r="BO139" s="83">
        <v>0</v>
      </c>
      <c r="BP139" s="83">
        <v>0</v>
      </c>
      <c r="BQ139" s="83">
        <v>0</v>
      </c>
      <c r="BR139" s="83">
        <v>0</v>
      </c>
      <c r="BS139" s="83">
        <v>0</v>
      </c>
      <c r="BT139" s="83">
        <v>0</v>
      </c>
      <c r="BU139" s="83">
        <v>0</v>
      </c>
      <c r="BV139" s="83">
        <v>0</v>
      </c>
      <c r="BW139" s="83">
        <v>0</v>
      </c>
      <c r="BX139" s="83">
        <v>0</v>
      </c>
      <c r="BY139" s="83">
        <v>0</v>
      </c>
      <c r="BZ139" s="83">
        <v>0</v>
      </c>
      <c r="CA139" s="83">
        <v>0</v>
      </c>
      <c r="CB139" s="83">
        <v>0</v>
      </c>
      <c r="CC139" s="83">
        <v>0</v>
      </c>
      <c r="CD139" s="83">
        <v>0</v>
      </c>
      <c r="CE139" s="83">
        <v>0</v>
      </c>
      <c r="CF139" s="83">
        <v>0</v>
      </c>
      <c r="CG139" s="83">
        <v>0</v>
      </c>
      <c r="CH139" s="83">
        <v>0</v>
      </c>
      <c r="CI139" s="83">
        <v>0</v>
      </c>
      <c r="CJ139" s="83">
        <v>0</v>
      </c>
      <c r="CK139" s="83">
        <v>0</v>
      </c>
      <c r="CL139" s="83">
        <v>0</v>
      </c>
      <c r="CM139" s="83">
        <v>0</v>
      </c>
      <c r="CN139" s="83">
        <v>0</v>
      </c>
      <c r="CO139" s="83">
        <v>0</v>
      </c>
      <c r="CP139" s="83">
        <v>0</v>
      </c>
      <c r="CQ139" s="83">
        <v>0</v>
      </c>
      <c r="CR139" s="83">
        <v>0</v>
      </c>
      <c r="CS139" s="83">
        <v>0</v>
      </c>
      <c r="CT139" s="83">
        <v>0</v>
      </c>
      <c r="CU139" s="83">
        <v>0</v>
      </c>
      <c r="CV139" s="83">
        <v>0</v>
      </c>
    </row>
    <row r="140" spans="1:100" ht="14.45">
      <c r="A140" s="1"/>
      <c r="B140" s="1" t="s">
        <v>188</v>
      </c>
      <c r="C140" s="1" t="s">
        <v>133</v>
      </c>
      <c r="D140" s="83">
        <f t="shared" si="7"/>
        <v>7693.787002557543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83">
        <v>0</v>
      </c>
      <c r="AO140" s="83">
        <v>0</v>
      </c>
      <c r="AP140" s="83">
        <v>0</v>
      </c>
      <c r="AQ140" s="83">
        <v>0</v>
      </c>
      <c r="AR140" s="83">
        <v>0</v>
      </c>
      <c r="AS140" s="83">
        <v>0</v>
      </c>
      <c r="AT140" s="83">
        <v>0</v>
      </c>
      <c r="AU140" s="83">
        <v>0</v>
      </c>
      <c r="AV140" s="83">
        <v>0</v>
      </c>
      <c r="AW140" s="83">
        <v>0</v>
      </c>
      <c r="AX140" s="83">
        <v>0</v>
      </c>
      <c r="AY140" s="83">
        <v>0</v>
      </c>
      <c r="AZ140" s="83">
        <v>0</v>
      </c>
      <c r="BA140" s="83">
        <v>0</v>
      </c>
      <c r="BB140" s="83">
        <v>0</v>
      </c>
      <c r="BC140" s="83">
        <v>0</v>
      </c>
      <c r="BD140" s="83">
        <v>0</v>
      </c>
      <c r="BE140" s="83">
        <v>0</v>
      </c>
      <c r="BF140" s="83">
        <v>0</v>
      </c>
      <c r="BG140" s="83">
        <v>0</v>
      </c>
      <c r="BH140" s="83">
        <v>0</v>
      </c>
      <c r="BI140" s="83">
        <v>0</v>
      </c>
      <c r="BJ140" s="83">
        <v>0</v>
      </c>
      <c r="BK140" s="83">
        <v>0</v>
      </c>
      <c r="BL140" s="83">
        <v>0</v>
      </c>
      <c r="BM140" s="83">
        <v>8508.0398242537412</v>
      </c>
      <c r="BN140" s="83">
        <v>6617.4125784729185</v>
      </c>
      <c r="BO140" s="83">
        <v>6617.4125784729185</v>
      </c>
      <c r="BP140" s="83">
        <v>6617.4125784729185</v>
      </c>
      <c r="BQ140" s="83">
        <v>6617.4125784729185</v>
      </c>
      <c r="BR140" s="83">
        <v>6617.4125784729185</v>
      </c>
      <c r="BS140" s="83">
        <v>6617.4125784729185</v>
      </c>
      <c r="BT140" s="83">
        <v>8508.0398242537431</v>
      </c>
      <c r="BU140" s="83">
        <v>8508.0398242537394</v>
      </c>
      <c r="BV140" s="83">
        <v>8508.0398242537394</v>
      </c>
      <c r="BW140" s="83">
        <v>8508.0398242537412</v>
      </c>
      <c r="BX140" s="83">
        <v>8508.0398242537394</v>
      </c>
      <c r="BY140" s="83">
        <v>8508.0398242537431</v>
      </c>
      <c r="BZ140" s="83">
        <v>4254.0199121268715</v>
      </c>
      <c r="CA140" s="83">
        <v>4254.0199121268706</v>
      </c>
      <c r="CB140" s="83">
        <v>4254.0199121268715</v>
      </c>
      <c r="CC140" s="83">
        <v>4254.0199121268715</v>
      </c>
      <c r="CD140" s="83">
        <v>4214.6643222506391</v>
      </c>
      <c r="CE140" s="83">
        <v>4214.6643222506391</v>
      </c>
      <c r="CF140" s="83">
        <v>4636.1303751558762</v>
      </c>
      <c r="CG140" s="83">
        <v>4636.1303751558753</v>
      </c>
      <c r="CH140" s="83">
        <v>5057.5971867007665</v>
      </c>
      <c r="CI140" s="83">
        <v>5057.5971867007665</v>
      </c>
      <c r="CJ140" s="83">
        <v>5057.5971867007665</v>
      </c>
      <c r="CK140" s="83">
        <v>5057.5971867007665</v>
      </c>
      <c r="CL140" s="83">
        <v>5185.218797953964</v>
      </c>
      <c r="CM140" s="83">
        <v>5185.218797953964</v>
      </c>
      <c r="CN140" s="83">
        <v>5241.9395140664947</v>
      </c>
      <c r="CO140" s="83">
        <v>5350.6542199488485</v>
      </c>
      <c r="CP140" s="83">
        <v>7134.2056265984647</v>
      </c>
      <c r="CQ140" s="83">
        <v>7134.2056265984647</v>
      </c>
      <c r="CR140" s="83">
        <v>7260.2516624040918</v>
      </c>
      <c r="CS140" s="83">
        <v>7260.2516624040918</v>
      </c>
      <c r="CT140" s="83">
        <v>7260.25166240409</v>
      </c>
      <c r="CU140" s="83">
        <v>7260.25166240409</v>
      </c>
      <c r="CV140" s="83">
        <v>7590.3662301790273</v>
      </c>
    </row>
    <row r="141" spans="1:100" ht="14.45">
      <c r="A141" s="1"/>
      <c r="B141" s="1" t="s">
        <v>188</v>
      </c>
      <c r="C141" s="1" t="s">
        <v>134</v>
      </c>
      <c r="D141" s="83">
        <f t="shared" si="7"/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83">
        <v>0</v>
      </c>
      <c r="AO141" s="83">
        <v>0</v>
      </c>
      <c r="AP141" s="83">
        <v>0</v>
      </c>
      <c r="AQ141" s="83">
        <v>0</v>
      </c>
      <c r="AR141" s="83">
        <v>0</v>
      </c>
      <c r="AS141" s="83">
        <v>0</v>
      </c>
      <c r="AT141" s="83">
        <v>0</v>
      </c>
      <c r="AU141" s="83">
        <v>0</v>
      </c>
      <c r="AV141" s="83">
        <v>0</v>
      </c>
      <c r="AW141" s="83">
        <v>0</v>
      </c>
      <c r="AX141" s="83">
        <v>0</v>
      </c>
      <c r="AY141" s="83">
        <v>0</v>
      </c>
      <c r="AZ141" s="83">
        <v>0</v>
      </c>
      <c r="BA141" s="83">
        <v>0</v>
      </c>
      <c r="BB141" s="83">
        <v>0</v>
      </c>
      <c r="BC141" s="83">
        <v>0</v>
      </c>
      <c r="BD141" s="83">
        <v>0</v>
      </c>
      <c r="BE141" s="83">
        <v>0</v>
      </c>
      <c r="BF141" s="83">
        <v>0</v>
      </c>
      <c r="BG141" s="83">
        <v>0</v>
      </c>
      <c r="BH141" s="83">
        <v>0</v>
      </c>
      <c r="BI141" s="83">
        <v>0</v>
      </c>
      <c r="BJ141" s="83">
        <v>0</v>
      </c>
      <c r="BK141" s="83">
        <v>0</v>
      </c>
      <c r="BL141" s="83">
        <v>0</v>
      </c>
      <c r="BM141" s="83">
        <v>0</v>
      </c>
      <c r="BN141" s="83">
        <v>0</v>
      </c>
      <c r="BO141" s="83">
        <v>0</v>
      </c>
      <c r="BP141" s="83">
        <v>0</v>
      </c>
      <c r="BQ141" s="83">
        <v>0</v>
      </c>
      <c r="BR141" s="83">
        <v>0</v>
      </c>
      <c r="BS141" s="83">
        <v>0</v>
      </c>
      <c r="BT141" s="83">
        <v>0</v>
      </c>
      <c r="BU141" s="83">
        <v>0</v>
      </c>
      <c r="BV141" s="83">
        <v>0</v>
      </c>
      <c r="BW141" s="83">
        <v>0</v>
      </c>
      <c r="BX141" s="83">
        <v>0</v>
      </c>
      <c r="BY141" s="83">
        <v>0</v>
      </c>
      <c r="BZ141" s="83">
        <v>0</v>
      </c>
      <c r="CA141" s="83">
        <v>0</v>
      </c>
      <c r="CB141" s="83">
        <v>0</v>
      </c>
      <c r="CC141" s="83">
        <v>0</v>
      </c>
      <c r="CD141" s="83">
        <v>0</v>
      </c>
      <c r="CE141" s="83">
        <v>0</v>
      </c>
      <c r="CF141" s="83">
        <v>0</v>
      </c>
      <c r="CG141" s="83">
        <v>0</v>
      </c>
      <c r="CH141" s="83">
        <v>0</v>
      </c>
      <c r="CI141" s="83">
        <v>0</v>
      </c>
      <c r="CJ141" s="83">
        <v>0</v>
      </c>
      <c r="CK141" s="83">
        <v>0</v>
      </c>
      <c r="CL141" s="83">
        <v>0</v>
      </c>
      <c r="CM141" s="83">
        <v>0</v>
      </c>
      <c r="CN141" s="83">
        <v>0</v>
      </c>
      <c r="CO141" s="83">
        <v>0</v>
      </c>
      <c r="CP141" s="83">
        <v>0</v>
      </c>
      <c r="CQ141" s="83">
        <v>0</v>
      </c>
      <c r="CR141" s="83">
        <v>0</v>
      </c>
      <c r="CS141" s="83">
        <v>0</v>
      </c>
      <c r="CT141" s="83">
        <v>0</v>
      </c>
      <c r="CU141" s="83">
        <v>0</v>
      </c>
      <c r="CV141" s="83">
        <v>0</v>
      </c>
    </row>
    <row r="142" spans="1:100" ht="14.45">
      <c r="A142" s="1"/>
      <c r="B142" s="1" t="s">
        <v>188</v>
      </c>
      <c r="C142" s="1" t="s">
        <v>135</v>
      </c>
      <c r="D142" s="83">
        <f t="shared" si="7"/>
        <v>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83">
        <v>0</v>
      </c>
      <c r="AO142" s="83">
        <v>0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  <c r="AU142" s="83">
        <v>0</v>
      </c>
      <c r="AV142" s="83">
        <v>0</v>
      </c>
      <c r="AW142" s="83">
        <v>0</v>
      </c>
      <c r="AX142" s="83">
        <v>0</v>
      </c>
      <c r="AY142" s="83">
        <v>0</v>
      </c>
      <c r="AZ142" s="83">
        <v>0</v>
      </c>
      <c r="BA142" s="83">
        <v>0</v>
      </c>
      <c r="BB142" s="83">
        <v>0</v>
      </c>
      <c r="BC142" s="83">
        <v>0</v>
      </c>
      <c r="BD142" s="83">
        <v>0</v>
      </c>
      <c r="BE142" s="83">
        <v>0</v>
      </c>
      <c r="BF142" s="83">
        <v>0</v>
      </c>
      <c r="BG142" s="83">
        <v>0</v>
      </c>
      <c r="BH142" s="83">
        <v>0</v>
      </c>
      <c r="BI142" s="83">
        <v>0</v>
      </c>
      <c r="BJ142" s="83">
        <v>0</v>
      </c>
      <c r="BK142" s="83">
        <v>0</v>
      </c>
      <c r="BL142" s="83">
        <v>0</v>
      </c>
      <c r="BM142" s="83">
        <v>0</v>
      </c>
      <c r="BN142" s="83">
        <v>0</v>
      </c>
      <c r="BO142" s="83">
        <v>0</v>
      </c>
      <c r="BP142" s="83">
        <v>0</v>
      </c>
      <c r="BQ142" s="83">
        <v>0</v>
      </c>
      <c r="BR142" s="83">
        <v>0</v>
      </c>
      <c r="BS142" s="83">
        <v>0</v>
      </c>
      <c r="BT142" s="83">
        <v>0</v>
      </c>
      <c r="BU142" s="83">
        <v>0</v>
      </c>
      <c r="BV142" s="83">
        <v>0</v>
      </c>
      <c r="BW142" s="83">
        <v>0</v>
      </c>
      <c r="BX142" s="83">
        <v>0</v>
      </c>
      <c r="BY142" s="83">
        <v>0</v>
      </c>
      <c r="BZ142" s="83">
        <v>0</v>
      </c>
      <c r="CA142" s="83">
        <v>0</v>
      </c>
      <c r="CB142" s="83">
        <v>0</v>
      </c>
      <c r="CC142" s="83">
        <v>0</v>
      </c>
      <c r="CD142" s="83">
        <v>0</v>
      </c>
      <c r="CE142" s="83">
        <v>0</v>
      </c>
      <c r="CF142" s="83">
        <v>0</v>
      </c>
      <c r="CG142" s="83">
        <v>0</v>
      </c>
      <c r="CH142" s="83">
        <v>0</v>
      </c>
      <c r="CI142" s="83">
        <v>0</v>
      </c>
      <c r="CJ142" s="83">
        <v>0</v>
      </c>
      <c r="CK142" s="83">
        <v>0</v>
      </c>
      <c r="CL142" s="83">
        <v>0</v>
      </c>
      <c r="CM142" s="83">
        <v>0</v>
      </c>
      <c r="CN142" s="83">
        <v>0</v>
      </c>
      <c r="CO142" s="83">
        <v>0</v>
      </c>
      <c r="CP142" s="83">
        <v>0</v>
      </c>
      <c r="CQ142" s="83">
        <v>0</v>
      </c>
      <c r="CR142" s="83">
        <v>0</v>
      </c>
      <c r="CS142" s="83">
        <v>0</v>
      </c>
      <c r="CT142" s="83">
        <v>0</v>
      </c>
      <c r="CU142" s="83">
        <v>0</v>
      </c>
      <c r="CV142" s="83">
        <v>0</v>
      </c>
    </row>
    <row r="143" spans="1:100" ht="14.45">
      <c r="A143" s="1"/>
      <c r="B143" s="1" t="s">
        <v>188</v>
      </c>
      <c r="C143" s="1" t="s">
        <v>136</v>
      </c>
      <c r="D143" s="83">
        <f t="shared" si="7"/>
        <v>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83">
        <v>0</v>
      </c>
      <c r="AO143" s="83">
        <v>0</v>
      </c>
      <c r="AP143" s="83">
        <v>0</v>
      </c>
      <c r="AQ143" s="83">
        <v>0</v>
      </c>
      <c r="AR143" s="83">
        <v>0</v>
      </c>
      <c r="AS143" s="83">
        <v>0</v>
      </c>
      <c r="AT143" s="83">
        <v>0</v>
      </c>
      <c r="AU143" s="83">
        <v>0</v>
      </c>
      <c r="AV143" s="83">
        <v>0</v>
      </c>
      <c r="AW143" s="83">
        <v>0</v>
      </c>
      <c r="AX143" s="83">
        <v>0</v>
      </c>
      <c r="AY143" s="83">
        <v>0</v>
      </c>
      <c r="AZ143" s="83">
        <v>0</v>
      </c>
      <c r="BA143" s="83">
        <v>0</v>
      </c>
      <c r="BB143" s="83">
        <v>0</v>
      </c>
      <c r="BC143" s="83">
        <v>0</v>
      </c>
      <c r="BD143" s="83">
        <v>0</v>
      </c>
      <c r="BE143" s="83">
        <v>0</v>
      </c>
      <c r="BF143" s="83">
        <v>0</v>
      </c>
      <c r="BG143" s="83">
        <v>0</v>
      </c>
      <c r="BH143" s="83">
        <v>0</v>
      </c>
      <c r="BI143" s="83">
        <v>0</v>
      </c>
      <c r="BJ143" s="83">
        <v>0</v>
      </c>
      <c r="BK143" s="83">
        <v>0</v>
      </c>
      <c r="BL143" s="83">
        <v>0</v>
      </c>
      <c r="BM143" s="83">
        <v>0</v>
      </c>
      <c r="BN143" s="83">
        <v>0</v>
      </c>
      <c r="BO143" s="83">
        <v>0</v>
      </c>
      <c r="BP143" s="83">
        <v>0</v>
      </c>
      <c r="BQ143" s="83">
        <v>0</v>
      </c>
      <c r="BR143" s="83">
        <v>0</v>
      </c>
      <c r="BS143" s="83">
        <v>0</v>
      </c>
      <c r="BT143" s="83">
        <v>0</v>
      </c>
      <c r="BU143" s="83">
        <v>0</v>
      </c>
      <c r="BV143" s="83">
        <v>0</v>
      </c>
      <c r="BW143" s="83">
        <v>0</v>
      </c>
      <c r="BX143" s="83">
        <v>0</v>
      </c>
      <c r="BY143" s="83">
        <v>0</v>
      </c>
      <c r="BZ143" s="83">
        <v>0</v>
      </c>
      <c r="CA143" s="83">
        <v>0</v>
      </c>
      <c r="CB143" s="83">
        <v>0</v>
      </c>
      <c r="CC143" s="83">
        <v>0</v>
      </c>
      <c r="CD143" s="83">
        <v>0</v>
      </c>
      <c r="CE143" s="83">
        <v>0</v>
      </c>
      <c r="CF143" s="83">
        <v>0</v>
      </c>
      <c r="CG143" s="83">
        <v>0</v>
      </c>
      <c r="CH143" s="83">
        <v>0</v>
      </c>
      <c r="CI143" s="83">
        <v>0</v>
      </c>
      <c r="CJ143" s="83">
        <v>0</v>
      </c>
      <c r="CK143" s="83">
        <v>0</v>
      </c>
      <c r="CL143" s="83">
        <v>0</v>
      </c>
      <c r="CM143" s="83">
        <v>0</v>
      </c>
      <c r="CN143" s="83">
        <v>0</v>
      </c>
      <c r="CO143" s="83">
        <v>0</v>
      </c>
      <c r="CP143" s="83">
        <v>0</v>
      </c>
      <c r="CQ143" s="83">
        <v>0</v>
      </c>
      <c r="CR143" s="83">
        <v>0</v>
      </c>
      <c r="CS143" s="83">
        <v>0</v>
      </c>
      <c r="CT143" s="83">
        <v>0</v>
      </c>
      <c r="CU143" s="83">
        <v>0</v>
      </c>
      <c r="CV143" s="83">
        <v>0</v>
      </c>
    </row>
    <row r="144" spans="1:100" ht="14.45">
      <c r="A144" s="1"/>
      <c r="B144" s="1" t="s">
        <v>188</v>
      </c>
      <c r="C144" s="1" t="s">
        <v>137</v>
      </c>
      <c r="D144" s="83">
        <f t="shared" si="7"/>
        <v>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83">
        <v>0</v>
      </c>
      <c r="AO144" s="83">
        <v>0</v>
      </c>
      <c r="AP144" s="83">
        <v>0</v>
      </c>
      <c r="AQ144" s="83">
        <v>0</v>
      </c>
      <c r="AR144" s="83">
        <v>0</v>
      </c>
      <c r="AS144" s="83">
        <v>0</v>
      </c>
      <c r="AT144" s="83">
        <v>0</v>
      </c>
      <c r="AU144" s="83">
        <v>0</v>
      </c>
      <c r="AV144" s="83">
        <v>0</v>
      </c>
      <c r="AW144" s="83">
        <v>0</v>
      </c>
      <c r="AX144" s="83">
        <v>0</v>
      </c>
      <c r="AY144" s="83">
        <v>0</v>
      </c>
      <c r="AZ144" s="83">
        <v>0</v>
      </c>
      <c r="BA144" s="83">
        <v>0</v>
      </c>
      <c r="BB144" s="83">
        <v>0</v>
      </c>
      <c r="BC144" s="83">
        <v>0</v>
      </c>
      <c r="BD144" s="83">
        <v>0</v>
      </c>
      <c r="BE144" s="83">
        <v>0</v>
      </c>
      <c r="BF144" s="83">
        <v>0</v>
      </c>
      <c r="BG144" s="83">
        <v>0</v>
      </c>
      <c r="BH144" s="83">
        <v>0</v>
      </c>
      <c r="BI144" s="83">
        <v>0</v>
      </c>
      <c r="BJ144" s="83">
        <v>0</v>
      </c>
      <c r="BK144" s="83">
        <v>0</v>
      </c>
      <c r="BL144" s="83">
        <v>0</v>
      </c>
      <c r="BM144" s="83">
        <v>0</v>
      </c>
      <c r="BN144" s="83">
        <v>0</v>
      </c>
      <c r="BO144" s="83">
        <v>0</v>
      </c>
      <c r="BP144" s="83">
        <v>0</v>
      </c>
      <c r="BQ144" s="83">
        <v>0</v>
      </c>
      <c r="BR144" s="83">
        <v>0</v>
      </c>
      <c r="BS144" s="83">
        <v>0</v>
      </c>
      <c r="BT144" s="83">
        <v>0</v>
      </c>
      <c r="BU144" s="83">
        <v>0</v>
      </c>
      <c r="BV144" s="83">
        <v>0</v>
      </c>
      <c r="BW144" s="83">
        <v>0</v>
      </c>
      <c r="BX144" s="83">
        <v>0</v>
      </c>
      <c r="BY144" s="83">
        <v>0</v>
      </c>
      <c r="BZ144" s="83">
        <v>0</v>
      </c>
      <c r="CA144" s="83">
        <v>0</v>
      </c>
      <c r="CB144" s="83">
        <v>0</v>
      </c>
      <c r="CC144" s="83">
        <v>0</v>
      </c>
      <c r="CD144" s="83">
        <v>0</v>
      </c>
      <c r="CE144" s="83">
        <v>0</v>
      </c>
      <c r="CF144" s="83">
        <v>0</v>
      </c>
      <c r="CG144" s="83">
        <v>0</v>
      </c>
      <c r="CH144" s="83">
        <v>0</v>
      </c>
      <c r="CI144" s="83">
        <v>0</v>
      </c>
      <c r="CJ144" s="83">
        <v>0</v>
      </c>
      <c r="CK144" s="83">
        <v>0</v>
      </c>
      <c r="CL144" s="83">
        <v>0</v>
      </c>
      <c r="CM144" s="83">
        <v>0</v>
      </c>
      <c r="CN144" s="83">
        <v>0</v>
      </c>
      <c r="CO144" s="83">
        <v>0</v>
      </c>
      <c r="CP144" s="83">
        <v>0</v>
      </c>
      <c r="CQ144" s="83">
        <v>0</v>
      </c>
      <c r="CR144" s="83">
        <v>0</v>
      </c>
      <c r="CS144" s="83">
        <v>0</v>
      </c>
      <c r="CT144" s="83">
        <v>0</v>
      </c>
      <c r="CU144" s="83">
        <v>0</v>
      </c>
      <c r="CV144" s="83">
        <v>0</v>
      </c>
    </row>
    <row r="145" spans="1:100" ht="14.45">
      <c r="A145" s="1"/>
      <c r="B145" s="1" t="s">
        <v>188</v>
      </c>
      <c r="C145" s="2" t="s">
        <v>191</v>
      </c>
      <c r="D145" s="195">
        <f>SUM(D126:D144)/D22*1000</f>
        <v>146.89530020536915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95">
        <v>110.64604519484304</v>
      </c>
      <c r="AO145" s="195">
        <v>110.66789348244978</v>
      </c>
      <c r="AP145" s="195">
        <v>110.70066580369473</v>
      </c>
      <c r="AQ145" s="195">
        <v>116.05088725230146</v>
      </c>
      <c r="AR145" s="195">
        <v>116.0867226141951</v>
      </c>
      <c r="AS145" s="195">
        <v>116.05088725230146</v>
      </c>
      <c r="AT145" s="195">
        <v>116.09866770289669</v>
      </c>
      <c r="AU145" s="195">
        <v>118.24554373425785</v>
      </c>
      <c r="AV145" s="195">
        <v>118.28157252959011</v>
      </c>
      <c r="AW145" s="195">
        <v>118.30559164579225</v>
      </c>
      <c r="AX145" s="195">
        <v>117.88565457531655</v>
      </c>
      <c r="AY145" s="195">
        <v>117.88565457531655</v>
      </c>
      <c r="AZ145" s="195">
        <v>117.88565457531655</v>
      </c>
      <c r="BA145" s="195">
        <v>118.02075079098249</v>
      </c>
      <c r="BB145" s="195">
        <v>118.09347363526936</v>
      </c>
      <c r="BC145" s="195">
        <v>117.42184761769883</v>
      </c>
      <c r="BD145" s="195">
        <v>117.42184761769883</v>
      </c>
      <c r="BE145" s="195">
        <v>117.42184761769883</v>
      </c>
      <c r="BF145" s="195">
        <v>117.47269092072931</v>
      </c>
      <c r="BG145" s="195">
        <v>118.32357550639645</v>
      </c>
      <c r="BH145" s="195">
        <v>118.68989640735387</v>
      </c>
      <c r="BI145" s="195">
        <v>115.62097898113382</v>
      </c>
      <c r="BJ145" s="195">
        <v>115.54868564800728</v>
      </c>
      <c r="BK145" s="195">
        <v>110.28001757801601</v>
      </c>
      <c r="BL145" s="195">
        <v>110.31616179052965</v>
      </c>
      <c r="BM145" s="195">
        <v>180.79743193678442</v>
      </c>
      <c r="BN145" s="195">
        <v>184.9996193388053</v>
      </c>
      <c r="BO145" s="195">
        <v>185.08503627314906</v>
      </c>
      <c r="BP145" s="195">
        <v>185.34767918097526</v>
      </c>
      <c r="BQ145" s="195">
        <v>185.73528172600362</v>
      </c>
      <c r="BR145" s="195">
        <v>186.56260949850477</v>
      </c>
      <c r="BS145" s="195">
        <v>186.56260949850477</v>
      </c>
      <c r="BT145" s="195">
        <v>182.10044278484642</v>
      </c>
      <c r="BU145" s="195">
        <v>182.17216996891534</v>
      </c>
      <c r="BV145" s="195">
        <v>182.05226346942942</v>
      </c>
      <c r="BW145" s="195">
        <v>182.45416442564573</v>
      </c>
      <c r="BX145" s="195">
        <v>182.36471426852378</v>
      </c>
      <c r="BY145" s="195">
        <v>182.50920418477168</v>
      </c>
      <c r="BZ145" s="195">
        <v>147.41355551750465</v>
      </c>
      <c r="CA145" s="195">
        <v>147.38677686091972</v>
      </c>
      <c r="CB145" s="195">
        <v>148.08191496718439</v>
      </c>
      <c r="CC145" s="195">
        <v>148.07904769576535</v>
      </c>
      <c r="CD145" s="195">
        <v>141.77861316529768</v>
      </c>
      <c r="CE145" s="195">
        <v>142.40728085375648</v>
      </c>
      <c r="CF145" s="195">
        <v>136.0444357327988</v>
      </c>
      <c r="CG145" s="195">
        <v>135.97223939167674</v>
      </c>
      <c r="CH145" s="195">
        <v>130.02109647764507</v>
      </c>
      <c r="CI145" s="195">
        <v>130.61924585998895</v>
      </c>
      <c r="CJ145" s="195">
        <v>130.62299091185935</v>
      </c>
      <c r="CK145" s="195">
        <v>130.66527727626502</v>
      </c>
      <c r="CL145" s="195">
        <v>131.08500056721579</v>
      </c>
      <c r="CM145" s="195">
        <v>131.23115062936506</v>
      </c>
      <c r="CN145" s="195">
        <v>131.31502631423069</v>
      </c>
      <c r="CO145" s="195">
        <v>131.36702975897629</v>
      </c>
      <c r="CP145" s="195">
        <v>147.12278423467961</v>
      </c>
      <c r="CQ145" s="195">
        <v>147.05097087604298</v>
      </c>
      <c r="CR145" s="195">
        <v>146.95404520615128</v>
      </c>
      <c r="CS145" s="195">
        <v>146.87016640438449</v>
      </c>
      <c r="CT145" s="195">
        <v>146.81988891889139</v>
      </c>
      <c r="CU145" s="195">
        <v>146.81988891889139</v>
      </c>
      <c r="CV145" s="195">
        <v>146.84502930910782</v>
      </c>
    </row>
    <row r="146" spans="1:100" ht="14.45">
      <c r="D146" s="196">
        <f>+D145/1000</f>
        <v>0.14689530020536914</v>
      </c>
      <c r="AN146" s="196">
        <v>0.11064604519484304</v>
      </c>
      <c r="AO146" s="196">
        <v>0.11066789348244978</v>
      </c>
      <c r="AP146" s="196">
        <v>0.11070066580369474</v>
      </c>
      <c r="AQ146" s="196">
        <v>0.11605088725230146</v>
      </c>
      <c r="AR146" s="196">
        <v>0.1160867226141951</v>
      </c>
      <c r="AS146" s="196">
        <v>0.11605088725230146</v>
      </c>
      <c r="AT146" s="196">
        <v>0.11609866770289669</v>
      </c>
      <c r="AU146" s="196">
        <v>0.11824554373425786</v>
      </c>
      <c r="AV146" s="196">
        <v>0.11828157252959011</v>
      </c>
      <c r="AW146" s="196">
        <v>0.11830559164579225</v>
      </c>
      <c r="AX146" s="196">
        <v>0.11788565457531655</v>
      </c>
      <c r="AY146" s="196">
        <v>0.11788565457531655</v>
      </c>
      <c r="AZ146" s="196">
        <v>0.11788565457531655</v>
      </c>
      <c r="BA146" s="196">
        <v>0.1180207507909825</v>
      </c>
      <c r="BB146" s="196">
        <v>0.11809347363526936</v>
      </c>
      <c r="BC146" s="196">
        <v>0.11742184761769883</v>
      </c>
      <c r="BD146" s="196">
        <v>0.11742184761769883</v>
      </c>
      <c r="BE146" s="196">
        <v>0.11742184761769883</v>
      </c>
      <c r="BF146" s="196">
        <v>0.1174726909207293</v>
      </c>
      <c r="BG146" s="196">
        <v>0.11832357550639645</v>
      </c>
      <c r="BH146" s="196">
        <v>0.11868989640735388</v>
      </c>
      <c r="BI146" s="196">
        <v>0.11562097898113381</v>
      </c>
      <c r="BJ146" s="196">
        <v>0.11554868564800728</v>
      </c>
      <c r="BK146" s="196">
        <v>0.11028001757801602</v>
      </c>
      <c r="BL146" s="196">
        <v>0.11031616179052965</v>
      </c>
      <c r="BM146" s="196">
        <v>0.18079743193678441</v>
      </c>
      <c r="BN146" s="196">
        <v>0.18499961933880529</v>
      </c>
      <c r="BO146" s="196">
        <v>0.18508503627314907</v>
      </c>
      <c r="BP146" s="196">
        <v>0.18534767918097525</v>
      </c>
      <c r="BQ146" s="196">
        <v>0.18573528172600362</v>
      </c>
      <c r="BR146" s="196">
        <v>0.18656260949850478</v>
      </c>
      <c r="BS146" s="196">
        <v>0.18656260949850478</v>
      </c>
      <c r="BT146" s="196">
        <v>0.18210044278484641</v>
      </c>
      <c r="BU146" s="196">
        <v>0.18217216996891533</v>
      </c>
      <c r="BV146" s="196">
        <v>0.18205226346942943</v>
      </c>
      <c r="BW146" s="196">
        <v>0.18245416442564572</v>
      </c>
      <c r="BX146" s="196">
        <v>0.1823647142685238</v>
      </c>
      <c r="BY146" s="196">
        <v>0.18250920418477168</v>
      </c>
      <c r="BZ146" s="196">
        <v>0.14741355551750465</v>
      </c>
      <c r="CA146" s="196">
        <v>0.14738677686091972</v>
      </c>
      <c r="CB146" s="196">
        <v>0.1480819149671844</v>
      </c>
      <c r="CC146" s="196">
        <v>0.14807904769576535</v>
      </c>
      <c r="CD146" s="196">
        <v>0.14177861316529769</v>
      </c>
      <c r="CE146" s="196">
        <v>0.14240728085375648</v>
      </c>
      <c r="CF146" s="196">
        <v>0.13604443573279881</v>
      </c>
      <c r="CG146" s="196">
        <v>0.13597223939167674</v>
      </c>
      <c r="CH146" s="196">
        <v>0.13002109647764507</v>
      </c>
      <c r="CI146" s="196">
        <v>0.13061924585998896</v>
      </c>
      <c r="CJ146" s="196">
        <v>0.13062299091185936</v>
      </c>
      <c r="CK146" s="196">
        <v>0.13066527727626501</v>
      </c>
      <c r="CL146" s="196">
        <v>0.13108500056721578</v>
      </c>
      <c r="CM146" s="196">
        <v>0.13123115062936505</v>
      </c>
      <c r="CN146" s="196">
        <v>0.1313150263142307</v>
      </c>
      <c r="CO146" s="196">
        <v>0.13136702975897629</v>
      </c>
      <c r="CP146" s="196">
        <v>0.14712278423467962</v>
      </c>
      <c r="CQ146" s="196">
        <v>0.14705097087604299</v>
      </c>
      <c r="CR146" s="196">
        <v>0.14695404520615127</v>
      </c>
      <c r="CS146" s="196">
        <v>0.14687016640438449</v>
      </c>
      <c r="CT146" s="196">
        <v>0.14681988891889139</v>
      </c>
      <c r="CU146" s="196">
        <v>0.14681988891889139</v>
      </c>
      <c r="CV146" s="196">
        <v>0.14684502930910781</v>
      </c>
    </row>
  </sheetData>
  <mergeCells count="1">
    <mergeCell ref="CY5:DA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B1:I50"/>
  <sheetViews>
    <sheetView tabSelected="1" zoomScale="90" zoomScaleNormal="90" workbookViewId="0">
      <selection activeCell="K10" sqref="K10"/>
    </sheetView>
  </sheetViews>
  <sheetFormatPr defaultColWidth="11.42578125" defaultRowHeight="14.45"/>
  <cols>
    <col min="1" max="1" width="2.42578125" customWidth="1"/>
    <col min="2" max="2" width="2.140625" customWidth="1"/>
    <col min="3" max="3" width="3.42578125" customWidth="1"/>
    <col min="4" max="4" width="31.140625" customWidth="1"/>
    <col min="6" max="6" width="8.28515625" customWidth="1"/>
    <col min="7" max="7" width="8.42578125" customWidth="1"/>
    <col min="8" max="8" width="8.140625" customWidth="1"/>
    <col min="9" max="9" width="9.28515625" customWidth="1"/>
  </cols>
  <sheetData>
    <row r="1" spans="2:9" ht="14.45" customHeight="1">
      <c r="B1" s="251" t="s">
        <v>192</v>
      </c>
      <c r="C1" s="251"/>
      <c r="D1" s="251"/>
      <c r="E1" s="251"/>
      <c r="F1" s="251"/>
      <c r="G1" s="251"/>
      <c r="H1" s="80" t="s">
        <v>193</v>
      </c>
      <c r="I1" s="1" t="s">
        <v>194</v>
      </c>
    </row>
    <row r="2" spans="2:9" ht="14.45" customHeight="1">
      <c r="B2" s="251"/>
      <c r="C2" s="251"/>
      <c r="D2" s="251"/>
      <c r="E2" s="251"/>
      <c r="F2" s="251"/>
      <c r="G2" s="251"/>
      <c r="H2" s="80" t="s">
        <v>195</v>
      </c>
      <c r="I2" s="1">
        <v>1</v>
      </c>
    </row>
    <row r="3" spans="2:9" ht="14.45" customHeight="1">
      <c r="B3" s="251"/>
      <c r="C3" s="251"/>
      <c r="D3" s="251"/>
      <c r="E3" s="251"/>
      <c r="F3" s="251"/>
      <c r="G3" s="251"/>
      <c r="H3" s="80" t="s">
        <v>196</v>
      </c>
      <c r="I3" s="147">
        <v>45218</v>
      </c>
    </row>
    <row r="4" spans="2:9" ht="15" customHeight="1">
      <c r="B4" s="251"/>
      <c r="C4" s="251"/>
      <c r="D4" s="251"/>
      <c r="E4" s="251"/>
      <c r="F4" s="251"/>
      <c r="G4" s="251"/>
      <c r="H4" s="80" t="s">
        <v>197</v>
      </c>
      <c r="I4" s="1">
        <v>1</v>
      </c>
    </row>
    <row r="5" spans="2:9" ht="6.6" customHeight="1"/>
    <row r="6" spans="2:9">
      <c r="D6" s="184" t="s">
        <v>198</v>
      </c>
      <c r="E6" s="232">
        <f>+FORMULA!D3</f>
        <v>45789</v>
      </c>
      <c r="F6" s="262" t="s">
        <v>199</v>
      </c>
      <c r="G6" s="262"/>
      <c r="H6" s="2"/>
    </row>
    <row r="7" spans="2:9">
      <c r="D7" s="161" t="s">
        <v>200</v>
      </c>
      <c r="E7" s="162">
        <f>+FORMULA!D22</f>
        <v>122079</v>
      </c>
      <c r="F7" s="264" t="s">
        <v>201</v>
      </c>
      <c r="G7" s="264"/>
      <c r="H7" s="159">
        <f>+FORMULA!D24</f>
        <v>76.003897971028579</v>
      </c>
    </row>
    <row r="8" spans="2:9">
      <c r="D8" s="157"/>
      <c r="F8" s="264" t="s">
        <v>202</v>
      </c>
      <c r="G8" s="264"/>
      <c r="H8" s="159">
        <f>+FORMULA!D27</f>
        <v>25.334632657009525</v>
      </c>
    </row>
    <row r="9" spans="2:9" ht="8.1" customHeight="1"/>
    <row r="10" spans="2:9" ht="15" thickBot="1">
      <c r="D10" s="5" t="s">
        <v>97</v>
      </c>
      <c r="E10" s="133" t="s">
        <v>203</v>
      </c>
      <c r="F10" s="142" t="s">
        <v>204</v>
      </c>
    </row>
    <row r="11" spans="2:9" ht="15" thickBot="1">
      <c r="C11" s="1" t="s">
        <v>103</v>
      </c>
      <c r="D11" s="1" t="s">
        <v>104</v>
      </c>
      <c r="E11" s="133" t="s">
        <v>205</v>
      </c>
      <c r="F11" s="238">
        <f>+ROUNDUP(FORMULA!D8*(100%+'PARA SCADA'!D25),0)-F15</f>
        <v>459.65</v>
      </c>
      <c r="H11" s="252" t="s">
        <v>206</v>
      </c>
      <c r="I11" s="253"/>
    </row>
    <row r="12" spans="2:9">
      <c r="C12" s="1" t="s">
        <v>103</v>
      </c>
      <c r="D12" s="1" t="s">
        <v>105</v>
      </c>
      <c r="E12" s="133" t="s">
        <v>207</v>
      </c>
      <c r="F12" s="160">
        <f>+FORMULA!D9</f>
        <v>159</v>
      </c>
      <c r="H12" s="135" t="s">
        <v>208</v>
      </c>
      <c r="I12" s="135" t="s">
        <v>209</v>
      </c>
    </row>
    <row r="13" spans="2:9" ht="15" thickBot="1">
      <c r="C13" s="1" t="s">
        <v>103</v>
      </c>
      <c r="D13" s="1" t="s">
        <v>106</v>
      </c>
      <c r="E13" s="133" t="s">
        <v>210</v>
      </c>
      <c r="F13" s="160">
        <f>+FORMULA!D10</f>
        <v>139</v>
      </c>
      <c r="H13" s="137">
        <f>+F12+F13+F14</f>
        <v>298</v>
      </c>
      <c r="I13" s="136">
        <v>310</v>
      </c>
    </row>
    <row r="14" spans="2:9" ht="15" thickBot="1">
      <c r="C14" s="1" t="s">
        <v>103</v>
      </c>
      <c r="D14" s="1" t="s">
        <v>107</v>
      </c>
      <c r="E14" s="133" t="s">
        <v>211</v>
      </c>
      <c r="F14" s="160">
        <f>+FORMULA!D11</f>
        <v>0</v>
      </c>
      <c r="H14" s="252" t="s">
        <v>212</v>
      </c>
      <c r="I14" s="253"/>
    </row>
    <row r="15" spans="2:9">
      <c r="C15" s="1" t="s">
        <v>103</v>
      </c>
      <c r="D15" s="1" t="s">
        <v>104</v>
      </c>
      <c r="E15" s="133" t="s">
        <v>213</v>
      </c>
      <c r="F15" s="239">
        <f>+'PARA SCADA'!E37</f>
        <v>3.3499999999999996</v>
      </c>
      <c r="H15" s="135" t="s">
        <v>208</v>
      </c>
      <c r="I15" s="135" t="s">
        <v>209</v>
      </c>
    </row>
    <row r="16" spans="2:9">
      <c r="C16" s="1" t="s">
        <v>103</v>
      </c>
      <c r="D16" s="1" t="s">
        <v>108</v>
      </c>
      <c r="E16" s="164" t="s">
        <v>214</v>
      </c>
      <c r="F16" s="236">
        <f>+FORMULA!D12</f>
        <v>2</v>
      </c>
      <c r="H16" s="137">
        <f>+SUM(F11:F19)</f>
        <v>766.05</v>
      </c>
      <c r="I16" s="136">
        <v>800</v>
      </c>
    </row>
    <row r="17" spans="3:7">
      <c r="C17" s="1" t="s">
        <v>103</v>
      </c>
      <c r="D17" s="1" t="s">
        <v>109</v>
      </c>
      <c r="E17" s="164" t="s">
        <v>215</v>
      </c>
      <c r="F17" s="243">
        <f>+FORMULA!D13</f>
        <v>1.6500000000000001</v>
      </c>
    </row>
    <row r="18" spans="3:7">
      <c r="C18" s="1" t="s">
        <v>103</v>
      </c>
      <c r="D18" s="1" t="s">
        <v>110</v>
      </c>
      <c r="E18" s="133" t="s">
        <v>216</v>
      </c>
      <c r="F18" s="244">
        <f>+FORMULA!D14</f>
        <v>1.4000000000000001</v>
      </c>
    </row>
    <row r="19" spans="3:7">
      <c r="C19" s="1" t="s">
        <v>103</v>
      </c>
      <c r="D19" s="1" t="s">
        <v>111</v>
      </c>
      <c r="E19" s="164" t="s">
        <v>215</v>
      </c>
      <c r="F19" s="222">
        <f>+FORMULA!D15</f>
        <v>0</v>
      </c>
    </row>
    <row r="20" spans="3:7">
      <c r="C20" s="1" t="s">
        <v>103</v>
      </c>
      <c r="D20" s="1" t="s">
        <v>112</v>
      </c>
      <c r="E20" s="164" t="s">
        <v>215</v>
      </c>
      <c r="F20" s="160">
        <f>+FORMULA!D16</f>
        <v>0</v>
      </c>
    </row>
    <row r="21" spans="3:7" ht="3" customHeight="1">
      <c r="E21" s="134"/>
      <c r="F21" s="178"/>
    </row>
    <row r="22" spans="3:7">
      <c r="C22" s="1" t="s">
        <v>103</v>
      </c>
      <c r="D22" s="1" t="s">
        <v>114</v>
      </c>
      <c r="E22" s="133" t="s">
        <v>217</v>
      </c>
      <c r="F22" s="238">
        <f>+FORMULA!D19</f>
        <v>963.73214999999982</v>
      </c>
    </row>
    <row r="24" spans="3:7">
      <c r="D24" s="5" t="s">
        <v>218</v>
      </c>
      <c r="E24" s="260" t="s">
        <v>219</v>
      </c>
      <c r="F24" s="260"/>
    </row>
    <row r="25" spans="3:7">
      <c r="D25" s="35">
        <v>5.0000000000000001E-3</v>
      </c>
      <c r="E25" s="261">
        <f>+FORMULA!D29</f>
        <v>0.6</v>
      </c>
      <c r="F25" s="261"/>
    </row>
    <row r="26" spans="3:7" ht="15" thickBot="1"/>
    <row r="27" spans="3:7" ht="15" thickTop="1">
      <c r="D27" s="254" t="s">
        <v>220</v>
      </c>
      <c r="E27" s="255"/>
      <c r="F27" s="255"/>
      <c r="G27" s="256"/>
    </row>
    <row r="28" spans="3:7">
      <c r="D28" s="121"/>
      <c r="G28" s="122"/>
    </row>
    <row r="29" spans="3:7">
      <c r="D29" s="140" t="s">
        <v>221</v>
      </c>
      <c r="E29" s="128">
        <v>20</v>
      </c>
      <c r="G29" s="122"/>
    </row>
    <row r="30" spans="3:7">
      <c r="D30" s="140" t="s">
        <v>222</v>
      </c>
      <c r="E30" s="128">
        <v>5</v>
      </c>
      <c r="G30" s="122"/>
    </row>
    <row r="31" spans="3:7">
      <c r="D31" s="140" t="s">
        <v>223</v>
      </c>
      <c r="E31" s="128">
        <v>100</v>
      </c>
      <c r="G31" s="122"/>
    </row>
    <row r="32" spans="3:7">
      <c r="D32" s="121"/>
      <c r="G32" s="122"/>
    </row>
    <row r="33" spans="4:9">
      <c r="D33" s="257" t="s">
        <v>224</v>
      </c>
      <c r="E33" s="258"/>
      <c r="F33" s="258"/>
      <c r="G33" s="259"/>
    </row>
    <row r="34" spans="4:9">
      <c r="D34" s="124" t="s">
        <v>225</v>
      </c>
      <c r="E34" s="129">
        <f>+FORMULA!D24</f>
        <v>76.003897971028579</v>
      </c>
      <c r="F34" s="6"/>
      <c r="G34" s="125"/>
    </row>
    <row r="35" spans="4:9" ht="25.5">
      <c r="D35" s="126" t="s">
        <v>226</v>
      </c>
      <c r="E35" s="154" t="s">
        <v>227</v>
      </c>
      <c r="F35" s="154" t="s">
        <v>228</v>
      </c>
      <c r="G35" s="155" t="s">
        <v>229</v>
      </c>
      <c r="H35" s="263" t="s">
        <v>230</v>
      </c>
      <c r="I35" s="263"/>
    </row>
    <row r="36" spans="4:9" ht="24.6">
      <c r="D36" s="126"/>
      <c r="E36" s="2" t="s">
        <v>231</v>
      </c>
      <c r="F36" s="2" t="s">
        <v>231</v>
      </c>
      <c r="G36" s="151" t="s">
        <v>231</v>
      </c>
      <c r="H36" s="156" t="s">
        <v>232</v>
      </c>
      <c r="I36" s="156" t="s">
        <v>233</v>
      </c>
    </row>
    <row r="37" spans="4:9">
      <c r="D37" s="126" t="s">
        <v>234</v>
      </c>
      <c r="E37" s="139">
        <f>+E30-E38-E39-E40</f>
        <v>3.3499999999999996</v>
      </c>
      <c r="F37" s="231">
        <f>+$E$31/$E$30*E37</f>
        <v>67</v>
      </c>
      <c r="G37" s="145">
        <f>+E37*$E$34</f>
        <v>254.61305820294572</v>
      </c>
      <c r="H37" s="90"/>
      <c r="I37" s="90"/>
    </row>
    <row r="38" spans="4:9" ht="15.6">
      <c r="D38" s="126" t="s">
        <v>235</v>
      </c>
      <c r="E38" s="130">
        <v>0</v>
      </c>
      <c r="F38" s="224">
        <f>+$E$31/$E$30*E38</f>
        <v>0</v>
      </c>
      <c r="G38" s="145">
        <f t="shared" ref="G38:G40" si="0">+E38*$E$34</f>
        <v>0</v>
      </c>
      <c r="H38" s="76">
        <f t="shared" ref="H38:I40" si="1">+E38*1000</f>
        <v>0</v>
      </c>
      <c r="I38" s="225">
        <f t="shared" si="1"/>
        <v>0</v>
      </c>
    </row>
    <row r="39" spans="4:9" ht="15.6">
      <c r="D39" s="126" t="s">
        <v>236</v>
      </c>
      <c r="E39" s="170">
        <f>+FORMULA!D15</f>
        <v>0</v>
      </c>
      <c r="F39" s="171">
        <f>+$E$31/$E$30*E39</f>
        <v>0</v>
      </c>
      <c r="G39" s="145">
        <f t="shared" si="0"/>
        <v>0</v>
      </c>
      <c r="H39" s="90">
        <f t="shared" si="1"/>
        <v>0</v>
      </c>
      <c r="I39" s="225">
        <f t="shared" si="1"/>
        <v>0</v>
      </c>
    </row>
    <row r="40" spans="4:9" ht="15.6">
      <c r="D40" s="126" t="s">
        <v>237</v>
      </c>
      <c r="E40" s="169">
        <f>+FORMULA!D13</f>
        <v>1.6500000000000001</v>
      </c>
      <c r="F40" s="223">
        <f>+$E$31/$E$30*E40</f>
        <v>33</v>
      </c>
      <c r="G40" s="145">
        <f t="shared" si="0"/>
        <v>125.40643165219717</v>
      </c>
      <c r="H40" s="163">
        <f t="shared" si="1"/>
        <v>1650.0000000000002</v>
      </c>
      <c r="I40" s="230">
        <f>+F40*1000</f>
        <v>33000</v>
      </c>
    </row>
    <row r="41" spans="4:9">
      <c r="D41" s="123"/>
      <c r="E41" s="1"/>
      <c r="F41" s="1"/>
      <c r="G41" s="152"/>
      <c r="H41" s="1"/>
      <c r="I41" s="1"/>
    </row>
    <row r="42" spans="4:9" ht="15" thickBot="1">
      <c r="D42" s="127" t="s">
        <v>238</v>
      </c>
      <c r="E42" s="131">
        <f>+E37+(E38/1000)+(E39/1000)+(E40)</f>
        <v>5</v>
      </c>
      <c r="F42" s="131">
        <f>SUM(F37:F40)</f>
        <v>100</v>
      </c>
      <c r="G42" s="153">
        <f>SUM(G37:G41)</f>
        <v>380.01948985514287</v>
      </c>
      <c r="H42" s="1"/>
      <c r="I42" s="1"/>
    </row>
    <row r="43" spans="4:9" ht="15.6" thickTop="1" thickBot="1"/>
    <row r="44" spans="4:9" ht="15" thickBot="1">
      <c r="E44" s="249" t="s">
        <v>239</v>
      </c>
      <c r="F44" s="250"/>
      <c r="G44" s="132">
        <f>+G42/E31</f>
        <v>3.8001948985514287</v>
      </c>
    </row>
    <row r="46" spans="4:9">
      <c r="D46" t="s">
        <v>240</v>
      </c>
      <c r="G46" s="248" t="s">
        <v>241</v>
      </c>
      <c r="H46" s="248"/>
    </row>
    <row r="47" spans="4:9" ht="8.4499999999999993" customHeight="1"/>
    <row r="48" spans="4:9">
      <c r="D48" t="s">
        <v>242</v>
      </c>
      <c r="G48" s="248" t="s">
        <v>243</v>
      </c>
      <c r="H48" s="248"/>
    </row>
    <row r="49" spans="4:4" ht="8.1" customHeight="1"/>
    <row r="50" spans="4:4">
      <c r="D50" t="s">
        <v>244</v>
      </c>
    </row>
  </sheetData>
  <mergeCells count="14">
    <mergeCell ref="G46:H46"/>
    <mergeCell ref="G48:H48"/>
    <mergeCell ref="E44:F44"/>
    <mergeCell ref="B1:G4"/>
    <mergeCell ref="H11:I11"/>
    <mergeCell ref="H14:I14"/>
    <mergeCell ref="D27:G27"/>
    <mergeCell ref="D33:G33"/>
    <mergeCell ref="E24:F24"/>
    <mergeCell ref="E25:F25"/>
    <mergeCell ref="F6:G6"/>
    <mergeCell ref="H35:I35"/>
    <mergeCell ref="F7:G7"/>
    <mergeCell ref="F8:G8"/>
  </mergeCells>
  <conditionalFormatting sqref="F14">
    <cfRule type="cellIs" dxfId="4" priority="5" operator="lessThanOrEqual">
      <formula>0</formula>
    </cfRule>
  </conditionalFormatting>
  <conditionalFormatting sqref="H13">
    <cfRule type="cellIs" dxfId="3" priority="3" operator="lessThanOrEqual">
      <formula>$I$13</formula>
    </cfRule>
    <cfRule type="cellIs" dxfId="2" priority="4" operator="greaterThan">
      <formula>$I$13</formula>
    </cfRule>
  </conditionalFormatting>
  <conditionalFormatting sqref="H16">
    <cfRule type="cellIs" dxfId="1" priority="1" operator="lessThanOrEqual">
      <formula>$I$16</formula>
    </cfRule>
    <cfRule type="cellIs" dxfId="0" priority="2" operator="greaterThan">
      <formula>$I$16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B1:U54"/>
  <sheetViews>
    <sheetView zoomScale="90" zoomScaleNormal="90" workbookViewId="0">
      <selection activeCell="B19" sqref="B19"/>
    </sheetView>
  </sheetViews>
  <sheetFormatPr defaultColWidth="11.42578125" defaultRowHeight="14.45"/>
  <cols>
    <col min="2" max="2" width="20.5703125" customWidth="1"/>
    <col min="4" max="4" width="13" bestFit="1" customWidth="1"/>
    <col min="5" max="8" width="10.85546875" customWidth="1"/>
    <col min="11" max="11" width="32.5703125" bestFit="1" customWidth="1"/>
    <col min="12" max="12" width="16.140625" bestFit="1" customWidth="1"/>
    <col min="13" max="13" width="13.85546875" bestFit="1" customWidth="1"/>
  </cols>
  <sheetData>
    <row r="1" spans="2:9" ht="15" thickBot="1"/>
    <row r="2" spans="2:9" ht="15" customHeight="1">
      <c r="B2" s="266" t="s">
        <v>245</v>
      </c>
      <c r="C2" s="267"/>
      <c r="D2" s="267"/>
      <c r="E2" s="267"/>
      <c r="F2" s="267"/>
      <c r="G2" s="267"/>
      <c r="H2" s="80" t="s">
        <v>193</v>
      </c>
      <c r="I2" s="1" t="s">
        <v>194</v>
      </c>
    </row>
    <row r="3" spans="2:9" ht="15" customHeight="1">
      <c r="B3" s="268"/>
      <c r="C3" s="251"/>
      <c r="D3" s="251"/>
      <c r="E3" s="251"/>
      <c r="F3" s="251"/>
      <c r="G3" s="251"/>
      <c r="H3" s="80" t="s">
        <v>195</v>
      </c>
      <c r="I3" s="1">
        <v>1</v>
      </c>
    </row>
    <row r="4" spans="2:9" ht="15" customHeight="1">
      <c r="B4" s="268"/>
      <c r="C4" s="251"/>
      <c r="D4" s="251"/>
      <c r="E4" s="251"/>
      <c r="F4" s="251"/>
      <c r="G4" s="251"/>
      <c r="H4" s="80" t="s">
        <v>196</v>
      </c>
      <c r="I4" s="79">
        <v>45218</v>
      </c>
    </row>
    <row r="5" spans="2:9" ht="15.75" customHeight="1" thickBot="1">
      <c r="B5" s="269"/>
      <c r="C5" s="270"/>
      <c r="D5" s="270"/>
      <c r="E5" s="270"/>
      <c r="F5" s="270"/>
      <c r="G5" s="270"/>
      <c r="H5" s="80" t="s">
        <v>197</v>
      </c>
      <c r="I5" s="1">
        <v>1</v>
      </c>
    </row>
    <row r="6" spans="2:9" ht="4.5" customHeight="1"/>
    <row r="7" spans="2:9" ht="15.75" customHeight="1">
      <c r="B7" s="1" t="s">
        <v>246</v>
      </c>
      <c r="C7" s="9">
        <f>+FORMULA!D22</f>
        <v>122079</v>
      </c>
      <c r="D7" s="1" t="s">
        <v>231</v>
      </c>
    </row>
    <row r="8" spans="2:9" ht="15.75" customHeight="1">
      <c r="B8" s="1" t="s">
        <v>247</v>
      </c>
      <c r="C8" s="3">
        <f>+FORMULA!D29</f>
        <v>0.6</v>
      </c>
      <c r="D8" s="1"/>
    </row>
    <row r="9" spans="2:9" ht="15.75" customHeight="1">
      <c r="B9" s="1" t="s">
        <v>248</v>
      </c>
      <c r="C9" s="9">
        <f>+C7*C8</f>
        <v>73247.399999999994</v>
      </c>
      <c r="D9" s="1" t="s">
        <v>231</v>
      </c>
    </row>
    <row r="10" spans="2:9" ht="6.6" customHeight="1"/>
    <row r="11" spans="2:9" ht="6.6" customHeight="1"/>
    <row r="12" spans="2:9" ht="30.6">
      <c r="B12" s="81" t="s">
        <v>249</v>
      </c>
      <c r="C12" s="81" t="s">
        <v>250</v>
      </c>
      <c r="D12" s="81" t="s">
        <v>251</v>
      </c>
      <c r="E12" s="81" t="s">
        <v>252</v>
      </c>
      <c r="F12" s="81" t="s">
        <v>253</v>
      </c>
      <c r="G12" s="81" t="s">
        <v>254</v>
      </c>
      <c r="H12" s="81" t="s">
        <v>255</v>
      </c>
      <c r="I12" s="87" t="s">
        <v>256</v>
      </c>
    </row>
    <row r="13" spans="2:9">
      <c r="B13" s="1" t="s">
        <v>128</v>
      </c>
      <c r="C13" s="1">
        <v>0</v>
      </c>
      <c r="D13" s="1">
        <v>2100</v>
      </c>
      <c r="E13" s="1">
        <f>+D13*C13</f>
        <v>0</v>
      </c>
      <c r="F13" s="82">
        <f>+E13/$E$23</f>
        <v>0</v>
      </c>
      <c r="G13" s="83">
        <f>+F13*$C$9</f>
        <v>0</v>
      </c>
      <c r="H13" s="9">
        <f>+G13*7</f>
        <v>0</v>
      </c>
      <c r="I13" s="86">
        <f>+F13</f>
        <v>0</v>
      </c>
    </row>
    <row r="14" spans="2:9">
      <c r="B14" s="1" t="s">
        <v>129</v>
      </c>
      <c r="C14" s="1">
        <v>0</v>
      </c>
      <c r="D14" s="1">
        <v>2100</v>
      </c>
      <c r="E14" s="1">
        <f t="shared" ref="E14:E22" si="0">+D14*C14</f>
        <v>0</v>
      </c>
      <c r="F14" s="82">
        <f t="shared" ref="F14:F22" si="1">+E14/$E$23</f>
        <v>0</v>
      </c>
      <c r="G14" s="83">
        <f t="shared" ref="G14:G22" si="2">+F14*$C$9</f>
        <v>0</v>
      </c>
      <c r="H14" s="9">
        <f t="shared" ref="H14:H22" si="3">+G14*7</f>
        <v>0</v>
      </c>
      <c r="I14" s="86">
        <f t="shared" ref="I14:I22" si="4">+F14</f>
        <v>0</v>
      </c>
    </row>
    <row r="15" spans="2:9">
      <c r="B15" s="1" t="s">
        <v>257</v>
      </c>
      <c r="C15" s="1">
        <v>0</v>
      </c>
      <c r="D15" s="1">
        <v>2100</v>
      </c>
      <c r="E15" s="1">
        <f t="shared" si="0"/>
        <v>0</v>
      </c>
      <c r="F15" s="82">
        <f t="shared" si="1"/>
        <v>0</v>
      </c>
      <c r="G15" s="83">
        <f t="shared" si="2"/>
        <v>0</v>
      </c>
      <c r="H15" s="9">
        <f t="shared" si="3"/>
        <v>0</v>
      </c>
      <c r="I15" s="86">
        <f t="shared" si="4"/>
        <v>0</v>
      </c>
    </row>
    <row r="16" spans="2:9" ht="15.6">
      <c r="B16" s="2" t="s">
        <v>131</v>
      </c>
      <c r="C16" s="235">
        <v>1</v>
      </c>
      <c r="D16" s="1">
        <v>2100</v>
      </c>
      <c r="E16" s="1">
        <f t="shared" si="0"/>
        <v>2100</v>
      </c>
      <c r="F16" s="82">
        <f t="shared" si="1"/>
        <v>0.33333333333333331</v>
      </c>
      <c r="G16" s="83">
        <f t="shared" si="2"/>
        <v>24415.799999999996</v>
      </c>
      <c r="H16" s="9">
        <f t="shared" si="3"/>
        <v>170910.59999999998</v>
      </c>
      <c r="I16" s="86">
        <f t="shared" si="4"/>
        <v>0.33333333333333331</v>
      </c>
    </row>
    <row r="17" spans="2:21">
      <c r="B17" s="1" t="s">
        <v>132</v>
      </c>
      <c r="C17" s="1"/>
      <c r="D17" s="1">
        <v>2100</v>
      </c>
      <c r="E17" s="1">
        <f t="shared" si="0"/>
        <v>0</v>
      </c>
      <c r="F17" s="82">
        <f t="shared" si="1"/>
        <v>0</v>
      </c>
      <c r="G17" s="83">
        <f t="shared" si="2"/>
        <v>0</v>
      </c>
      <c r="H17" s="9">
        <f t="shared" si="3"/>
        <v>0</v>
      </c>
      <c r="I17" s="86">
        <f t="shared" si="4"/>
        <v>0</v>
      </c>
    </row>
    <row r="18" spans="2:21" ht="15.6">
      <c r="B18" s="2" t="s">
        <v>258</v>
      </c>
      <c r="C18" s="235">
        <v>2</v>
      </c>
      <c r="D18" s="1">
        <v>2100</v>
      </c>
      <c r="E18" s="1">
        <f t="shared" si="0"/>
        <v>4200</v>
      </c>
      <c r="F18" s="82">
        <f t="shared" si="1"/>
        <v>0.66666666666666663</v>
      </c>
      <c r="G18" s="83">
        <f t="shared" si="2"/>
        <v>48831.599999999991</v>
      </c>
      <c r="H18" s="9">
        <f t="shared" si="3"/>
        <v>341821.19999999995</v>
      </c>
      <c r="I18" s="86">
        <f t="shared" si="4"/>
        <v>0.66666666666666663</v>
      </c>
    </row>
    <row r="19" spans="2:21">
      <c r="B19" s="1" t="s">
        <v>134</v>
      </c>
      <c r="C19" s="1"/>
      <c r="D19" s="1">
        <v>2100</v>
      </c>
      <c r="E19" s="1">
        <f t="shared" si="0"/>
        <v>0</v>
      </c>
      <c r="F19" s="82">
        <f t="shared" si="1"/>
        <v>0</v>
      </c>
      <c r="G19" s="83">
        <f t="shared" si="2"/>
        <v>0</v>
      </c>
      <c r="H19" s="9">
        <f t="shared" si="3"/>
        <v>0</v>
      </c>
      <c r="I19" s="86">
        <f t="shared" si="4"/>
        <v>0</v>
      </c>
    </row>
    <row r="20" spans="2:21">
      <c r="B20" s="1" t="s">
        <v>135</v>
      </c>
      <c r="C20" s="1"/>
      <c r="D20" s="1">
        <v>2100</v>
      </c>
      <c r="E20" s="1">
        <f t="shared" si="0"/>
        <v>0</v>
      </c>
      <c r="F20" s="82">
        <f t="shared" si="1"/>
        <v>0</v>
      </c>
      <c r="G20" s="83">
        <f t="shared" si="2"/>
        <v>0</v>
      </c>
      <c r="H20" s="9">
        <f t="shared" si="3"/>
        <v>0</v>
      </c>
      <c r="I20" s="86">
        <f t="shared" si="4"/>
        <v>0</v>
      </c>
    </row>
    <row r="21" spans="2:21">
      <c r="B21" s="1" t="s">
        <v>136</v>
      </c>
      <c r="C21" s="1"/>
      <c r="D21" s="1">
        <v>2100</v>
      </c>
      <c r="E21" s="1">
        <f t="shared" si="0"/>
        <v>0</v>
      </c>
      <c r="F21" s="82">
        <f t="shared" si="1"/>
        <v>0</v>
      </c>
      <c r="G21" s="83">
        <f t="shared" si="2"/>
        <v>0</v>
      </c>
      <c r="H21" s="9">
        <f t="shared" si="3"/>
        <v>0</v>
      </c>
      <c r="I21" s="86">
        <f t="shared" si="4"/>
        <v>0</v>
      </c>
    </row>
    <row r="22" spans="2:21">
      <c r="B22" s="1" t="s">
        <v>137</v>
      </c>
      <c r="C22" s="1">
        <v>0</v>
      </c>
      <c r="D22" s="1">
        <v>2100</v>
      </c>
      <c r="E22" s="1">
        <f t="shared" si="0"/>
        <v>0</v>
      </c>
      <c r="F22" s="82">
        <f t="shared" si="1"/>
        <v>0</v>
      </c>
      <c r="G22" s="83">
        <f t="shared" si="2"/>
        <v>0</v>
      </c>
      <c r="H22" s="9">
        <f t="shared" si="3"/>
        <v>0</v>
      </c>
      <c r="I22" s="86">
        <f t="shared" si="4"/>
        <v>0</v>
      </c>
    </row>
    <row r="23" spans="2:21">
      <c r="B23" s="1" t="s">
        <v>238</v>
      </c>
      <c r="C23" s="2"/>
      <c r="D23" s="2"/>
      <c r="E23" s="2">
        <f>SUM(E13:E22)</f>
        <v>6300</v>
      </c>
      <c r="F23" s="84">
        <f t="shared" ref="F23:I23" si="5">SUM(F13:F22)</f>
        <v>1</v>
      </c>
      <c r="G23" s="85">
        <f t="shared" si="5"/>
        <v>73247.399999999994</v>
      </c>
      <c r="H23" s="85">
        <f t="shared" si="5"/>
        <v>512731.79999999993</v>
      </c>
      <c r="I23" s="84">
        <f t="shared" si="5"/>
        <v>1</v>
      </c>
    </row>
    <row r="27" spans="2:21">
      <c r="K27" s="265" t="s">
        <v>259</v>
      </c>
      <c r="L27" s="265"/>
      <c r="M27" s="265"/>
      <c r="N27" s="265"/>
      <c r="O27" s="177"/>
      <c r="P27" s="197" t="s">
        <v>260</v>
      </c>
      <c r="Q27" s="197"/>
      <c r="R27" s="197"/>
      <c r="S27" s="199" t="s">
        <v>261</v>
      </c>
      <c r="T27" s="199"/>
      <c r="U27" s="199"/>
    </row>
    <row r="28" spans="2:21">
      <c r="K28" s="1" t="s">
        <v>262</v>
      </c>
      <c r="L28" s="1" t="s">
        <v>263</v>
      </c>
      <c r="M28" s="1" t="s">
        <v>264</v>
      </c>
      <c r="N28" s="1" t="s">
        <v>265</v>
      </c>
      <c r="O28" s="1" t="s">
        <v>266</v>
      </c>
      <c r="P28" s="198" t="s">
        <v>263</v>
      </c>
      <c r="Q28" s="198" t="s">
        <v>264</v>
      </c>
      <c r="R28" s="198" t="s">
        <v>265</v>
      </c>
      <c r="S28" s="200" t="s">
        <v>263</v>
      </c>
      <c r="T28" s="200" t="s">
        <v>264</v>
      </c>
      <c r="U28" s="200" t="s">
        <v>265</v>
      </c>
    </row>
    <row r="29" spans="2:21" ht="15" thickBot="1">
      <c r="K29" s="1" t="s">
        <v>267</v>
      </c>
      <c r="L29" s="1">
        <v>-0.27</v>
      </c>
      <c r="M29" s="1">
        <v>-0.02</v>
      </c>
      <c r="N29" s="1">
        <v>-0.37</v>
      </c>
      <c r="O29" s="1">
        <v>1</v>
      </c>
      <c r="P29" s="198"/>
      <c r="Q29" s="198"/>
      <c r="R29" s="198"/>
      <c r="S29" s="200">
        <f t="shared" ref="S29:U29" si="6">+$O$29*L29+P29</f>
        <v>-0.27</v>
      </c>
      <c r="T29" s="200">
        <f t="shared" si="6"/>
        <v>-0.02</v>
      </c>
      <c r="U29" s="201">
        <f t="shared" si="6"/>
        <v>-0.37</v>
      </c>
    </row>
    <row r="30" spans="2:21" ht="15" thickBot="1">
      <c r="B30" s="88" t="s">
        <v>268</v>
      </c>
      <c r="C30" s="89"/>
      <c r="K30" s="1" t="s">
        <v>269</v>
      </c>
      <c r="L30" s="1">
        <v>-0.32</v>
      </c>
      <c r="M30" s="1">
        <v>0.43</v>
      </c>
      <c r="N30" s="1">
        <v>0.34</v>
      </c>
      <c r="O30" s="163">
        <f>3.17/5</f>
        <v>0.63400000000000001</v>
      </c>
      <c r="P30" s="198">
        <v>92.251000000000005</v>
      </c>
      <c r="Q30" s="198">
        <v>-1.5960000000000001</v>
      </c>
      <c r="R30" s="198">
        <v>2.117</v>
      </c>
      <c r="S30" s="200">
        <f>+$O$30*L30+P30</f>
        <v>92.048120000000011</v>
      </c>
      <c r="T30" s="200">
        <f>+$O$30*M30+Q30</f>
        <v>-1.3233800000000002</v>
      </c>
      <c r="U30" s="200">
        <f>+$O$30*N30+R30</f>
        <v>2.33256</v>
      </c>
    </row>
    <row r="31" spans="2:21">
      <c r="B31" s="73">
        <v>0.5</v>
      </c>
      <c r="C31" s="74">
        <v>1</v>
      </c>
      <c r="K31" s="1" t="s">
        <v>270</v>
      </c>
      <c r="L31" s="1">
        <v>-0.2</v>
      </c>
      <c r="M31" s="1">
        <v>-0.24</v>
      </c>
      <c r="N31" s="1">
        <v>-0.06</v>
      </c>
      <c r="O31" s="1"/>
      <c r="P31" s="198"/>
      <c r="Q31" s="198"/>
      <c r="R31" s="198"/>
      <c r="S31" s="200"/>
      <c r="T31" s="200"/>
      <c r="U31" s="200"/>
    </row>
    <row r="32" spans="2:21">
      <c r="B32" s="3">
        <v>0.55000000000000004</v>
      </c>
      <c r="C32" s="1">
        <v>1.2222219999999999</v>
      </c>
      <c r="K32" s="1" t="s">
        <v>271</v>
      </c>
      <c r="L32" s="1">
        <v>-0.24</v>
      </c>
      <c r="M32" s="1">
        <v>-0.56999999999999995</v>
      </c>
      <c r="N32" s="1">
        <v>0.56000000000000005</v>
      </c>
      <c r="O32" s="1"/>
      <c r="P32" s="198"/>
      <c r="Q32" s="198"/>
      <c r="R32" s="198"/>
      <c r="S32" s="200">
        <f t="shared" ref="S32" si="7">+$O$29*L32+P32</f>
        <v>-0.24</v>
      </c>
      <c r="T32" s="200">
        <f t="shared" ref="T32" si="8">+$O$29*M32+Q32</f>
        <v>-0.56999999999999995</v>
      </c>
      <c r="U32" s="201">
        <f t="shared" ref="U32" si="9">+$O$29*N32+R32</f>
        <v>0.56000000000000005</v>
      </c>
    </row>
    <row r="33" spans="2:21">
      <c r="B33" s="3">
        <v>0.6</v>
      </c>
      <c r="C33" s="1">
        <v>1.5</v>
      </c>
      <c r="K33" s="1" t="s">
        <v>272</v>
      </c>
      <c r="L33" s="1">
        <v>-0.33</v>
      </c>
      <c r="M33" s="1">
        <v>-0.33</v>
      </c>
      <c r="N33" s="1">
        <v>-0.74</v>
      </c>
      <c r="O33" s="1">
        <v>-0.28000000000000003</v>
      </c>
      <c r="P33" s="198"/>
      <c r="Q33" s="198"/>
      <c r="R33" s="198"/>
      <c r="S33" s="200">
        <f>+$O$33*L33+P33</f>
        <v>9.240000000000001E-2</v>
      </c>
      <c r="T33" s="200">
        <f>+$O$33*M33+Q33</f>
        <v>9.240000000000001E-2</v>
      </c>
      <c r="U33" s="200">
        <f>+$O$33*N33+R33</f>
        <v>0.20720000000000002</v>
      </c>
    </row>
    <row r="34" spans="2:21">
      <c r="B34" s="3">
        <v>0.63</v>
      </c>
      <c r="C34" s="1">
        <v>1.7027000000000001</v>
      </c>
    </row>
    <row r="35" spans="2:21">
      <c r="B35" s="3">
        <v>0.65</v>
      </c>
      <c r="C35" s="1">
        <v>1.85714</v>
      </c>
    </row>
    <row r="36" spans="2:21">
      <c r="B36" s="3">
        <v>0.68</v>
      </c>
      <c r="C36" s="1">
        <v>2.125</v>
      </c>
    </row>
    <row r="37" spans="2:21">
      <c r="B37" s="3">
        <v>0.7</v>
      </c>
      <c r="C37" s="1">
        <v>2.3333330000000001</v>
      </c>
    </row>
    <row r="38" spans="2:21">
      <c r="B38" s="3">
        <v>0.72</v>
      </c>
      <c r="C38" s="1">
        <v>2.5714299999999999</v>
      </c>
    </row>
    <row r="39" spans="2:21">
      <c r="B39" s="3">
        <v>0.75</v>
      </c>
      <c r="C39" s="1">
        <v>3</v>
      </c>
    </row>
    <row r="40" spans="2:21">
      <c r="B40" s="3">
        <v>0.78</v>
      </c>
      <c r="C40" s="1">
        <v>3.5454500000000002</v>
      </c>
    </row>
    <row r="41" spans="2:21">
      <c r="B41" s="3">
        <v>0.8</v>
      </c>
      <c r="C41" s="1">
        <v>4</v>
      </c>
    </row>
    <row r="42" spans="2:21">
      <c r="B42" s="3">
        <v>0.83</v>
      </c>
      <c r="C42" s="1">
        <v>4.8823499999999997</v>
      </c>
    </row>
    <row r="43" spans="2:21">
      <c r="B43" s="3">
        <v>0.85</v>
      </c>
      <c r="C43" s="1">
        <v>5.6666499999999997</v>
      </c>
    </row>
    <row r="44" spans="2:21">
      <c r="B44" s="3">
        <v>0.4</v>
      </c>
      <c r="C44" s="1">
        <v>0.66666599999999998</v>
      </c>
    </row>
    <row r="45" spans="2:21">
      <c r="B45" s="3">
        <v>0.35</v>
      </c>
      <c r="C45" s="1">
        <v>0.53846099999999997</v>
      </c>
    </row>
    <row r="46" spans="2:21">
      <c r="B46" s="3">
        <v>0.3</v>
      </c>
      <c r="C46" s="1">
        <v>0.42857200000000001</v>
      </c>
    </row>
    <row r="47" spans="2:21">
      <c r="B47" s="3">
        <v>0.2</v>
      </c>
      <c r="C47" s="1">
        <v>0.25</v>
      </c>
    </row>
    <row r="48" spans="2:21">
      <c r="B48" s="3">
        <v>0.1</v>
      </c>
      <c r="C48" s="1">
        <v>0.111111</v>
      </c>
    </row>
    <row r="49" spans="2:3">
      <c r="B49" s="3">
        <v>0.45</v>
      </c>
      <c r="C49" s="1">
        <v>0.81816999999999995</v>
      </c>
    </row>
    <row r="50" spans="2:3">
      <c r="B50" s="3">
        <v>0.25</v>
      </c>
      <c r="C50" s="1">
        <v>0.33333299999999999</v>
      </c>
    </row>
    <row r="51" spans="2:3">
      <c r="B51" s="3">
        <v>0.48</v>
      </c>
      <c r="C51" s="1">
        <v>0.92305999999999999</v>
      </c>
    </row>
    <row r="52" spans="2:3">
      <c r="B52" s="3">
        <v>0.43</v>
      </c>
      <c r="C52" s="1">
        <v>0.75439999999999996</v>
      </c>
    </row>
    <row r="53" spans="2:3">
      <c r="B53" s="3">
        <v>0.38</v>
      </c>
      <c r="C53" s="1">
        <v>0.6129</v>
      </c>
    </row>
    <row r="54" spans="2:3">
      <c r="B54" s="3">
        <v>0.33</v>
      </c>
      <c r="C54" s="1">
        <v>0.49253999999999998</v>
      </c>
    </row>
  </sheetData>
  <mergeCells count="2">
    <mergeCell ref="K27:N27"/>
    <mergeCell ref="B2:G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B1:V86"/>
  <sheetViews>
    <sheetView topLeftCell="B21" zoomScale="70" zoomScaleNormal="70" workbookViewId="0">
      <selection activeCell="S48" sqref="S48"/>
    </sheetView>
  </sheetViews>
  <sheetFormatPr defaultColWidth="11.42578125" defaultRowHeight="14.45"/>
  <cols>
    <col min="2" max="2" width="36" bestFit="1" customWidth="1"/>
    <col min="3" max="3" width="11.85546875" bestFit="1" customWidth="1"/>
    <col min="18" max="18" width="12.140625" bestFit="1" customWidth="1"/>
  </cols>
  <sheetData>
    <row r="1" spans="2:20" ht="15" thickBot="1"/>
    <row r="2" spans="2:20">
      <c r="B2" s="14"/>
      <c r="C2" s="15"/>
      <c r="D2" s="46"/>
      <c r="E2" s="46"/>
      <c r="F2" s="46"/>
      <c r="G2" s="70" t="s">
        <v>273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15"/>
      <c r="S2" s="15"/>
      <c r="T2" s="16"/>
    </row>
    <row r="3" spans="2:20">
      <c r="B3" s="1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5" t="s">
        <v>274</v>
      </c>
      <c r="T3" s="18"/>
    </row>
    <row r="4" spans="2:20">
      <c r="B4" s="17"/>
      <c r="D4" s="12" t="s">
        <v>275</v>
      </c>
      <c r="E4" s="12" t="s">
        <v>276</v>
      </c>
      <c r="F4" s="12" t="s">
        <v>277</v>
      </c>
      <c r="G4" s="12" t="s">
        <v>278</v>
      </c>
      <c r="H4" s="12" t="s">
        <v>279</v>
      </c>
      <c r="I4" s="12" t="s">
        <v>280</v>
      </c>
      <c r="J4" s="12" t="s">
        <v>281</v>
      </c>
      <c r="K4" s="12" t="s">
        <v>282</v>
      </c>
      <c r="L4" s="12" t="s">
        <v>283</v>
      </c>
      <c r="M4" s="12" t="s">
        <v>284</v>
      </c>
      <c r="N4" s="12" t="s">
        <v>285</v>
      </c>
      <c r="O4" s="12" t="s">
        <v>286</v>
      </c>
      <c r="P4" s="12" t="s">
        <v>287</v>
      </c>
      <c r="Q4" s="69" t="s">
        <v>288</v>
      </c>
      <c r="R4" s="12" t="s">
        <v>289</v>
      </c>
      <c r="S4" s="12" t="s">
        <v>290</v>
      </c>
      <c r="T4" s="18"/>
    </row>
    <row r="5" spans="2:20">
      <c r="B5" s="30" t="s">
        <v>104</v>
      </c>
      <c r="C5" s="206">
        <v>45784</v>
      </c>
      <c r="D5" s="65">
        <v>0.96930000000000005</v>
      </c>
      <c r="E5" s="65">
        <v>2.4639999999999999E-2</v>
      </c>
      <c r="F5" s="65">
        <v>2.3E-3</v>
      </c>
      <c r="G5" s="65">
        <f t="shared" ref="G5:Q5" si="0">+G85</f>
        <v>0</v>
      </c>
      <c r="H5" s="65">
        <f t="shared" si="0"/>
        <v>0</v>
      </c>
      <c r="I5" s="65">
        <v>1.6000000000000001E-4</v>
      </c>
      <c r="J5" s="65">
        <f t="shared" si="0"/>
        <v>0</v>
      </c>
      <c r="K5" s="65">
        <v>6.9999999999999994E-5</v>
      </c>
      <c r="L5" s="65">
        <v>9.2000000000000003E-4</v>
      </c>
      <c r="M5" s="65">
        <f t="shared" si="0"/>
        <v>0</v>
      </c>
      <c r="N5" s="65">
        <f t="shared" si="0"/>
        <v>0</v>
      </c>
      <c r="O5" s="65">
        <f t="shared" si="0"/>
        <v>0</v>
      </c>
      <c r="P5" s="65">
        <v>2.66E-3</v>
      </c>
      <c r="Q5" s="65">
        <f t="shared" si="0"/>
        <v>0</v>
      </c>
      <c r="R5" s="77">
        <f>+SUM(D5:Q5)</f>
        <v>1.0000500000000001</v>
      </c>
      <c r="S5" s="33">
        <v>-7.0000000000000001E-3</v>
      </c>
      <c r="T5" s="18"/>
    </row>
    <row r="6" spans="2:20">
      <c r="B6" s="30" t="s">
        <v>105</v>
      </c>
      <c r="C6" s="57"/>
      <c r="D6" s="67"/>
      <c r="E6" s="67"/>
      <c r="F6" s="67"/>
      <c r="G6" s="67"/>
      <c r="H6" s="67"/>
      <c r="I6" s="67"/>
      <c r="J6" s="67"/>
      <c r="K6" s="65">
        <v>0.58320000000000005</v>
      </c>
      <c r="L6" s="67"/>
      <c r="M6" s="67"/>
      <c r="N6" s="67"/>
      <c r="O6" s="67"/>
      <c r="P6" s="67"/>
      <c r="Q6" s="67"/>
      <c r="R6" s="51">
        <f t="shared" ref="R6:R23" si="1">+SUM(D6:Q6)</f>
        <v>0.58320000000000005</v>
      </c>
      <c r="S6" s="33"/>
      <c r="T6" s="18"/>
    </row>
    <row r="7" spans="2:20">
      <c r="B7" s="30" t="s">
        <v>106</v>
      </c>
      <c r="C7" s="175">
        <v>45743</v>
      </c>
      <c r="D7" s="65">
        <v>1.779E-2</v>
      </c>
      <c r="E7" s="65">
        <v>4.0000000000000001E-3</v>
      </c>
      <c r="F7" s="65">
        <v>1.1900000000000001E-3</v>
      </c>
      <c r="G7" s="65">
        <v>0</v>
      </c>
      <c r="H7" s="65">
        <v>0.52590999999999999</v>
      </c>
      <c r="I7" s="65">
        <v>4.3600000000000002E-3</v>
      </c>
      <c r="J7" s="65">
        <v>0</v>
      </c>
      <c r="K7" s="65">
        <v>5.0000000000000001E-4</v>
      </c>
      <c r="L7" s="65">
        <v>1.0399999999999999E-3</v>
      </c>
      <c r="M7" s="65">
        <v>3.5E-4</v>
      </c>
      <c r="N7" s="65">
        <v>0</v>
      </c>
      <c r="O7" s="65">
        <v>0</v>
      </c>
      <c r="P7" s="66">
        <v>1E-4</v>
      </c>
      <c r="Q7" s="65">
        <v>0</v>
      </c>
      <c r="R7" s="77">
        <f t="shared" si="1"/>
        <v>0.55523999999999996</v>
      </c>
      <c r="S7" s="33"/>
      <c r="T7" s="18"/>
    </row>
    <row r="8" spans="2:20">
      <c r="B8" s="30" t="s">
        <v>107</v>
      </c>
      <c r="C8" s="175">
        <v>45716</v>
      </c>
      <c r="D8" s="65">
        <v>0.71660000000000001</v>
      </c>
      <c r="E8" s="65">
        <v>0.14615</v>
      </c>
      <c r="F8" s="65">
        <v>3.46E-3</v>
      </c>
      <c r="G8" s="65">
        <v>0</v>
      </c>
      <c r="H8" s="65">
        <v>5.5599999999999998E-3</v>
      </c>
      <c r="I8" s="65">
        <v>2.5100000000000001E-3</v>
      </c>
      <c r="J8" s="65">
        <v>0</v>
      </c>
      <c r="K8" s="65">
        <v>2.4719999999999999E-2</v>
      </c>
      <c r="L8" s="65">
        <v>0.10285999999999999</v>
      </c>
      <c r="M8" s="65">
        <v>0</v>
      </c>
      <c r="N8" s="65">
        <v>0</v>
      </c>
      <c r="O8" s="65">
        <v>0</v>
      </c>
      <c r="P8" s="66">
        <v>3.8000000000000002E-4</v>
      </c>
      <c r="Q8" s="65">
        <v>0</v>
      </c>
      <c r="R8" s="77">
        <f t="shared" si="1"/>
        <v>1.00224</v>
      </c>
      <c r="S8" s="33"/>
      <c r="T8" s="18"/>
    </row>
    <row r="9" spans="2:20">
      <c r="B9" s="30" t="s">
        <v>108</v>
      </c>
      <c r="C9" s="57"/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0.43234080000000003</v>
      </c>
      <c r="L9" s="65">
        <v>0</v>
      </c>
      <c r="M9" s="65">
        <v>0.5578592</v>
      </c>
      <c r="N9" s="65">
        <v>0</v>
      </c>
      <c r="O9" s="65">
        <v>0</v>
      </c>
      <c r="P9" s="66">
        <v>0</v>
      </c>
      <c r="Q9" s="65">
        <v>0</v>
      </c>
      <c r="R9" s="77">
        <f t="shared" si="1"/>
        <v>0.99019999999999997</v>
      </c>
      <c r="S9" s="33">
        <v>0.67</v>
      </c>
      <c r="T9" s="18"/>
    </row>
    <row r="10" spans="2:20">
      <c r="B10" s="30" t="s">
        <v>109</v>
      </c>
      <c r="C10" s="5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96">
        <v>0.96</v>
      </c>
      <c r="P10" s="67"/>
      <c r="Q10" s="67"/>
      <c r="R10" s="51">
        <f t="shared" si="1"/>
        <v>0.96</v>
      </c>
      <c r="S10" s="33">
        <v>-6.7</v>
      </c>
      <c r="T10" s="18"/>
    </row>
    <row r="11" spans="2:20">
      <c r="B11" s="30" t="s">
        <v>110</v>
      </c>
      <c r="C11" s="57"/>
      <c r="D11" s="67"/>
      <c r="E11" s="67"/>
      <c r="F11" s="96">
        <v>0.98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51">
        <f t="shared" si="1"/>
        <v>0.98</v>
      </c>
      <c r="S11" s="33">
        <v>0.25</v>
      </c>
      <c r="T11" s="18"/>
    </row>
    <row r="12" spans="2:20">
      <c r="B12" s="30" t="s">
        <v>111</v>
      </c>
      <c r="C12" s="5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97">
        <v>0.999</v>
      </c>
      <c r="R12" s="51">
        <f t="shared" si="1"/>
        <v>0.999</v>
      </c>
      <c r="S12" s="33"/>
      <c r="T12" s="18"/>
    </row>
    <row r="13" spans="2:20">
      <c r="B13" s="30" t="s">
        <v>112</v>
      </c>
      <c r="C13" s="5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97">
        <v>0.89870000000000005</v>
      </c>
      <c r="R13" s="51">
        <f t="shared" si="1"/>
        <v>0.89870000000000005</v>
      </c>
      <c r="S13" s="33"/>
      <c r="T13" s="18"/>
    </row>
    <row r="14" spans="2:20">
      <c r="B14" s="30" t="s">
        <v>128</v>
      </c>
      <c r="C14" s="206">
        <v>45713</v>
      </c>
      <c r="D14" s="207">
        <v>0.73148999999999997</v>
      </c>
      <c r="E14" s="207">
        <v>1.086E-2</v>
      </c>
      <c r="F14" s="207">
        <v>1.06E-3</v>
      </c>
      <c r="G14" s="227">
        <v>1.0000000000000001E-5</v>
      </c>
      <c r="H14" s="207">
        <v>0.11323999999999999</v>
      </c>
      <c r="I14" s="207">
        <v>1.16E-3</v>
      </c>
      <c r="J14" s="207">
        <v>0</v>
      </c>
      <c r="K14" s="207">
        <v>0.13589999999999999</v>
      </c>
      <c r="L14" s="207">
        <v>3.0000000000000001E-3</v>
      </c>
      <c r="M14" s="207">
        <v>2.3999999999999998E-3</v>
      </c>
      <c r="N14" s="207">
        <v>0</v>
      </c>
      <c r="O14" s="207">
        <v>0</v>
      </c>
      <c r="P14" s="207">
        <v>8.9999999999999998E-4</v>
      </c>
      <c r="Q14" s="207">
        <v>0</v>
      </c>
      <c r="R14" s="51">
        <f>+SUM(D14:Q14)</f>
        <v>1.0000199999999999</v>
      </c>
      <c r="S14" s="33">
        <v>1E-3</v>
      </c>
      <c r="T14" s="18"/>
    </row>
    <row r="15" spans="2:20">
      <c r="B15" s="30" t="s">
        <v>129</v>
      </c>
      <c r="C15" s="206">
        <v>45763</v>
      </c>
      <c r="D15" s="207">
        <v>0.72640000000000005</v>
      </c>
      <c r="E15" s="207">
        <v>1.8700000000000001E-2</v>
      </c>
      <c r="F15" s="207">
        <v>1E-3</v>
      </c>
      <c r="G15" s="227">
        <v>2.0000000000000002E-5</v>
      </c>
      <c r="H15" s="207">
        <v>0.10538</v>
      </c>
      <c r="I15" s="207">
        <v>7.8300000000000002E-3</v>
      </c>
      <c r="J15" s="207">
        <v>0</v>
      </c>
      <c r="K15" s="207">
        <v>0.13489999999999999</v>
      </c>
      <c r="L15" s="207">
        <v>3.8800000000000002E-3</v>
      </c>
      <c r="M15" s="207">
        <v>3.4000000000000002E-4</v>
      </c>
      <c r="N15" s="207">
        <v>0</v>
      </c>
      <c r="O15" s="207">
        <v>0</v>
      </c>
      <c r="P15" s="207">
        <v>6.3000000000000003E-4</v>
      </c>
      <c r="Q15" s="207">
        <v>0</v>
      </c>
      <c r="R15" s="51">
        <f>+SUM(D15:Q15)</f>
        <v>0.99908000000000019</v>
      </c>
      <c r="S15" s="33">
        <v>1E-3</v>
      </c>
      <c r="T15" s="18"/>
    </row>
    <row r="16" spans="2:20">
      <c r="B16" s="30" t="s">
        <v>130</v>
      </c>
      <c r="C16" s="175"/>
      <c r="D16" s="65"/>
      <c r="E16" s="65"/>
      <c r="F16" s="65"/>
      <c r="G16" s="66"/>
      <c r="H16" s="65"/>
      <c r="I16" s="66"/>
      <c r="J16" s="65"/>
      <c r="K16" s="65"/>
      <c r="L16" s="66"/>
      <c r="M16" s="65"/>
      <c r="N16" s="65"/>
      <c r="O16" s="65"/>
      <c r="P16" s="65"/>
      <c r="Q16" s="65"/>
      <c r="R16" s="51">
        <f t="shared" si="1"/>
        <v>0</v>
      </c>
      <c r="S16" s="33">
        <v>1E-3</v>
      </c>
      <c r="T16" s="18"/>
    </row>
    <row r="17" spans="2:20">
      <c r="B17" s="30" t="s">
        <v>131</v>
      </c>
      <c r="C17" s="206">
        <v>45783</v>
      </c>
      <c r="D17" s="97">
        <v>0.71901999999999999</v>
      </c>
      <c r="E17" s="226">
        <v>2.0150000000000001E-2</v>
      </c>
      <c r="F17" s="97">
        <v>4.3E-3</v>
      </c>
      <c r="G17" s="97">
        <v>1.6000000000000001E-4</v>
      </c>
      <c r="H17" s="97">
        <v>0.11047</v>
      </c>
      <c r="I17" s="97">
        <v>4.3699999999999998E-3</v>
      </c>
      <c r="J17" s="96">
        <v>0</v>
      </c>
      <c r="K17" s="97">
        <v>0.13591</v>
      </c>
      <c r="L17" s="97">
        <v>3.3600000000000001E-3</v>
      </c>
      <c r="M17" s="97">
        <v>2.9999999999999997E-4</v>
      </c>
      <c r="N17" s="96">
        <v>0</v>
      </c>
      <c r="O17" s="96">
        <v>0</v>
      </c>
      <c r="P17" s="97">
        <v>1.9400000000000001E-3</v>
      </c>
      <c r="Q17" s="96">
        <v>0</v>
      </c>
      <c r="R17" s="51">
        <f t="shared" si="1"/>
        <v>0.99997999999999998</v>
      </c>
      <c r="S17" s="33">
        <v>-8.9999999999999993E-3</v>
      </c>
      <c r="T17" s="18"/>
    </row>
    <row r="18" spans="2:20">
      <c r="B18" s="30" t="s">
        <v>132</v>
      </c>
      <c r="C18" s="5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51">
        <f t="shared" si="1"/>
        <v>0</v>
      </c>
      <c r="S18" s="33">
        <v>-8.9999999999999993E-3</v>
      </c>
      <c r="T18" s="18"/>
    </row>
    <row r="19" spans="2:20">
      <c r="B19" s="30" t="s">
        <v>133</v>
      </c>
      <c r="C19" s="206">
        <v>45784</v>
      </c>
      <c r="D19" s="226">
        <v>0.72131000000000001</v>
      </c>
      <c r="E19" s="226">
        <v>1.8620000000000001E-2</v>
      </c>
      <c r="F19" s="226">
        <v>4.2900000000000004E-3</v>
      </c>
      <c r="G19" s="226">
        <v>4.0999999999999999E-4</v>
      </c>
      <c r="H19" s="226">
        <v>0.10278</v>
      </c>
      <c r="I19" s="226">
        <v>9.0500000000000008E-3</v>
      </c>
      <c r="J19" s="226">
        <v>0</v>
      </c>
      <c r="K19" s="97">
        <v>0.13589000000000001</v>
      </c>
      <c r="L19" s="226">
        <v>6.0400000000000002E-3</v>
      </c>
      <c r="M19" s="226">
        <v>4.0999999999999999E-4</v>
      </c>
      <c r="N19" s="226">
        <v>0</v>
      </c>
      <c r="O19" s="226">
        <v>0</v>
      </c>
      <c r="P19" s="226">
        <v>1.1900000000000001E-3</v>
      </c>
      <c r="Q19" s="226">
        <v>0</v>
      </c>
      <c r="R19" s="51">
        <f t="shared" si="1"/>
        <v>0.99999000000000016</v>
      </c>
      <c r="S19" s="33">
        <v>-8.9999999999999993E-3</v>
      </c>
      <c r="T19" s="18"/>
    </row>
    <row r="20" spans="2:20">
      <c r="B20" s="30" t="s">
        <v>134</v>
      </c>
      <c r="C20" s="5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51">
        <f t="shared" si="1"/>
        <v>0</v>
      </c>
      <c r="S20" s="33">
        <v>-8.9999999999999993E-3</v>
      </c>
      <c r="T20" s="18"/>
    </row>
    <row r="21" spans="2:20">
      <c r="B21" s="30" t="s">
        <v>135</v>
      </c>
      <c r="C21" s="5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51">
        <f t="shared" si="1"/>
        <v>0</v>
      </c>
      <c r="S21" s="33">
        <v>-8.9999999999999993E-3</v>
      </c>
      <c r="T21" s="18"/>
    </row>
    <row r="22" spans="2:20">
      <c r="B22" s="30" t="s">
        <v>136</v>
      </c>
      <c r="C22" s="5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51">
        <f t="shared" si="1"/>
        <v>0</v>
      </c>
      <c r="S22" s="33">
        <v>-8.9999999999999993E-3</v>
      </c>
      <c r="T22" s="18"/>
    </row>
    <row r="23" spans="2:20" ht="15" thickBot="1">
      <c r="B23" s="31" t="s">
        <v>137</v>
      </c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52">
        <f t="shared" si="1"/>
        <v>0</v>
      </c>
      <c r="S23" s="53">
        <v>-2E-3</v>
      </c>
      <c r="T23" s="23"/>
    </row>
    <row r="24" spans="2:20" ht="15" thickBot="1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2:20">
      <c r="B25" s="14"/>
      <c r="C25" s="15"/>
      <c r="D25" s="46"/>
      <c r="E25" s="46"/>
      <c r="F25" s="46"/>
      <c r="G25" s="70" t="s">
        <v>291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15"/>
      <c r="S25" s="15"/>
      <c r="T25" s="16"/>
    </row>
    <row r="26" spans="2:20">
      <c r="B26" s="1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5" t="s">
        <v>274</v>
      </c>
      <c r="T26" s="18"/>
    </row>
    <row r="27" spans="2:20">
      <c r="B27" s="17"/>
      <c r="C27" s="12" t="s">
        <v>103</v>
      </c>
      <c r="D27" s="12" t="s">
        <v>275</v>
      </c>
      <c r="E27" s="12" t="s">
        <v>276</v>
      </c>
      <c r="F27" s="12" t="s">
        <v>277</v>
      </c>
      <c r="G27" s="12" t="s">
        <v>278</v>
      </c>
      <c r="H27" s="12" t="s">
        <v>279</v>
      </c>
      <c r="I27" s="12" t="s">
        <v>280</v>
      </c>
      <c r="J27" s="12" t="s">
        <v>281</v>
      </c>
      <c r="K27" s="12" t="s">
        <v>282</v>
      </c>
      <c r="L27" s="12" t="s">
        <v>283</v>
      </c>
      <c r="M27" s="12" t="s">
        <v>284</v>
      </c>
      <c r="N27" s="12" t="s">
        <v>285</v>
      </c>
      <c r="O27" s="12" t="s">
        <v>286</v>
      </c>
      <c r="P27" s="12" t="s">
        <v>287</v>
      </c>
      <c r="Q27" s="69" t="s">
        <v>288</v>
      </c>
      <c r="R27" s="12" t="s">
        <v>289</v>
      </c>
      <c r="S27" s="12" t="s">
        <v>290</v>
      </c>
      <c r="T27" s="18"/>
    </row>
    <row r="28" spans="2:20">
      <c r="B28" s="19" t="s">
        <v>104</v>
      </c>
      <c r="C28" s="33">
        <f>+FORMULA!D8</f>
        <v>460</v>
      </c>
      <c r="D28" s="33">
        <f>+$C28*D5</f>
        <v>445.87800000000004</v>
      </c>
      <c r="E28" s="33">
        <f>+$C28*E5</f>
        <v>11.334399999999999</v>
      </c>
      <c r="F28" s="33">
        <f>+$C28*F5</f>
        <v>1.0580000000000001</v>
      </c>
      <c r="G28" s="33">
        <f>+$C28*G5</f>
        <v>0</v>
      </c>
      <c r="H28" s="33">
        <f>+$C28*H5</f>
        <v>0</v>
      </c>
      <c r="I28" s="33">
        <f t="shared" ref="I28:P28" si="2">+$C28*I5</f>
        <v>7.3600000000000013E-2</v>
      </c>
      <c r="J28" s="33">
        <f t="shared" si="2"/>
        <v>0</v>
      </c>
      <c r="K28" s="33">
        <f t="shared" si="2"/>
        <v>3.2199999999999999E-2</v>
      </c>
      <c r="L28" s="33">
        <f t="shared" si="2"/>
        <v>0.42320000000000002</v>
      </c>
      <c r="M28" s="33">
        <f t="shared" si="2"/>
        <v>0</v>
      </c>
      <c r="N28" s="33">
        <f t="shared" si="2"/>
        <v>0</v>
      </c>
      <c r="O28" s="33">
        <f t="shared" si="2"/>
        <v>0</v>
      </c>
      <c r="P28" s="33">
        <f t="shared" si="2"/>
        <v>1.2236</v>
      </c>
      <c r="Q28" s="33">
        <f>+$C28*Q5</f>
        <v>0</v>
      </c>
      <c r="R28" s="33">
        <f>+SUM(D28:Q28)</f>
        <v>460.02300000000002</v>
      </c>
      <c r="S28" s="33">
        <f>+$C28*S5</f>
        <v>-3.22</v>
      </c>
      <c r="T28" s="18"/>
    </row>
    <row r="29" spans="2:20">
      <c r="B29" s="19" t="s">
        <v>105</v>
      </c>
      <c r="C29" s="33">
        <f>+FORMULA!D9</f>
        <v>159</v>
      </c>
      <c r="D29" s="33">
        <f t="shared" ref="D29:D46" si="3">+$C29*D6</f>
        <v>0</v>
      </c>
      <c r="E29" s="33">
        <f t="shared" ref="E29:S29" si="4">+$C29*E6</f>
        <v>0</v>
      </c>
      <c r="F29" s="33">
        <f t="shared" si="4"/>
        <v>0</v>
      </c>
      <c r="G29" s="33">
        <f t="shared" si="4"/>
        <v>0</v>
      </c>
      <c r="H29" s="33">
        <f t="shared" si="4"/>
        <v>0</v>
      </c>
      <c r="I29" s="33">
        <f t="shared" si="4"/>
        <v>0</v>
      </c>
      <c r="J29" s="33">
        <f t="shared" si="4"/>
        <v>0</v>
      </c>
      <c r="K29" s="33">
        <f t="shared" si="4"/>
        <v>92.728800000000007</v>
      </c>
      <c r="L29" s="33">
        <f t="shared" si="4"/>
        <v>0</v>
      </c>
      <c r="M29" s="33">
        <f t="shared" si="4"/>
        <v>0</v>
      </c>
      <c r="N29" s="33">
        <f t="shared" si="4"/>
        <v>0</v>
      </c>
      <c r="O29" s="33">
        <f t="shared" si="4"/>
        <v>0</v>
      </c>
      <c r="P29" s="33">
        <f t="shared" si="4"/>
        <v>0</v>
      </c>
      <c r="Q29" s="33">
        <f t="shared" si="4"/>
        <v>0</v>
      </c>
      <c r="R29" s="33">
        <f t="shared" ref="R29:R46" si="5">+SUM(D29:Q29)</f>
        <v>92.728800000000007</v>
      </c>
      <c r="S29" s="33">
        <f t="shared" si="4"/>
        <v>0</v>
      </c>
      <c r="T29" s="18"/>
    </row>
    <row r="30" spans="2:20">
      <c r="B30" s="19" t="s">
        <v>106</v>
      </c>
      <c r="C30" s="33">
        <f>+FORMULA!D10</f>
        <v>139</v>
      </c>
      <c r="D30" s="33">
        <f t="shared" si="3"/>
        <v>2.47281</v>
      </c>
      <c r="E30" s="33">
        <f>+$C30*E7</f>
        <v>0.55600000000000005</v>
      </c>
      <c r="F30" s="33">
        <f t="shared" ref="F30:Q30" si="6">+$C30*F7</f>
        <v>0.16541</v>
      </c>
      <c r="G30" s="33">
        <f t="shared" si="6"/>
        <v>0</v>
      </c>
      <c r="H30" s="33">
        <f t="shared" si="6"/>
        <v>73.101489999999998</v>
      </c>
      <c r="I30" s="33">
        <f t="shared" si="6"/>
        <v>0.60604000000000002</v>
      </c>
      <c r="J30" s="33">
        <f t="shared" si="6"/>
        <v>0</v>
      </c>
      <c r="K30" s="33">
        <f t="shared" si="6"/>
        <v>6.9500000000000006E-2</v>
      </c>
      <c r="L30" s="33">
        <f t="shared" si="6"/>
        <v>0.14455999999999999</v>
      </c>
      <c r="M30" s="33">
        <f t="shared" si="6"/>
        <v>4.8649999999999999E-2</v>
      </c>
      <c r="N30" s="33">
        <f t="shared" si="6"/>
        <v>0</v>
      </c>
      <c r="O30" s="33">
        <f t="shared" si="6"/>
        <v>0</v>
      </c>
      <c r="P30" s="33">
        <f t="shared" si="6"/>
        <v>1.3900000000000001E-2</v>
      </c>
      <c r="Q30" s="33">
        <f t="shared" si="6"/>
        <v>0</v>
      </c>
      <c r="R30" s="33">
        <f t="shared" si="5"/>
        <v>77.178359999999998</v>
      </c>
      <c r="S30" s="33">
        <f t="shared" ref="S30:S36" si="7">+$C30*S7</f>
        <v>0</v>
      </c>
      <c r="T30" s="18"/>
    </row>
    <row r="31" spans="2:20">
      <c r="B31" s="19" t="s">
        <v>107</v>
      </c>
      <c r="C31" s="33">
        <f>+FORMULA!D11</f>
        <v>0</v>
      </c>
      <c r="D31" s="33">
        <f t="shared" si="3"/>
        <v>0</v>
      </c>
      <c r="E31" s="33">
        <f t="shared" ref="E31:Q31" si="8">+$C31*E8</f>
        <v>0</v>
      </c>
      <c r="F31" s="33">
        <f t="shared" si="8"/>
        <v>0</v>
      </c>
      <c r="G31" s="33">
        <f t="shared" si="8"/>
        <v>0</v>
      </c>
      <c r="H31" s="33">
        <f t="shared" si="8"/>
        <v>0</v>
      </c>
      <c r="I31" s="33">
        <f t="shared" si="8"/>
        <v>0</v>
      </c>
      <c r="J31" s="33">
        <f t="shared" si="8"/>
        <v>0</v>
      </c>
      <c r="K31" s="33">
        <f t="shared" si="8"/>
        <v>0</v>
      </c>
      <c r="L31" s="33">
        <f t="shared" si="8"/>
        <v>0</v>
      </c>
      <c r="M31" s="33">
        <f t="shared" si="8"/>
        <v>0</v>
      </c>
      <c r="N31" s="33">
        <f t="shared" si="8"/>
        <v>0</v>
      </c>
      <c r="O31" s="33">
        <f t="shared" si="8"/>
        <v>0</v>
      </c>
      <c r="P31" s="33">
        <f t="shared" si="8"/>
        <v>0</v>
      </c>
      <c r="Q31" s="33">
        <f t="shared" si="8"/>
        <v>0</v>
      </c>
      <c r="R31" s="33">
        <f t="shared" si="5"/>
        <v>0</v>
      </c>
      <c r="S31" s="33">
        <f t="shared" si="7"/>
        <v>0</v>
      </c>
      <c r="T31" s="18"/>
    </row>
    <row r="32" spans="2:20">
      <c r="B32" s="19" t="s">
        <v>108</v>
      </c>
      <c r="C32" s="33">
        <f>+FORMULA!D12</f>
        <v>2</v>
      </c>
      <c r="D32" s="33">
        <f t="shared" si="3"/>
        <v>0</v>
      </c>
      <c r="E32" s="33">
        <f t="shared" ref="E32:Q32" si="9">+$C32*E9</f>
        <v>0</v>
      </c>
      <c r="F32" s="33">
        <f t="shared" si="9"/>
        <v>0</v>
      </c>
      <c r="G32" s="33">
        <f t="shared" si="9"/>
        <v>0</v>
      </c>
      <c r="H32" s="33">
        <f t="shared" si="9"/>
        <v>0</v>
      </c>
      <c r="I32" s="33">
        <f t="shared" si="9"/>
        <v>0</v>
      </c>
      <c r="J32" s="33">
        <f t="shared" si="9"/>
        <v>0</v>
      </c>
      <c r="K32" s="33">
        <f>+$C32*K9</f>
        <v>0.86468160000000005</v>
      </c>
      <c r="L32" s="33">
        <f t="shared" si="9"/>
        <v>0</v>
      </c>
      <c r="M32" s="33">
        <f>+$C32*M9</f>
        <v>1.1157184</v>
      </c>
      <c r="N32" s="33">
        <f t="shared" si="9"/>
        <v>0</v>
      </c>
      <c r="O32" s="33">
        <f t="shared" si="9"/>
        <v>0</v>
      </c>
      <c r="P32" s="33">
        <f t="shared" si="9"/>
        <v>0</v>
      </c>
      <c r="Q32" s="33">
        <f t="shared" si="9"/>
        <v>0</v>
      </c>
      <c r="R32" s="33">
        <f t="shared" si="5"/>
        <v>1.9803999999999999</v>
      </c>
      <c r="S32" s="33">
        <f t="shared" si="7"/>
        <v>1.34</v>
      </c>
      <c r="T32" s="18"/>
    </row>
    <row r="33" spans="2:20">
      <c r="B33" s="19" t="s">
        <v>109</v>
      </c>
      <c r="C33" s="33">
        <f>+FORMULA!D13</f>
        <v>1.6500000000000001</v>
      </c>
      <c r="D33" s="33">
        <f t="shared" si="3"/>
        <v>0</v>
      </c>
      <c r="E33" s="33">
        <f t="shared" ref="E33:Q33" si="10">+$C33*E10</f>
        <v>0</v>
      </c>
      <c r="F33" s="33">
        <f t="shared" si="10"/>
        <v>0</v>
      </c>
      <c r="G33" s="33">
        <f t="shared" si="10"/>
        <v>0</v>
      </c>
      <c r="H33" s="33">
        <f t="shared" si="10"/>
        <v>0</v>
      </c>
      <c r="I33" s="33">
        <f t="shared" si="10"/>
        <v>0</v>
      </c>
      <c r="J33" s="33">
        <f t="shared" si="10"/>
        <v>0</v>
      </c>
      <c r="K33" s="33">
        <f t="shared" si="10"/>
        <v>0</v>
      </c>
      <c r="L33" s="33">
        <f t="shared" si="10"/>
        <v>0</v>
      </c>
      <c r="M33" s="33">
        <f t="shared" si="10"/>
        <v>0</v>
      </c>
      <c r="N33" s="33">
        <f t="shared" si="10"/>
        <v>0</v>
      </c>
      <c r="O33" s="33">
        <f t="shared" si="10"/>
        <v>1.5840000000000001</v>
      </c>
      <c r="P33" s="33">
        <f t="shared" si="10"/>
        <v>0</v>
      </c>
      <c r="Q33" s="33">
        <f t="shared" si="10"/>
        <v>0</v>
      </c>
      <c r="R33" s="33">
        <f t="shared" si="5"/>
        <v>1.5840000000000001</v>
      </c>
      <c r="S33" s="33">
        <f t="shared" si="7"/>
        <v>-11.055000000000001</v>
      </c>
      <c r="T33" s="18"/>
    </row>
    <row r="34" spans="2:20">
      <c r="B34" s="19" t="s">
        <v>110</v>
      </c>
      <c r="C34" s="33">
        <f>+FORMULA!D14</f>
        <v>1.4000000000000001</v>
      </c>
      <c r="D34" s="33">
        <f t="shared" si="3"/>
        <v>0</v>
      </c>
      <c r="E34" s="33">
        <f t="shared" ref="E34:Q34" si="11">+$C34*E11</f>
        <v>0</v>
      </c>
      <c r="F34" s="33">
        <f t="shared" si="11"/>
        <v>1.3720000000000001</v>
      </c>
      <c r="G34" s="33">
        <f t="shared" si="11"/>
        <v>0</v>
      </c>
      <c r="H34" s="33">
        <f t="shared" si="11"/>
        <v>0</v>
      </c>
      <c r="I34" s="33">
        <f t="shared" si="11"/>
        <v>0</v>
      </c>
      <c r="J34" s="33">
        <f t="shared" si="11"/>
        <v>0</v>
      </c>
      <c r="K34" s="33">
        <f t="shared" si="11"/>
        <v>0</v>
      </c>
      <c r="L34" s="33">
        <f t="shared" si="11"/>
        <v>0</v>
      </c>
      <c r="M34" s="33">
        <f t="shared" si="11"/>
        <v>0</v>
      </c>
      <c r="N34" s="33">
        <f t="shared" si="11"/>
        <v>0</v>
      </c>
      <c r="O34" s="33">
        <f t="shared" si="11"/>
        <v>0</v>
      </c>
      <c r="P34" s="33">
        <f t="shared" si="11"/>
        <v>0</v>
      </c>
      <c r="Q34" s="33">
        <f t="shared" si="11"/>
        <v>0</v>
      </c>
      <c r="R34" s="33">
        <f t="shared" si="5"/>
        <v>1.3720000000000001</v>
      </c>
      <c r="S34" s="33">
        <f t="shared" si="7"/>
        <v>0.35000000000000003</v>
      </c>
      <c r="T34" s="18"/>
    </row>
    <row r="35" spans="2:20">
      <c r="B35" s="19" t="s">
        <v>111</v>
      </c>
      <c r="C35" s="33">
        <f>+FORMULA!D15</f>
        <v>0</v>
      </c>
      <c r="D35" s="33">
        <f t="shared" si="3"/>
        <v>0</v>
      </c>
      <c r="E35" s="33">
        <f t="shared" ref="E35:Q35" si="12">+$C35*E12</f>
        <v>0</v>
      </c>
      <c r="F35" s="33">
        <f t="shared" si="12"/>
        <v>0</v>
      </c>
      <c r="G35" s="33">
        <f t="shared" si="12"/>
        <v>0</v>
      </c>
      <c r="H35" s="33">
        <f t="shared" si="12"/>
        <v>0</v>
      </c>
      <c r="I35" s="33">
        <f t="shared" si="12"/>
        <v>0</v>
      </c>
      <c r="J35" s="33">
        <f t="shared" si="12"/>
        <v>0</v>
      </c>
      <c r="K35" s="33">
        <f t="shared" si="12"/>
        <v>0</v>
      </c>
      <c r="L35" s="33">
        <f t="shared" si="12"/>
        <v>0</v>
      </c>
      <c r="M35" s="33">
        <f t="shared" si="12"/>
        <v>0</v>
      </c>
      <c r="N35" s="33">
        <f t="shared" si="12"/>
        <v>0</v>
      </c>
      <c r="O35" s="33">
        <f t="shared" si="12"/>
        <v>0</v>
      </c>
      <c r="P35" s="33">
        <f t="shared" si="12"/>
        <v>0</v>
      </c>
      <c r="Q35" s="33">
        <f t="shared" si="12"/>
        <v>0</v>
      </c>
      <c r="R35" s="33">
        <f t="shared" si="5"/>
        <v>0</v>
      </c>
      <c r="S35" s="33">
        <f t="shared" si="7"/>
        <v>0</v>
      </c>
      <c r="T35" s="18"/>
    </row>
    <row r="36" spans="2:20">
      <c r="B36" s="19" t="s">
        <v>112</v>
      </c>
      <c r="C36" s="33">
        <f>+FORMULA!D16</f>
        <v>0</v>
      </c>
      <c r="D36" s="33">
        <f t="shared" si="3"/>
        <v>0</v>
      </c>
      <c r="E36" s="33">
        <f t="shared" ref="E36:Q36" si="13">+$C36*E13</f>
        <v>0</v>
      </c>
      <c r="F36" s="33">
        <f t="shared" si="13"/>
        <v>0</v>
      </c>
      <c r="G36" s="33">
        <f t="shared" si="13"/>
        <v>0</v>
      </c>
      <c r="H36" s="33">
        <f t="shared" si="13"/>
        <v>0</v>
      </c>
      <c r="I36" s="33">
        <f t="shared" si="13"/>
        <v>0</v>
      </c>
      <c r="J36" s="33">
        <f t="shared" si="13"/>
        <v>0</v>
      </c>
      <c r="K36" s="33">
        <f t="shared" si="13"/>
        <v>0</v>
      </c>
      <c r="L36" s="33">
        <f t="shared" si="13"/>
        <v>0</v>
      </c>
      <c r="M36" s="33">
        <f t="shared" si="13"/>
        <v>0</v>
      </c>
      <c r="N36" s="33">
        <f t="shared" si="13"/>
        <v>0</v>
      </c>
      <c r="O36" s="33">
        <f t="shared" si="13"/>
        <v>0</v>
      </c>
      <c r="P36" s="33">
        <f t="shared" si="13"/>
        <v>0</v>
      </c>
      <c r="Q36" s="33">
        <f t="shared" si="13"/>
        <v>0</v>
      </c>
      <c r="R36" s="33">
        <f t="shared" si="5"/>
        <v>0</v>
      </c>
      <c r="S36" s="33">
        <f t="shared" si="7"/>
        <v>0</v>
      </c>
      <c r="T36" s="18"/>
    </row>
    <row r="37" spans="2:20">
      <c r="B37" s="19" t="s">
        <v>128</v>
      </c>
      <c r="C37" s="34">
        <f>+FORMULA!D30</f>
        <v>0</v>
      </c>
      <c r="D37" s="33">
        <f t="shared" si="3"/>
        <v>0</v>
      </c>
      <c r="E37" s="33">
        <f t="shared" ref="E37:S38" si="14">+$C37*E14</f>
        <v>0</v>
      </c>
      <c r="F37" s="33">
        <f t="shared" si="14"/>
        <v>0</v>
      </c>
      <c r="G37" s="33">
        <f t="shared" si="14"/>
        <v>0</v>
      </c>
      <c r="H37" s="33">
        <f t="shared" si="14"/>
        <v>0</v>
      </c>
      <c r="I37" s="33">
        <f t="shared" si="14"/>
        <v>0</v>
      </c>
      <c r="J37" s="33">
        <f t="shared" si="14"/>
        <v>0</v>
      </c>
      <c r="K37" s="33">
        <f t="shared" si="14"/>
        <v>0</v>
      </c>
      <c r="L37" s="33">
        <f t="shared" si="14"/>
        <v>0</v>
      </c>
      <c r="M37" s="33">
        <f t="shared" si="14"/>
        <v>0</v>
      </c>
      <c r="N37" s="33">
        <f t="shared" si="14"/>
        <v>0</v>
      </c>
      <c r="O37" s="33">
        <f t="shared" si="14"/>
        <v>0</v>
      </c>
      <c r="P37" s="33">
        <f t="shared" si="14"/>
        <v>0</v>
      </c>
      <c r="Q37" s="33">
        <f t="shared" si="14"/>
        <v>0</v>
      </c>
      <c r="R37" s="33">
        <f t="shared" si="5"/>
        <v>0</v>
      </c>
      <c r="S37" s="33">
        <f t="shared" si="14"/>
        <v>0</v>
      </c>
      <c r="T37" s="18"/>
    </row>
    <row r="38" spans="2:20">
      <c r="B38" s="30" t="s">
        <v>129</v>
      </c>
      <c r="C38" s="34">
        <f>+FORMULA!D31</f>
        <v>0</v>
      </c>
      <c r="D38" s="33">
        <f>+$C38*D15</f>
        <v>0</v>
      </c>
      <c r="E38" s="33">
        <f>+$C38*E15</f>
        <v>0</v>
      </c>
      <c r="F38" s="33">
        <f t="shared" si="14"/>
        <v>0</v>
      </c>
      <c r="G38" s="33">
        <f t="shared" si="14"/>
        <v>0</v>
      </c>
      <c r="H38" s="33">
        <f t="shared" si="14"/>
        <v>0</v>
      </c>
      <c r="I38" s="33">
        <f t="shared" si="14"/>
        <v>0</v>
      </c>
      <c r="J38" s="33">
        <f t="shared" si="14"/>
        <v>0</v>
      </c>
      <c r="K38" s="33">
        <f t="shared" si="14"/>
        <v>0</v>
      </c>
      <c r="L38" s="33">
        <f t="shared" si="14"/>
        <v>0</v>
      </c>
      <c r="M38" s="33">
        <f t="shared" si="14"/>
        <v>0</v>
      </c>
      <c r="N38" s="33">
        <f t="shared" si="14"/>
        <v>0</v>
      </c>
      <c r="O38" s="33">
        <f t="shared" si="14"/>
        <v>0</v>
      </c>
      <c r="P38" s="33">
        <f t="shared" si="14"/>
        <v>0</v>
      </c>
      <c r="Q38" s="33">
        <f t="shared" si="14"/>
        <v>0</v>
      </c>
      <c r="R38" s="33">
        <f>+SUM(D38:Q38)</f>
        <v>0</v>
      </c>
      <c r="S38" s="33">
        <f t="shared" ref="S38:S46" si="15">+$C38*S15</f>
        <v>0</v>
      </c>
      <c r="T38" s="18"/>
    </row>
    <row r="39" spans="2:20">
      <c r="B39" s="19" t="s">
        <v>186</v>
      </c>
      <c r="C39" s="34">
        <f>+FORMULA!D32</f>
        <v>0</v>
      </c>
      <c r="D39" s="33">
        <f t="shared" si="3"/>
        <v>0</v>
      </c>
      <c r="E39" s="33">
        <f t="shared" ref="E39:Q39" si="16">+$C39*E16</f>
        <v>0</v>
      </c>
      <c r="F39" s="33">
        <f t="shared" si="16"/>
        <v>0</v>
      </c>
      <c r="G39" s="33">
        <f t="shared" si="16"/>
        <v>0</v>
      </c>
      <c r="H39" s="33">
        <f t="shared" si="16"/>
        <v>0</v>
      </c>
      <c r="I39" s="33">
        <f t="shared" si="16"/>
        <v>0</v>
      </c>
      <c r="J39" s="33">
        <f t="shared" si="16"/>
        <v>0</v>
      </c>
      <c r="K39" s="33">
        <f t="shared" si="16"/>
        <v>0</v>
      </c>
      <c r="L39" s="33">
        <f t="shared" si="16"/>
        <v>0</v>
      </c>
      <c r="M39" s="33">
        <f t="shared" si="16"/>
        <v>0</v>
      </c>
      <c r="N39" s="33">
        <f t="shared" si="16"/>
        <v>0</v>
      </c>
      <c r="O39" s="33">
        <f t="shared" si="16"/>
        <v>0</v>
      </c>
      <c r="P39" s="33">
        <f t="shared" si="16"/>
        <v>0</v>
      </c>
      <c r="Q39" s="33">
        <f t="shared" si="16"/>
        <v>0</v>
      </c>
      <c r="R39" s="33">
        <f>+SUM(D39:Q39)</f>
        <v>0</v>
      </c>
      <c r="S39" s="33">
        <f t="shared" si="15"/>
        <v>0</v>
      </c>
      <c r="T39" s="18"/>
    </row>
    <row r="40" spans="2:20">
      <c r="B40" s="19" t="s">
        <v>131</v>
      </c>
      <c r="C40" s="34">
        <f>+FORMULA!D33</f>
        <v>321.2440499999999</v>
      </c>
      <c r="D40" s="33">
        <f t="shared" si="3"/>
        <v>230.98089683099994</v>
      </c>
      <c r="E40" s="33">
        <f t="shared" ref="E40:Q40" si="17">+$C40*E17</f>
        <v>6.4730676074999982</v>
      </c>
      <c r="F40" s="33">
        <f t="shared" si="17"/>
        <v>1.3813494149999996</v>
      </c>
      <c r="G40" s="33">
        <f t="shared" si="17"/>
        <v>5.1399047999999989E-2</v>
      </c>
      <c r="H40" s="33">
        <f t="shared" si="17"/>
        <v>35.487830203499989</v>
      </c>
      <c r="I40" s="33">
        <f t="shared" si="17"/>
        <v>1.4038364984999996</v>
      </c>
      <c r="J40" s="33">
        <f t="shared" si="17"/>
        <v>0</v>
      </c>
      <c r="K40" s="33">
        <f t="shared" si="17"/>
        <v>43.660278835499987</v>
      </c>
      <c r="L40" s="33">
        <f t="shared" si="17"/>
        <v>1.0793800079999998</v>
      </c>
      <c r="M40" s="33">
        <f t="shared" si="17"/>
        <v>9.6373214999999957E-2</v>
      </c>
      <c r="N40" s="33">
        <f t="shared" si="17"/>
        <v>0</v>
      </c>
      <c r="O40" s="33">
        <f t="shared" si="17"/>
        <v>0</v>
      </c>
      <c r="P40" s="33">
        <f t="shared" si="17"/>
        <v>0.62321345699999986</v>
      </c>
      <c r="Q40" s="33">
        <f t="shared" si="17"/>
        <v>0</v>
      </c>
      <c r="R40" s="33">
        <f t="shared" si="5"/>
        <v>321.23762511899997</v>
      </c>
      <c r="S40" s="33">
        <f t="shared" si="15"/>
        <v>-2.8911964499999989</v>
      </c>
      <c r="T40" s="18"/>
    </row>
    <row r="41" spans="2:20">
      <c r="B41" s="19" t="s">
        <v>132</v>
      </c>
      <c r="C41" s="34">
        <f>+FORMULA!D34</f>
        <v>0</v>
      </c>
      <c r="D41" s="33">
        <f t="shared" si="3"/>
        <v>0</v>
      </c>
      <c r="E41" s="33">
        <f t="shared" ref="E41:Q41" si="18">+$C41*E18</f>
        <v>0</v>
      </c>
      <c r="F41" s="33">
        <f t="shared" si="18"/>
        <v>0</v>
      </c>
      <c r="G41" s="33">
        <f t="shared" si="18"/>
        <v>0</v>
      </c>
      <c r="H41" s="33">
        <f t="shared" si="18"/>
        <v>0</v>
      </c>
      <c r="I41" s="33">
        <f t="shared" si="18"/>
        <v>0</v>
      </c>
      <c r="J41" s="33">
        <f t="shared" si="18"/>
        <v>0</v>
      </c>
      <c r="K41" s="33">
        <f t="shared" si="18"/>
        <v>0</v>
      </c>
      <c r="L41" s="33">
        <f t="shared" si="18"/>
        <v>0</v>
      </c>
      <c r="M41" s="33">
        <f t="shared" si="18"/>
        <v>0</v>
      </c>
      <c r="N41" s="33">
        <f t="shared" si="18"/>
        <v>0</v>
      </c>
      <c r="O41" s="33">
        <f t="shared" si="18"/>
        <v>0</v>
      </c>
      <c r="P41" s="33">
        <f t="shared" si="18"/>
        <v>0</v>
      </c>
      <c r="Q41" s="33">
        <f t="shared" si="18"/>
        <v>0</v>
      </c>
      <c r="R41" s="33">
        <f t="shared" si="5"/>
        <v>0</v>
      </c>
      <c r="S41" s="33">
        <f t="shared" si="15"/>
        <v>0</v>
      </c>
      <c r="T41" s="18"/>
    </row>
    <row r="42" spans="2:20">
      <c r="B42" s="19" t="s">
        <v>133</v>
      </c>
      <c r="C42" s="34">
        <f>+FORMULA!D35</f>
        <v>642.4880999999998</v>
      </c>
      <c r="D42" s="33">
        <f t="shared" si="3"/>
        <v>463.43309141099985</v>
      </c>
      <c r="E42" s="33">
        <f t="shared" ref="E42:Q42" si="19">+$C42*E19</f>
        <v>11.963128421999997</v>
      </c>
      <c r="F42" s="33">
        <f t="shared" si="19"/>
        <v>2.7562739489999992</v>
      </c>
      <c r="G42" s="33">
        <f t="shared" si="19"/>
        <v>0.2634201209999999</v>
      </c>
      <c r="H42" s="33">
        <f t="shared" si="19"/>
        <v>66.034926917999982</v>
      </c>
      <c r="I42" s="33">
        <f t="shared" si="19"/>
        <v>5.814517304999999</v>
      </c>
      <c r="J42" s="33">
        <f t="shared" si="19"/>
        <v>0</v>
      </c>
      <c r="K42" s="33">
        <f t="shared" si="19"/>
        <v>87.307707908999987</v>
      </c>
      <c r="L42" s="33">
        <f t="shared" si="19"/>
        <v>3.8806281239999989</v>
      </c>
      <c r="M42" s="33">
        <f t="shared" si="19"/>
        <v>0.2634201209999999</v>
      </c>
      <c r="N42" s="33">
        <f t="shared" si="19"/>
        <v>0</v>
      </c>
      <c r="O42" s="33">
        <f t="shared" si="19"/>
        <v>0</v>
      </c>
      <c r="P42" s="33">
        <f t="shared" si="19"/>
        <v>0.76456083899999983</v>
      </c>
      <c r="Q42" s="33">
        <f t="shared" si="19"/>
        <v>0</v>
      </c>
      <c r="R42" s="33">
        <f t="shared" si="5"/>
        <v>642.48167511899976</v>
      </c>
      <c r="S42" s="33">
        <f t="shared" si="15"/>
        <v>-5.7823928999999978</v>
      </c>
      <c r="T42" s="18"/>
    </row>
    <row r="43" spans="2:20">
      <c r="B43" s="19" t="s">
        <v>134</v>
      </c>
      <c r="C43" s="34">
        <f>+FORMULA!D36</f>
        <v>0</v>
      </c>
      <c r="D43" s="33">
        <f t="shared" si="3"/>
        <v>0</v>
      </c>
      <c r="E43" s="33">
        <f t="shared" ref="E43:Q43" si="20">+$C43*E20</f>
        <v>0</v>
      </c>
      <c r="F43" s="33">
        <f t="shared" si="20"/>
        <v>0</v>
      </c>
      <c r="G43" s="33">
        <f t="shared" si="20"/>
        <v>0</v>
      </c>
      <c r="H43" s="33">
        <f t="shared" si="20"/>
        <v>0</v>
      </c>
      <c r="I43" s="33">
        <f t="shared" si="20"/>
        <v>0</v>
      </c>
      <c r="J43" s="33">
        <f t="shared" si="20"/>
        <v>0</v>
      </c>
      <c r="K43" s="33">
        <f t="shared" si="20"/>
        <v>0</v>
      </c>
      <c r="L43" s="33">
        <f t="shared" si="20"/>
        <v>0</v>
      </c>
      <c r="M43" s="33">
        <f t="shared" si="20"/>
        <v>0</v>
      </c>
      <c r="N43" s="33">
        <f t="shared" si="20"/>
        <v>0</v>
      </c>
      <c r="O43" s="33">
        <f t="shared" si="20"/>
        <v>0</v>
      </c>
      <c r="P43" s="33">
        <f t="shared" si="20"/>
        <v>0</v>
      </c>
      <c r="Q43" s="33">
        <f t="shared" si="20"/>
        <v>0</v>
      </c>
      <c r="R43" s="33">
        <f t="shared" si="5"/>
        <v>0</v>
      </c>
      <c r="S43" s="33">
        <f t="shared" si="15"/>
        <v>0</v>
      </c>
      <c r="T43" s="18"/>
    </row>
    <row r="44" spans="2:20">
      <c r="B44" s="19" t="s">
        <v>135</v>
      </c>
      <c r="C44" s="34">
        <f>+FORMULA!D37</f>
        <v>0</v>
      </c>
      <c r="D44" s="33">
        <f t="shared" si="3"/>
        <v>0</v>
      </c>
      <c r="E44" s="33">
        <f t="shared" ref="E44:Q44" si="21">+$C44*E21</f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5"/>
        <v>0</v>
      </c>
      <c r="S44" s="33">
        <f t="shared" si="15"/>
        <v>0</v>
      </c>
      <c r="T44" s="18"/>
    </row>
    <row r="45" spans="2:20">
      <c r="B45" s="19" t="s">
        <v>136</v>
      </c>
      <c r="C45" s="34">
        <f>+FORMULA!D38</f>
        <v>0</v>
      </c>
      <c r="D45" s="33">
        <f t="shared" si="3"/>
        <v>0</v>
      </c>
      <c r="E45" s="33">
        <f t="shared" ref="E45:Q45" si="22">+$C45*E22</f>
        <v>0</v>
      </c>
      <c r="F45" s="33">
        <f t="shared" si="22"/>
        <v>0</v>
      </c>
      <c r="G45" s="33">
        <f t="shared" si="22"/>
        <v>0</v>
      </c>
      <c r="H45" s="33">
        <f t="shared" si="22"/>
        <v>0</v>
      </c>
      <c r="I45" s="33">
        <f t="shared" si="22"/>
        <v>0</v>
      </c>
      <c r="J45" s="33">
        <f t="shared" si="22"/>
        <v>0</v>
      </c>
      <c r="K45" s="33">
        <f t="shared" si="22"/>
        <v>0</v>
      </c>
      <c r="L45" s="33">
        <f t="shared" si="22"/>
        <v>0</v>
      </c>
      <c r="M45" s="33">
        <f t="shared" si="22"/>
        <v>0</v>
      </c>
      <c r="N45" s="33">
        <f t="shared" si="22"/>
        <v>0</v>
      </c>
      <c r="O45" s="33">
        <f t="shared" si="22"/>
        <v>0</v>
      </c>
      <c r="P45" s="33">
        <f t="shared" si="22"/>
        <v>0</v>
      </c>
      <c r="Q45" s="33">
        <f t="shared" si="22"/>
        <v>0</v>
      </c>
      <c r="R45" s="33">
        <f t="shared" si="5"/>
        <v>0</v>
      </c>
      <c r="S45" s="33">
        <f t="shared" si="15"/>
        <v>0</v>
      </c>
      <c r="T45" s="18"/>
    </row>
    <row r="46" spans="2:20">
      <c r="B46" s="19" t="s">
        <v>137</v>
      </c>
      <c r="C46" s="34">
        <f>+FORMULA!D39</f>
        <v>0</v>
      </c>
      <c r="D46" s="33">
        <f t="shared" si="3"/>
        <v>0</v>
      </c>
      <c r="E46" s="33">
        <f t="shared" ref="E46:Q46" si="23">+$C46*E23</f>
        <v>0</v>
      </c>
      <c r="F46" s="33">
        <f t="shared" si="23"/>
        <v>0</v>
      </c>
      <c r="G46" s="33">
        <f t="shared" si="23"/>
        <v>0</v>
      </c>
      <c r="H46" s="33">
        <f t="shared" si="23"/>
        <v>0</v>
      </c>
      <c r="I46" s="33">
        <f t="shared" si="23"/>
        <v>0</v>
      </c>
      <c r="J46" s="33">
        <f t="shared" si="23"/>
        <v>0</v>
      </c>
      <c r="K46" s="33">
        <f t="shared" si="23"/>
        <v>0</v>
      </c>
      <c r="L46" s="33">
        <f t="shared" si="23"/>
        <v>0</v>
      </c>
      <c r="M46" s="33">
        <f t="shared" si="23"/>
        <v>0</v>
      </c>
      <c r="N46" s="33">
        <f t="shared" si="23"/>
        <v>0</v>
      </c>
      <c r="O46" s="33">
        <f t="shared" si="23"/>
        <v>0</v>
      </c>
      <c r="P46" s="33">
        <f t="shared" si="23"/>
        <v>0</v>
      </c>
      <c r="Q46" s="33">
        <f t="shared" si="23"/>
        <v>0</v>
      </c>
      <c r="R46" s="33">
        <f t="shared" si="5"/>
        <v>0</v>
      </c>
      <c r="S46" s="33">
        <f t="shared" si="15"/>
        <v>0</v>
      </c>
      <c r="T46" s="18"/>
    </row>
    <row r="47" spans="2:20">
      <c r="B47" s="17"/>
      <c r="T47" s="18"/>
    </row>
    <row r="48" spans="2:20" ht="15" thickBot="1">
      <c r="B48" s="20" t="s">
        <v>292</v>
      </c>
      <c r="C48" s="33">
        <f>+SUM(C28:C46)</f>
        <v>1726.7821499999998</v>
      </c>
      <c r="D48" s="33">
        <f t="shared" ref="D48:S48" si="24">+SUM(D28:D46)</f>
        <v>1142.7647982419999</v>
      </c>
      <c r="E48" s="33">
        <f t="shared" si="24"/>
        <v>30.326596029499996</v>
      </c>
      <c r="F48" s="33">
        <f t="shared" si="24"/>
        <v>6.7330333639999989</v>
      </c>
      <c r="G48" s="33">
        <f t="shared" si="24"/>
        <v>0.3148191689999999</v>
      </c>
      <c r="H48" s="33">
        <f t="shared" si="24"/>
        <v>174.62424712149999</v>
      </c>
      <c r="I48" s="33">
        <f t="shared" si="24"/>
        <v>7.8979938034999986</v>
      </c>
      <c r="J48" s="33">
        <f t="shared" si="24"/>
        <v>0</v>
      </c>
      <c r="K48" s="33">
        <f t="shared" si="24"/>
        <v>224.66316834449998</v>
      </c>
      <c r="L48" s="33">
        <f t="shared" si="24"/>
        <v>5.5277681319999985</v>
      </c>
      <c r="M48" s="33">
        <f t="shared" si="24"/>
        <v>1.5241617359999999</v>
      </c>
      <c r="N48" s="33">
        <f t="shared" si="24"/>
        <v>0</v>
      </c>
      <c r="O48" s="33">
        <f t="shared" si="24"/>
        <v>1.5840000000000001</v>
      </c>
      <c r="P48" s="33">
        <f t="shared" si="24"/>
        <v>2.6252742959999997</v>
      </c>
      <c r="Q48" s="33">
        <f t="shared" si="24"/>
        <v>0</v>
      </c>
      <c r="R48" s="33">
        <f>+SUM(R28:R46)</f>
        <v>1598.5858602379997</v>
      </c>
      <c r="S48" s="55">
        <f t="shared" si="24"/>
        <v>-21.258589350000001</v>
      </c>
      <c r="T48" s="18"/>
    </row>
    <row r="49" spans="2:20" ht="15.95" thickBot="1">
      <c r="B49" s="71" t="s">
        <v>293</v>
      </c>
      <c r="C49" s="33">
        <f>+SUM(C28:C36)</f>
        <v>763.05</v>
      </c>
      <c r="S49" s="56">
        <f>+S48*2000/D48</f>
        <v>-37.205537627171701</v>
      </c>
      <c r="T49" s="18"/>
    </row>
    <row r="50" spans="2:20" ht="15" thickTop="1">
      <c r="B50" s="24"/>
      <c r="C50" s="62"/>
      <c r="D50" s="25" t="s">
        <v>275</v>
      </c>
      <c r="E50" s="25" t="s">
        <v>276</v>
      </c>
      <c r="F50" s="25" t="s">
        <v>277</v>
      </c>
      <c r="G50" s="25" t="s">
        <v>278</v>
      </c>
      <c r="H50" s="25" t="s">
        <v>279</v>
      </c>
      <c r="I50" s="25" t="s">
        <v>280</v>
      </c>
      <c r="J50" s="25" t="s">
        <v>281</v>
      </c>
      <c r="K50" s="25" t="s">
        <v>282</v>
      </c>
      <c r="L50" s="25" t="s">
        <v>283</v>
      </c>
      <c r="M50" s="25" t="s">
        <v>284</v>
      </c>
      <c r="N50" s="25" t="s">
        <v>285</v>
      </c>
      <c r="O50" s="25" t="s">
        <v>286</v>
      </c>
      <c r="P50" s="26" t="s">
        <v>287</v>
      </c>
      <c r="T50" s="18"/>
    </row>
    <row r="51" spans="2:20" ht="15.95" thickBot="1">
      <c r="B51" s="72" t="s">
        <v>294</v>
      </c>
      <c r="C51" s="32">
        <f>+SUM(D51:P51)</f>
        <v>1.0000000000000002</v>
      </c>
      <c r="D51" s="27">
        <f>+D48/$R$48</f>
        <v>0.71485981870993376</v>
      </c>
      <c r="E51" s="27">
        <f>+E48/$R$48</f>
        <v>1.8970889699340222E-2</v>
      </c>
      <c r="F51" s="27">
        <f t="shared" ref="F51:P51" si="25">+F48/$R$48</f>
        <v>4.2118684591627596E-3</v>
      </c>
      <c r="G51" s="27">
        <f t="shared" si="25"/>
        <v>1.9693604005300609E-4</v>
      </c>
      <c r="H51" s="27">
        <f t="shared" si="25"/>
        <v>0.10923670192822905</v>
      </c>
      <c r="I51" s="27">
        <f t="shared" si="25"/>
        <v>4.940612825340601E-3</v>
      </c>
      <c r="J51" s="27">
        <f t="shared" si="25"/>
        <v>0</v>
      </c>
      <c r="K51" s="27">
        <f t="shared" si="25"/>
        <v>0.14053869356197848</v>
      </c>
      <c r="L51" s="27">
        <f t="shared" si="25"/>
        <v>3.4579113136763368E-3</v>
      </c>
      <c r="M51" s="27">
        <f t="shared" si="25"/>
        <v>9.5344377421997253E-4</v>
      </c>
      <c r="N51" s="27">
        <f t="shared" si="25"/>
        <v>0</v>
      </c>
      <c r="O51" s="27">
        <f t="shared" si="25"/>
        <v>9.9087577301864281E-4</v>
      </c>
      <c r="P51" s="28">
        <f t="shared" si="25"/>
        <v>1.6422479150473314E-3</v>
      </c>
      <c r="T51" s="18"/>
    </row>
    <row r="52" spans="2:20" ht="15.6" thickTop="1" thickBot="1">
      <c r="B52" s="21" t="s">
        <v>295</v>
      </c>
      <c r="C52" s="22">
        <f>+SUM(C28:C35)-SUM(C28:C35)*0.158</f>
        <v>642.48809999999992</v>
      </c>
      <c r="D52" s="22"/>
      <c r="E52" s="22"/>
      <c r="F52" s="22"/>
      <c r="G52" s="22"/>
      <c r="H52" s="22"/>
      <c r="I52" s="22"/>
      <c r="J52" s="22"/>
      <c r="K52" s="22"/>
      <c r="L52" s="22"/>
      <c r="M52" s="22">
        <f>+(SUM(M28:M36)/C52*1000000)</f>
        <v>1812.2801029310897</v>
      </c>
      <c r="N52" s="138">
        <f>+M32/O33</f>
        <v>0.70436767676767675</v>
      </c>
      <c r="O52" s="22">
        <f>+O33/C52*1000000</f>
        <v>2465.4153127505401</v>
      </c>
      <c r="P52" s="166">
        <f>+(SUM(M28:M36)/C49*1000000)</f>
        <v>1525.9398466679772</v>
      </c>
      <c r="Q52" s="22"/>
      <c r="R52" s="22"/>
      <c r="S52" s="22"/>
      <c r="T52" s="23"/>
    </row>
    <row r="53" spans="2:20" ht="15" thickBot="1">
      <c r="N53">
        <f>+O33/M32</f>
        <v>1.4197130745535791</v>
      </c>
    </row>
    <row r="54" spans="2:20">
      <c r="B54" s="49" t="s">
        <v>296</v>
      </c>
      <c r="C54" s="58"/>
      <c r="D54" s="54">
        <v>0.72389999999999999</v>
      </c>
      <c r="E54" s="54">
        <v>1.83E-2</v>
      </c>
      <c r="F54" s="54">
        <v>4.8999999999999998E-4</v>
      </c>
      <c r="G54" s="58"/>
      <c r="H54" s="54">
        <v>0.1113</v>
      </c>
      <c r="I54" s="54">
        <v>7.6E-3</v>
      </c>
      <c r="J54" s="54">
        <v>0</v>
      </c>
      <c r="K54" s="54">
        <v>0.13350000000000001</v>
      </c>
      <c r="L54" s="54">
        <v>2.8999999999999998E-3</v>
      </c>
      <c r="M54" s="58"/>
      <c r="N54" s="58"/>
      <c r="O54" s="58"/>
      <c r="P54" s="58"/>
      <c r="Q54" s="58"/>
      <c r="R54" s="58"/>
      <c r="S54" s="58"/>
      <c r="T54" s="59"/>
    </row>
    <row r="55" spans="2:20" ht="15" thickBot="1">
      <c r="B55" s="50" t="s">
        <v>297</v>
      </c>
      <c r="C55" s="60"/>
      <c r="D55" s="53">
        <f>+(D51-D54)*100</f>
        <v>-0.90401812900662293</v>
      </c>
      <c r="E55" s="53">
        <f t="shared" ref="E55:L55" si="26">+(E51-E54)*100</f>
        <v>6.7088969934022205E-2</v>
      </c>
      <c r="F55" s="53">
        <f t="shared" si="26"/>
        <v>0.37218684591627593</v>
      </c>
      <c r="G55" s="60"/>
      <c r="H55" s="53">
        <f t="shared" si="26"/>
        <v>-0.20632980717709415</v>
      </c>
      <c r="I55" s="53">
        <f t="shared" si="26"/>
        <v>-0.26593871746593989</v>
      </c>
      <c r="J55" s="53">
        <f t="shared" si="26"/>
        <v>0</v>
      </c>
      <c r="K55" s="53">
        <f t="shared" si="26"/>
        <v>0.70386935619784763</v>
      </c>
      <c r="L55" s="53">
        <f t="shared" si="26"/>
        <v>5.5791131367633695E-2</v>
      </c>
      <c r="M55" s="60"/>
      <c r="N55" s="60"/>
      <c r="O55" s="60"/>
      <c r="P55" s="60"/>
      <c r="Q55" s="60"/>
      <c r="R55" s="60"/>
      <c r="S55" s="60"/>
      <c r="T55" s="61"/>
    </row>
    <row r="57" spans="2:20" ht="15" thickBot="1"/>
    <row r="58" spans="2:20" ht="15" thickBot="1">
      <c r="B58" s="14"/>
      <c r="C58" s="46"/>
      <c r="D58" s="46"/>
      <c r="E58" s="46"/>
      <c r="F58" s="46"/>
      <c r="G58" s="48" t="s">
        <v>298</v>
      </c>
      <c r="H58" s="48"/>
      <c r="I58" s="40"/>
      <c r="J58" s="47"/>
      <c r="K58" s="46"/>
      <c r="L58" s="46"/>
      <c r="M58" s="46"/>
      <c r="N58" s="46"/>
      <c r="O58" s="46"/>
      <c r="P58" s="46"/>
      <c r="Q58" s="15"/>
      <c r="R58" s="15"/>
      <c r="S58" s="15"/>
      <c r="T58" s="16"/>
    </row>
    <row r="59" spans="2:20">
      <c r="B59" s="17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41" t="s">
        <v>299</v>
      </c>
      <c r="R59" s="42" t="s">
        <v>300</v>
      </c>
      <c r="T59" s="18"/>
    </row>
    <row r="60" spans="2:20" ht="15.6">
      <c r="B60" s="19" t="s">
        <v>301</v>
      </c>
      <c r="C60" s="57"/>
      <c r="D60" s="33">
        <f>+D61*D55</f>
        <v>2.1696435096158948E-3</v>
      </c>
      <c r="E60" s="33">
        <f>+E61*E55</f>
        <v>1.2076014588123997E-4</v>
      </c>
      <c r="F60" s="33">
        <f>+F61*F55</f>
        <v>4.0568366204874074E-3</v>
      </c>
      <c r="G60" s="57"/>
      <c r="H60" s="33">
        <f>+H61*H55</f>
        <v>-2.1870959560771979E-3</v>
      </c>
      <c r="I60" s="33">
        <f>+I61*I55</f>
        <v>-1.9679465092479554E-3</v>
      </c>
      <c r="J60" s="33">
        <f>+J61*J55</f>
        <v>0</v>
      </c>
      <c r="K60" s="33">
        <f>+K61*K55</f>
        <v>3.3785729097496682E-3</v>
      </c>
      <c r="L60" s="33">
        <f>+L61*L55</f>
        <v>1.8968984664995456E-4</v>
      </c>
      <c r="M60" s="57"/>
      <c r="N60" s="57"/>
      <c r="O60" s="57"/>
      <c r="P60" s="57"/>
      <c r="Q60" s="33">
        <v>2.5043000000000002</v>
      </c>
      <c r="R60" s="44">
        <f>+Q60+SUM(D60:P60)-0.001</f>
        <v>2.5090604605670594</v>
      </c>
      <c r="T60" s="18"/>
    </row>
    <row r="61" spans="2:20">
      <c r="B61" s="19" t="s">
        <v>302</v>
      </c>
      <c r="C61" s="57"/>
      <c r="D61" s="33">
        <v>-2.3999999999999998E-3</v>
      </c>
      <c r="E61" s="33">
        <v>1.8E-3</v>
      </c>
      <c r="F61" s="33">
        <v>1.09E-2</v>
      </c>
      <c r="G61" s="57"/>
      <c r="H61" s="33">
        <v>1.06E-2</v>
      </c>
      <c r="I61" s="33">
        <v>7.4000000000000003E-3</v>
      </c>
      <c r="J61" s="33">
        <v>1.7299999999999999E-2</v>
      </c>
      <c r="K61" s="33">
        <v>4.7999999999999996E-3</v>
      </c>
      <c r="L61" s="33">
        <v>3.3999999999999998E-3</v>
      </c>
      <c r="M61" s="57"/>
      <c r="N61" s="57"/>
      <c r="O61" s="33">
        <v>1.2500000000000001E-2</v>
      </c>
      <c r="P61" s="57"/>
      <c r="Q61" s="57"/>
      <c r="R61" s="43"/>
      <c r="T61" s="18"/>
    </row>
    <row r="62" spans="2:20" ht="15.6">
      <c r="B62" s="19" t="s">
        <v>303</v>
      </c>
      <c r="C62" s="57"/>
      <c r="D62" s="57"/>
      <c r="E62" s="33">
        <f>11.7*E55</f>
        <v>0.78494094822805971</v>
      </c>
      <c r="F62" s="57"/>
      <c r="G62" s="57"/>
      <c r="H62" s="33">
        <f>+-40.7*H55</f>
        <v>8.397623152107732</v>
      </c>
      <c r="I62" s="33">
        <f>+-25.9*I55</f>
        <v>6.8878127823678428</v>
      </c>
      <c r="J62" s="33">
        <f>+-26.8*J55</f>
        <v>0</v>
      </c>
      <c r="K62" s="33">
        <f>+-48.2*K55</f>
        <v>-33.926502968736258</v>
      </c>
      <c r="L62" s="33">
        <f>+-26.6*L55</f>
        <v>-1.4840440943790563</v>
      </c>
      <c r="M62" s="57"/>
      <c r="N62" s="57"/>
      <c r="O62" s="57"/>
      <c r="P62" s="57"/>
      <c r="Q62" s="33">
        <v>2655.1</v>
      </c>
      <c r="R62" s="44">
        <f>+((Q62+SUM(D62:P62))-32)*5/9</f>
        <v>1446.5332387886601</v>
      </c>
      <c r="T62" s="18"/>
    </row>
    <row r="63" spans="2:20" ht="15.6">
      <c r="B63" s="19" t="s">
        <v>304</v>
      </c>
      <c r="C63" s="57"/>
      <c r="D63" s="57"/>
      <c r="E63" s="33">
        <f>9.7*E55</f>
        <v>0.65076300836001533</v>
      </c>
      <c r="F63" s="33">
        <f>5*F55</f>
        <v>1.8609342295813796</v>
      </c>
      <c r="G63" s="57"/>
      <c r="H63" s="33">
        <f>+-25.7*H55</f>
        <v>5.3026760444513199</v>
      </c>
      <c r="I63" s="33">
        <f>-11.3*I55</f>
        <v>3.0051075073651208</v>
      </c>
      <c r="J63" s="33">
        <f>-19.3*J55</f>
        <v>0</v>
      </c>
      <c r="K63" s="33">
        <f>-39.2*K55</f>
        <v>-27.591678762955627</v>
      </c>
      <c r="L63" s="33">
        <f>-20.3*L55</f>
        <v>-1.132559966762964</v>
      </c>
      <c r="M63" s="57"/>
      <c r="N63" s="57"/>
      <c r="O63" s="57"/>
      <c r="P63" s="57"/>
      <c r="Q63" s="33">
        <v>2187.6999999999998</v>
      </c>
      <c r="R63" s="44">
        <f>+((Q63+SUM(D63:P63))-32)*5/9</f>
        <v>1187.6640233666885</v>
      </c>
      <c r="T63" s="18"/>
    </row>
    <row r="64" spans="2:20" ht="15.6">
      <c r="B64" s="19" t="s">
        <v>305</v>
      </c>
      <c r="C64" s="57"/>
      <c r="D64" s="57"/>
      <c r="E64" s="33">
        <f>7.2*E55</f>
        <v>0.48304058352495988</v>
      </c>
      <c r="F64" s="33">
        <f>5.1*F55</f>
        <v>1.8981529141730071</v>
      </c>
      <c r="G64" s="57"/>
      <c r="H64" s="33">
        <f>-2.2*H55</f>
        <v>0.45392557578960718</v>
      </c>
      <c r="I64" s="33">
        <f>-1.8*I55</f>
        <v>0.47868969143869183</v>
      </c>
      <c r="J64" s="33">
        <f>-7*J55</f>
        <v>0</v>
      </c>
      <c r="K64" s="33">
        <f>-20.5*K55</f>
        <v>-14.429321802055876</v>
      </c>
      <c r="L64" s="33">
        <f>-10.3*L55</f>
        <v>-0.57464865308662705</v>
      </c>
      <c r="M64" s="57"/>
      <c r="N64" s="57"/>
      <c r="O64" s="57"/>
      <c r="P64" s="57"/>
      <c r="Q64" s="33">
        <v>1351.2</v>
      </c>
      <c r="R64" s="44">
        <f t="shared" ref="R64:R66" si="27">+((Q64+SUM(D64:P64))-32)*5/9</f>
        <v>726.39435461654659</v>
      </c>
      <c r="T64" s="18"/>
    </row>
    <row r="65" spans="2:20" ht="15.6">
      <c r="B65" s="19" t="s">
        <v>306</v>
      </c>
      <c r="C65" s="57"/>
      <c r="D65" s="57"/>
      <c r="E65" s="33">
        <f>7*E55</f>
        <v>0.46962278953815545</v>
      </c>
      <c r="F65" s="57"/>
      <c r="G65" s="57"/>
      <c r="H65" s="33">
        <f>2.3*H55</f>
        <v>-0.47455855650731649</v>
      </c>
      <c r="I65" s="33">
        <f>-2.3*I55</f>
        <v>0.61165905017166167</v>
      </c>
      <c r="J65" s="33">
        <f>-4.9*J55</f>
        <v>0</v>
      </c>
      <c r="K65" s="33">
        <f>-16.4*K55</f>
        <v>-11.5434574416447</v>
      </c>
      <c r="L65" s="33">
        <f>-8.5*L55</f>
        <v>-0.47422461662488641</v>
      </c>
      <c r="M65" s="57"/>
      <c r="N65" s="57"/>
      <c r="O65" s="57"/>
      <c r="P65" s="57"/>
      <c r="Q65" s="33">
        <v>1185.0999999999999</v>
      </c>
      <c r="R65" s="44">
        <f t="shared" si="27"/>
        <v>634.27168956940716</v>
      </c>
      <c r="T65" s="18"/>
    </row>
    <row r="66" spans="2:20" ht="15.6">
      <c r="B66" s="19" t="s">
        <v>307</v>
      </c>
      <c r="C66" s="57"/>
      <c r="D66" s="57"/>
      <c r="E66" s="33">
        <f>7*E55</f>
        <v>0.46962278953815545</v>
      </c>
      <c r="F66" s="57"/>
      <c r="G66" s="57"/>
      <c r="H66" s="33">
        <f>5.8*H55</f>
        <v>-1.196712881627146</v>
      </c>
      <c r="I66" s="33">
        <f>-3.4*I55</f>
        <v>0.90419163938419556</v>
      </c>
      <c r="J66" s="33">
        <f>-3.1*J55</f>
        <v>0</v>
      </c>
      <c r="K66" s="33">
        <f>-13*K55</f>
        <v>-9.1503016305720184</v>
      </c>
      <c r="L66" s="33">
        <f>-6.8*L55</f>
        <v>-0.37937969329990912</v>
      </c>
      <c r="M66" s="57"/>
      <c r="N66" s="57"/>
      <c r="O66" s="57"/>
      <c r="P66" s="57"/>
      <c r="Q66" s="33">
        <v>1051</v>
      </c>
      <c r="R66" s="44">
        <f t="shared" si="27"/>
        <v>560.91523345745736</v>
      </c>
      <c r="T66" s="18"/>
    </row>
    <row r="67" spans="2:20" ht="15.6">
      <c r="B67" s="19" t="s">
        <v>308</v>
      </c>
      <c r="C67" s="57"/>
      <c r="D67" s="33">
        <f>0.05*D55</f>
        <v>-4.5200906450331146E-2</v>
      </c>
      <c r="E67" s="33">
        <f>0.17*E55</f>
        <v>1.1405124888783775E-2</v>
      </c>
      <c r="F67" s="57"/>
      <c r="G67" s="57"/>
      <c r="H67" s="33">
        <f>1.63*H55</f>
        <v>-0.33631758569866343</v>
      </c>
      <c r="I67" s="33">
        <f>0.45*I55</f>
        <v>-0.11967242285967296</v>
      </c>
      <c r="J67" s="33">
        <f>1.73*J55</f>
        <v>0</v>
      </c>
      <c r="K67" s="33">
        <f>4.32*K55</f>
        <v>3.0407156187747018</v>
      </c>
      <c r="L67" s="33">
        <f>3.9*L55</f>
        <v>0.21758541233377141</v>
      </c>
      <c r="M67" s="57"/>
      <c r="N67" s="57"/>
      <c r="O67" s="57"/>
      <c r="P67" s="57"/>
      <c r="Q67" s="33">
        <v>86.42</v>
      </c>
      <c r="R67" s="44">
        <f>+((Q67+SUM(D67:P67)+0.1))</f>
        <v>89.288515240988588</v>
      </c>
      <c r="T67" s="18"/>
    </row>
    <row r="68" spans="2:20" ht="15.6">
      <c r="B68" s="19" t="s">
        <v>309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44">
        <f>+R64-R66</f>
        <v>165.47912115908923</v>
      </c>
      <c r="T68" s="18"/>
    </row>
    <row r="69" spans="2:20" ht="15.6">
      <c r="B69" s="19" t="s">
        <v>310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44">
        <f>+(R64-450)/(R64-R66+80)*100</f>
        <v>112.5938341768064</v>
      </c>
      <c r="T69" s="18"/>
    </row>
    <row r="70" spans="2:20" ht="15.6">
      <c r="B70" s="19" t="s">
        <v>311</v>
      </c>
      <c r="C70" s="57"/>
      <c r="D70" s="33">
        <f>-0.02*D55</f>
        <v>1.8080362580132459E-2</v>
      </c>
      <c r="E70" s="33">
        <f>-0.66*E55</f>
        <v>-4.4278720156454655E-2</v>
      </c>
      <c r="F70" s="33">
        <f>0.31*F55</f>
        <v>0.11537792223404554</v>
      </c>
      <c r="G70" s="57"/>
      <c r="H70" s="33">
        <f>-1.74*H55</f>
        <v>0.35901386448814382</v>
      </c>
      <c r="I70" s="33">
        <f>-0.71*I55</f>
        <v>0.1888164894008173</v>
      </c>
      <c r="J70" s="57"/>
      <c r="K70" s="33">
        <f>1.72*K55</f>
        <v>1.2106552926602978</v>
      </c>
      <c r="L70" s="33">
        <f>1.12*L55</f>
        <v>6.2486067131749742E-2</v>
      </c>
      <c r="M70" s="57"/>
      <c r="N70" s="57"/>
      <c r="O70" s="57"/>
      <c r="P70" s="57"/>
      <c r="Q70" s="33">
        <v>86.42</v>
      </c>
      <c r="R70" s="44">
        <f>+((Q70+SUM(D70:P70)))</f>
        <v>88.330151278338732</v>
      </c>
      <c r="T70" s="18"/>
    </row>
    <row r="71" spans="2:20" ht="15.95" thickBot="1">
      <c r="B71" s="19" t="s">
        <v>312</v>
      </c>
      <c r="C71" s="57"/>
      <c r="D71" s="33">
        <f>-0.5*D55</f>
        <v>0.45200906450331146</v>
      </c>
      <c r="E71" s="33">
        <f>18.51*E55</f>
        <v>1.2418168334787512</v>
      </c>
      <c r="F71" s="33">
        <f>21.28*F55</f>
        <v>7.9201360810983523</v>
      </c>
      <c r="G71" s="57"/>
      <c r="H71" s="33">
        <f>21.7*H55</f>
        <v>-4.4773568157429429</v>
      </c>
      <c r="I71" s="33">
        <f>9.49*I55</f>
        <v>-2.5237584287517696</v>
      </c>
      <c r="J71" s="57"/>
      <c r="K71" s="33">
        <f>-18.3*K55</f>
        <v>-12.880809218420612</v>
      </c>
      <c r="L71" s="33">
        <f>-10.1*L55</f>
        <v>-0.56349042681310035</v>
      </c>
      <c r="M71" s="57"/>
      <c r="N71" s="57"/>
      <c r="O71" s="57"/>
      <c r="P71" s="57"/>
      <c r="Q71" s="33">
        <v>1038.24</v>
      </c>
      <c r="R71" s="44">
        <f>+((Q71+SUM(D71:P71))-32)*5/9</f>
        <v>553.00474838297328</v>
      </c>
      <c r="T71" s="18"/>
    </row>
    <row r="72" spans="2:20" ht="15.95" thickBot="1">
      <c r="B72" s="19" t="s">
        <v>313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45">
        <f>1-R48/C48</f>
        <v>7.4239990123826649E-2</v>
      </c>
      <c r="T72" s="18"/>
    </row>
    <row r="73" spans="2:20" ht="15" thickBot="1"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3"/>
    </row>
    <row r="75" spans="2:20" ht="15" thickBot="1"/>
    <row r="76" spans="2:20" ht="15.6">
      <c r="B76" s="209" t="s">
        <v>314</v>
      </c>
      <c r="C76" s="15"/>
      <c r="D76" s="210" t="s">
        <v>315</v>
      </c>
      <c r="E76" s="214" t="s">
        <v>316</v>
      </c>
    </row>
    <row r="77" spans="2:20">
      <c r="B77" s="19" t="s">
        <v>317</v>
      </c>
      <c r="C77" s="67">
        <f>+(C35*1000000)/$C$52</f>
        <v>0</v>
      </c>
      <c r="D77" s="211">
        <v>18.25413969800729</v>
      </c>
      <c r="E77" s="18">
        <f>+C77-D77</f>
        <v>-18.25413969800729</v>
      </c>
    </row>
    <row r="78" spans="2:20" ht="15" thickBot="1">
      <c r="B78" s="212" t="s">
        <v>318</v>
      </c>
      <c r="C78" s="68">
        <f>+(C36*1000000)/$C$52</f>
        <v>0</v>
      </c>
      <c r="D78" s="213">
        <v>2.7778038670880658</v>
      </c>
      <c r="E78" s="23">
        <f>+C78-D78</f>
        <v>-2.7778038670880658</v>
      </c>
    </row>
    <row r="80" spans="2:20" ht="15" thickBot="1"/>
    <row r="81" spans="2:22">
      <c r="B81" s="14"/>
      <c r="C81" s="15"/>
      <c r="D81" s="46"/>
      <c r="E81" s="46"/>
      <c r="F81" s="46"/>
      <c r="G81" s="70" t="s">
        <v>319</v>
      </c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15"/>
      <c r="S81" s="15"/>
      <c r="T81" s="15"/>
      <c r="U81" s="16" t="s">
        <v>320</v>
      </c>
    </row>
    <row r="82" spans="2:22" ht="15" thickBot="1">
      <c r="B82" s="17"/>
      <c r="D82" s="12" t="s">
        <v>275</v>
      </c>
      <c r="E82" s="12" t="s">
        <v>276</v>
      </c>
      <c r="F82" s="12" t="s">
        <v>277</v>
      </c>
      <c r="G82" s="12" t="s">
        <v>278</v>
      </c>
      <c r="H82" s="12" t="s">
        <v>279</v>
      </c>
      <c r="I82" s="12" t="s">
        <v>280</v>
      </c>
      <c r="J82" s="12" t="s">
        <v>281</v>
      </c>
      <c r="K82" s="12" t="s">
        <v>282</v>
      </c>
      <c r="L82" s="12" t="s">
        <v>283</v>
      </c>
      <c r="M82" s="12" t="s">
        <v>284</v>
      </c>
      <c r="N82" s="12" t="s">
        <v>285</v>
      </c>
      <c r="O82" s="12" t="s">
        <v>286</v>
      </c>
      <c r="P82" s="12" t="s">
        <v>287</v>
      </c>
      <c r="Q82" s="69" t="s">
        <v>288</v>
      </c>
      <c r="R82" s="12" t="s">
        <v>289</v>
      </c>
      <c r="S82" s="12" t="s">
        <v>321</v>
      </c>
      <c r="U82" s="215">
        <f>+FORMULA!D81</f>
        <v>34961.793066673148</v>
      </c>
    </row>
    <row r="83" spans="2:22" ht="15" thickBot="1">
      <c r="B83" s="30" t="s">
        <v>322</v>
      </c>
      <c r="C83" s="175">
        <v>45763</v>
      </c>
      <c r="D83" s="65">
        <v>0.97399999999999998</v>
      </c>
      <c r="E83" s="208">
        <v>2.1329999999999998E-2</v>
      </c>
      <c r="F83" s="208">
        <v>1.31E-3</v>
      </c>
      <c r="G83" s="65">
        <v>0</v>
      </c>
      <c r="H83" s="78">
        <v>0</v>
      </c>
      <c r="I83" s="66">
        <v>2.0000000000000001E-4</v>
      </c>
      <c r="J83" s="65">
        <v>0</v>
      </c>
      <c r="K83" s="65">
        <v>0</v>
      </c>
      <c r="L83" s="66">
        <v>8.5999999999999998E-4</v>
      </c>
      <c r="M83" s="65">
        <v>0</v>
      </c>
      <c r="N83" s="65">
        <v>0</v>
      </c>
      <c r="O83" s="65">
        <v>0</v>
      </c>
      <c r="P83" s="66">
        <v>2.5799999999999998E-3</v>
      </c>
      <c r="Q83" s="65">
        <v>0</v>
      </c>
      <c r="R83" s="217">
        <f>+SUM(D83:Q83)</f>
        <v>1.0002799999999998</v>
      </c>
      <c r="S83" s="219">
        <v>1</v>
      </c>
      <c r="T83" s="183">
        <f>+S83/$S$85</f>
        <v>0.5</v>
      </c>
      <c r="U83" s="215">
        <f>+U82*T83</f>
        <v>17480.896533336574</v>
      </c>
      <c r="V83" s="186"/>
    </row>
    <row r="84" spans="2:22" ht="15" thickBot="1">
      <c r="B84" s="30" t="s">
        <v>323</v>
      </c>
      <c r="C84" s="175">
        <v>45762</v>
      </c>
      <c r="D84" s="65">
        <v>0.96609999999999996</v>
      </c>
      <c r="E84" s="208">
        <v>2.6700000000000002E-2</v>
      </c>
      <c r="F84" s="208">
        <v>2.82E-3</v>
      </c>
      <c r="G84" s="65">
        <v>0</v>
      </c>
      <c r="H84" s="78">
        <v>0</v>
      </c>
      <c r="I84" s="66">
        <v>2.4000000000000001E-4</v>
      </c>
      <c r="J84" s="65">
        <v>0</v>
      </c>
      <c r="K84" s="65">
        <v>0</v>
      </c>
      <c r="L84" s="66">
        <v>9.7999999999999997E-4</v>
      </c>
      <c r="M84" s="65">
        <v>0</v>
      </c>
      <c r="N84" s="65">
        <v>0</v>
      </c>
      <c r="O84" s="65">
        <v>0</v>
      </c>
      <c r="P84" s="66">
        <v>3.16E-3</v>
      </c>
      <c r="Q84" s="65">
        <v>0</v>
      </c>
      <c r="R84" s="217">
        <f>+SUM(D84:Q84)</f>
        <v>1</v>
      </c>
      <c r="S84" s="220">
        <v>1</v>
      </c>
      <c r="T84" s="183">
        <f>+S84/$S$85</f>
        <v>0.5</v>
      </c>
      <c r="U84" s="215">
        <f>+U82*T84</f>
        <v>17480.896533336574</v>
      </c>
    </row>
    <row r="85" spans="2:22">
      <c r="B85" s="17"/>
      <c r="D85" s="216">
        <f>+$T$83*D83+$T$84*D84</f>
        <v>0.97004999999999997</v>
      </c>
      <c r="E85" s="216">
        <f>+$T$83*E83+$T$84*E84</f>
        <v>2.4015000000000002E-2</v>
      </c>
      <c r="F85" s="216">
        <f t="shared" ref="F85:Q85" si="28">+$T$83*F83+$T$84*F84</f>
        <v>2.065E-3</v>
      </c>
      <c r="G85" s="216">
        <f t="shared" si="28"/>
        <v>0</v>
      </c>
      <c r="H85" s="216">
        <f t="shared" si="28"/>
        <v>0</v>
      </c>
      <c r="I85" s="216">
        <f t="shared" si="28"/>
        <v>2.2000000000000001E-4</v>
      </c>
      <c r="J85" s="216">
        <f t="shared" si="28"/>
        <v>0</v>
      </c>
      <c r="K85" s="216">
        <f t="shared" si="28"/>
        <v>0</v>
      </c>
      <c r="L85" s="216">
        <f t="shared" si="28"/>
        <v>9.2000000000000003E-4</v>
      </c>
      <c r="M85" s="216">
        <f t="shared" si="28"/>
        <v>0</v>
      </c>
      <c r="N85" s="216">
        <f t="shared" si="28"/>
        <v>0</v>
      </c>
      <c r="O85" s="216">
        <f t="shared" si="28"/>
        <v>0</v>
      </c>
      <c r="P85" s="216">
        <f t="shared" si="28"/>
        <v>2.8700000000000002E-3</v>
      </c>
      <c r="Q85" s="216">
        <f t="shared" si="28"/>
        <v>0</v>
      </c>
      <c r="S85" s="218">
        <f>+SUM(S83:S84)</f>
        <v>2</v>
      </c>
      <c r="U85" s="18"/>
    </row>
    <row r="86" spans="2:22" ht="15" thickBot="1"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3:L49"/>
  <sheetViews>
    <sheetView topLeftCell="E13" workbookViewId="0">
      <selection activeCell="F13" sqref="F13"/>
    </sheetView>
  </sheetViews>
  <sheetFormatPr defaultColWidth="11.42578125" defaultRowHeight="14.45"/>
  <cols>
    <col min="2" max="2" width="9.5703125" style="134" customWidth="1"/>
    <col min="3" max="3" width="6.85546875" style="134" customWidth="1"/>
    <col min="4" max="4" width="6.140625" style="134" customWidth="1"/>
    <col min="5" max="5" width="3.85546875" style="134" customWidth="1"/>
    <col min="6" max="6" width="22" style="134" customWidth="1"/>
    <col min="7" max="7" width="9.5703125" style="134" customWidth="1"/>
    <col min="8" max="8" width="17.7109375" style="134" customWidth="1"/>
    <col min="9" max="12" width="10.85546875" style="134"/>
  </cols>
  <sheetData>
    <row r="3" spans="2:12">
      <c r="H3" s="191" t="s">
        <v>208</v>
      </c>
    </row>
    <row r="4" spans="2:12">
      <c r="B4" s="134" t="s">
        <v>324</v>
      </c>
      <c r="C4" s="188">
        <v>45643</v>
      </c>
      <c r="D4" s="189">
        <v>0.70833333333333337</v>
      </c>
      <c r="E4" s="189"/>
      <c r="F4" s="192" t="s">
        <v>325</v>
      </c>
      <c r="H4" s="134" t="s">
        <v>325</v>
      </c>
      <c r="J4" s="190" t="s">
        <v>326</v>
      </c>
      <c r="L4" s="134" t="s">
        <v>327</v>
      </c>
    </row>
    <row r="5" spans="2:12">
      <c r="B5" s="134" t="s">
        <v>328</v>
      </c>
      <c r="C5" s="188">
        <v>45644</v>
      </c>
      <c r="E5" s="134">
        <v>24</v>
      </c>
      <c r="J5" s="134" t="s">
        <v>329</v>
      </c>
      <c r="L5" s="134" t="s">
        <v>330</v>
      </c>
    </row>
    <row r="6" spans="2:12">
      <c r="B6" s="134" t="s">
        <v>331</v>
      </c>
      <c r="C6" s="188">
        <v>45645</v>
      </c>
      <c r="E6" s="134">
        <v>48</v>
      </c>
      <c r="G6" s="134" t="s">
        <v>332</v>
      </c>
    </row>
    <row r="7" spans="2:12">
      <c r="B7" s="134" t="s">
        <v>333</v>
      </c>
      <c r="C7" s="188">
        <v>45646</v>
      </c>
      <c r="E7" s="134">
        <v>72</v>
      </c>
      <c r="F7" s="192" t="s">
        <v>334</v>
      </c>
      <c r="G7" s="134" t="s">
        <v>335</v>
      </c>
    </row>
    <row r="8" spans="2:12">
      <c r="B8" s="134" t="s">
        <v>336</v>
      </c>
      <c r="C8" s="188">
        <v>45647</v>
      </c>
      <c r="E8" s="134">
        <v>24</v>
      </c>
    </row>
    <row r="9" spans="2:12">
      <c r="B9" s="134" t="s">
        <v>337</v>
      </c>
      <c r="C9" s="188">
        <v>45648</v>
      </c>
      <c r="E9" s="134">
        <v>48</v>
      </c>
    </row>
    <row r="10" spans="2:12">
      <c r="B10" s="134" t="s">
        <v>338</v>
      </c>
      <c r="C10" s="188">
        <v>45649</v>
      </c>
      <c r="E10" s="134">
        <v>72</v>
      </c>
      <c r="F10" s="190" t="s">
        <v>334</v>
      </c>
    </row>
    <row r="11" spans="2:12">
      <c r="B11" s="134" t="s">
        <v>324</v>
      </c>
      <c r="C11" s="188">
        <v>45650</v>
      </c>
      <c r="E11" s="134">
        <v>24</v>
      </c>
    </row>
    <row r="12" spans="2:12">
      <c r="B12" s="134" t="s">
        <v>339</v>
      </c>
      <c r="C12" s="188">
        <v>45651</v>
      </c>
      <c r="E12" s="134">
        <v>48</v>
      </c>
      <c r="H12" s="134" t="s">
        <v>340</v>
      </c>
    </row>
    <row r="13" spans="2:12">
      <c r="B13" s="134" t="s">
        <v>331</v>
      </c>
      <c r="C13" s="188">
        <v>45652</v>
      </c>
      <c r="E13" s="134">
        <v>72</v>
      </c>
      <c r="H13" s="134" t="s">
        <v>332</v>
      </c>
    </row>
    <row r="14" spans="2:12">
      <c r="B14" s="134" t="s">
        <v>333</v>
      </c>
      <c r="C14" s="188">
        <v>45653</v>
      </c>
      <c r="E14" s="134">
        <v>24</v>
      </c>
      <c r="H14" s="134" t="s">
        <v>335</v>
      </c>
    </row>
    <row r="15" spans="2:12">
      <c r="B15" s="134" t="s">
        <v>336</v>
      </c>
      <c r="C15" s="188">
        <v>45654</v>
      </c>
      <c r="E15" s="134">
        <v>48</v>
      </c>
      <c r="H15" s="134" t="s">
        <v>341</v>
      </c>
    </row>
    <row r="16" spans="2:12">
      <c r="B16" s="134" t="s">
        <v>337</v>
      </c>
      <c r="C16" s="188">
        <v>45655</v>
      </c>
      <c r="E16" s="134">
        <v>72</v>
      </c>
      <c r="F16" s="134" t="s">
        <v>342</v>
      </c>
      <c r="H16" s="134">
        <v>24</v>
      </c>
    </row>
    <row r="17" spans="2:8">
      <c r="B17" s="134" t="s">
        <v>338</v>
      </c>
      <c r="C17" s="188">
        <v>45656</v>
      </c>
      <c r="E17" s="134">
        <v>24</v>
      </c>
      <c r="H17" s="134">
        <v>48</v>
      </c>
    </row>
    <row r="18" spans="2:8">
      <c r="B18" s="134" t="s">
        <v>324</v>
      </c>
      <c r="C18" s="188">
        <v>45657</v>
      </c>
      <c r="E18" s="134">
        <v>48</v>
      </c>
      <c r="H18" s="134">
        <v>72</v>
      </c>
    </row>
    <row r="19" spans="2:8">
      <c r="B19" s="134" t="s">
        <v>339</v>
      </c>
      <c r="C19" s="188">
        <v>45658</v>
      </c>
      <c r="E19" s="134">
        <v>72</v>
      </c>
      <c r="F19" s="134" t="s">
        <v>343</v>
      </c>
    </row>
    <row r="20" spans="2:8">
      <c r="B20" s="134" t="s">
        <v>331</v>
      </c>
      <c r="C20" s="188">
        <v>45659</v>
      </c>
      <c r="E20" s="134">
        <f>+E19+24</f>
        <v>96</v>
      </c>
      <c r="F20" s="134" t="s">
        <v>344</v>
      </c>
      <c r="H20" s="134" t="s">
        <v>345</v>
      </c>
    </row>
    <row r="21" spans="2:8">
      <c r="B21" s="134" t="s">
        <v>333</v>
      </c>
      <c r="C21" s="188">
        <v>45660</v>
      </c>
      <c r="E21" s="134">
        <v>24</v>
      </c>
      <c r="H21" s="134">
        <v>24</v>
      </c>
    </row>
    <row r="22" spans="2:8">
      <c r="B22" s="134" t="s">
        <v>336</v>
      </c>
      <c r="C22" s="188">
        <v>45661</v>
      </c>
      <c r="H22" s="134">
        <v>48</v>
      </c>
    </row>
    <row r="23" spans="2:8">
      <c r="B23" s="134" t="s">
        <v>337</v>
      </c>
      <c r="C23" s="188">
        <v>45662</v>
      </c>
      <c r="H23" s="134">
        <v>72</v>
      </c>
    </row>
    <row r="24" spans="2:8">
      <c r="B24" s="134" t="s">
        <v>338</v>
      </c>
      <c r="C24" s="188">
        <v>45663</v>
      </c>
      <c r="H24" s="134" t="s">
        <v>346</v>
      </c>
    </row>
    <row r="25" spans="2:8">
      <c r="B25" s="134" t="s">
        <v>324</v>
      </c>
      <c r="C25" s="188">
        <v>45664</v>
      </c>
    </row>
    <row r="26" spans="2:8">
      <c r="B26" s="134" t="s">
        <v>339</v>
      </c>
      <c r="C26" s="188">
        <v>45665</v>
      </c>
    </row>
    <row r="27" spans="2:8">
      <c r="B27" s="134" t="s">
        <v>331</v>
      </c>
      <c r="C27" s="188">
        <v>45666</v>
      </c>
    </row>
    <row r="28" spans="2:8">
      <c r="B28" s="134" t="s">
        <v>333</v>
      </c>
      <c r="C28" s="188">
        <v>45667</v>
      </c>
    </row>
    <row r="29" spans="2:8">
      <c r="B29" s="134" t="s">
        <v>336</v>
      </c>
      <c r="C29" s="188">
        <v>45668</v>
      </c>
    </row>
    <row r="30" spans="2:8">
      <c r="B30" s="134" t="s">
        <v>337</v>
      </c>
      <c r="C30" s="188">
        <v>45669</v>
      </c>
    </row>
    <row r="31" spans="2:8">
      <c r="B31" s="134" t="s">
        <v>338</v>
      </c>
      <c r="C31" s="188">
        <v>45670</v>
      </c>
    </row>
    <row r="32" spans="2:8">
      <c r="B32" s="134" t="s">
        <v>324</v>
      </c>
      <c r="C32" s="188">
        <v>45671</v>
      </c>
    </row>
    <row r="33" spans="2:8">
      <c r="B33" s="134" t="s">
        <v>339</v>
      </c>
      <c r="C33" s="188">
        <v>45672</v>
      </c>
    </row>
    <row r="34" spans="2:8">
      <c r="B34" s="134" t="s">
        <v>331</v>
      </c>
      <c r="C34" s="188">
        <v>45673</v>
      </c>
    </row>
    <row r="35" spans="2:8">
      <c r="B35" s="134" t="s">
        <v>333</v>
      </c>
      <c r="C35" s="188">
        <v>45674</v>
      </c>
    </row>
    <row r="36" spans="2:8">
      <c r="B36" s="134" t="s">
        <v>336</v>
      </c>
      <c r="C36" s="188">
        <v>45675</v>
      </c>
    </row>
    <row r="37" spans="2:8">
      <c r="B37" s="134" t="s">
        <v>337</v>
      </c>
      <c r="C37" s="188">
        <v>45676</v>
      </c>
    </row>
    <row r="38" spans="2:8">
      <c r="B38" s="134" t="s">
        <v>338</v>
      </c>
      <c r="C38" s="188">
        <v>45677</v>
      </c>
      <c r="H38" s="134" t="s">
        <v>347</v>
      </c>
    </row>
    <row r="39" spans="2:8">
      <c r="B39" s="134" t="s">
        <v>324</v>
      </c>
      <c r="C39" s="188">
        <v>45678</v>
      </c>
    </row>
    <row r="40" spans="2:8">
      <c r="B40" s="134" t="s">
        <v>339</v>
      </c>
      <c r="C40" s="188">
        <v>45679</v>
      </c>
    </row>
    <row r="41" spans="2:8">
      <c r="B41" s="134" t="s">
        <v>331</v>
      </c>
      <c r="C41" s="188">
        <v>45680</v>
      </c>
    </row>
    <row r="42" spans="2:8">
      <c r="B42" s="134" t="s">
        <v>333</v>
      </c>
      <c r="C42" s="188">
        <v>45681</v>
      </c>
    </row>
    <row r="43" spans="2:8">
      <c r="B43" s="134" t="s">
        <v>336</v>
      </c>
      <c r="C43" s="188">
        <v>45682</v>
      </c>
    </row>
    <row r="44" spans="2:8">
      <c r="B44" s="134" t="s">
        <v>337</v>
      </c>
      <c r="C44" s="188">
        <v>45683</v>
      </c>
    </row>
    <row r="45" spans="2:8">
      <c r="B45" s="134" t="s">
        <v>338</v>
      </c>
      <c r="C45" s="188">
        <v>45684</v>
      </c>
      <c r="H45" s="134" t="s">
        <v>348</v>
      </c>
    </row>
    <row r="46" spans="2:8">
      <c r="B46" s="134" t="s">
        <v>324</v>
      </c>
      <c r="C46" s="188">
        <v>45685</v>
      </c>
    </row>
    <row r="47" spans="2:8">
      <c r="B47" s="134" t="s">
        <v>339</v>
      </c>
      <c r="C47" s="188">
        <v>45686</v>
      </c>
    </row>
    <row r="48" spans="2:8">
      <c r="B48" s="134" t="s">
        <v>331</v>
      </c>
      <c r="C48" s="188">
        <v>45687</v>
      </c>
    </row>
    <row r="49" spans="2:3">
      <c r="B49" s="134" t="s">
        <v>333</v>
      </c>
      <c r="C49" s="188">
        <v>45688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6:F15"/>
  <sheetViews>
    <sheetView workbookViewId="0">
      <selection activeCell="E6" sqref="E6:E12"/>
    </sheetView>
  </sheetViews>
  <sheetFormatPr defaultColWidth="11.42578125" defaultRowHeight="14.45"/>
  <cols>
    <col min="4" max="4" width="2.140625" customWidth="1"/>
  </cols>
  <sheetData>
    <row r="6" spans="2:6">
      <c r="B6">
        <v>430</v>
      </c>
      <c r="C6" s="75">
        <f>+B6/$B$15</f>
        <v>0.61780699350332835</v>
      </c>
      <c r="E6">
        <v>460</v>
      </c>
      <c r="F6" s="75">
        <f>+E6/$E$15</f>
        <v>0.61852045201743544</v>
      </c>
    </row>
    <row r="7" spans="2:6">
      <c r="B7">
        <v>139</v>
      </c>
      <c r="C7" s="75">
        <f t="shared" ref="C7:C14" si="0">+B7/$B$15</f>
        <v>0.19970970255107592</v>
      </c>
      <c r="E7">
        <v>148</v>
      </c>
      <c r="F7" s="75">
        <f t="shared" ref="F7:F14" si="1">+E7/$E$15</f>
        <v>0.19900223238821838</v>
      </c>
    </row>
    <row r="8" spans="2:6">
      <c r="B8">
        <v>117</v>
      </c>
      <c r="C8" s="75">
        <f t="shared" si="0"/>
        <v>0.16810097265090562</v>
      </c>
      <c r="E8">
        <v>125</v>
      </c>
      <c r="F8" s="75">
        <f t="shared" si="1"/>
        <v>0.16807620978734661</v>
      </c>
    </row>
    <row r="9" spans="2:6">
      <c r="B9">
        <v>7</v>
      </c>
      <c r="C9" s="75">
        <f t="shared" si="0"/>
        <v>1.0057323150054183E-2</v>
      </c>
      <c r="E9">
        <v>7.5</v>
      </c>
      <c r="F9" s="75">
        <f t="shared" si="1"/>
        <v>1.0084572587240796E-2</v>
      </c>
    </row>
    <row r="10" spans="2:6">
      <c r="B10">
        <v>3</v>
      </c>
      <c r="C10" s="75">
        <f t="shared" si="0"/>
        <v>4.3102813500232214E-3</v>
      </c>
      <c r="E10">
        <v>3.2</v>
      </c>
      <c r="F10" s="75">
        <f t="shared" si="1"/>
        <v>4.3027509705560732E-3</v>
      </c>
    </row>
    <row r="11" spans="2:6">
      <c r="B11">
        <v>0</v>
      </c>
      <c r="C11" s="75">
        <f t="shared" si="0"/>
        <v>0</v>
      </c>
      <c r="E11">
        <v>0</v>
      </c>
      <c r="F11" s="75">
        <f t="shared" si="1"/>
        <v>0</v>
      </c>
    </row>
    <row r="12" spans="2:6">
      <c r="C12" s="75">
        <f t="shared" si="0"/>
        <v>0</v>
      </c>
      <c r="F12" s="75">
        <f t="shared" si="1"/>
        <v>0</v>
      </c>
    </row>
    <row r="13" spans="2:6">
      <c r="B13">
        <v>8.4999999999999989E-3</v>
      </c>
      <c r="C13" s="187">
        <f t="shared" si="0"/>
        <v>1.2212463825065792E-5</v>
      </c>
      <c r="E13">
        <v>8.4999999999999989E-3</v>
      </c>
      <c r="F13" s="187">
        <f t="shared" si="1"/>
        <v>1.1429182265539567E-5</v>
      </c>
    </row>
    <row r="14" spans="2:6">
      <c r="B14">
        <v>1.75E-3</v>
      </c>
      <c r="C14" s="187">
        <f t="shared" si="0"/>
        <v>2.5143307875135457E-6</v>
      </c>
      <c r="E14">
        <v>1.75E-3</v>
      </c>
      <c r="F14" s="187">
        <f t="shared" si="1"/>
        <v>2.3530669370228523E-6</v>
      </c>
    </row>
    <row r="15" spans="2:6">
      <c r="B15">
        <f>SUM(B6:B14)</f>
        <v>696.01025000000004</v>
      </c>
      <c r="E15">
        <f>SUM(E6:E14)</f>
        <v>743.71025000000009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2924df-0d14-43a9-8ccd-3f7559bc6016">
      <Terms xmlns="http://schemas.microsoft.com/office/infopath/2007/PartnerControls"/>
    </lcf76f155ced4ddcb4097134ff3c332f>
    <TaxCatchAll xmlns="f4a2d3af-a743-4031-9840-320a9813a9e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BB120C500C104FAC1614444C6EF676" ma:contentTypeVersion="13" ma:contentTypeDescription="Crear nuevo documento." ma:contentTypeScope="" ma:versionID="87fc37fb5ccca95cf8f45921bb66bc09">
  <xsd:schema xmlns:xsd="http://www.w3.org/2001/XMLSchema" xmlns:xs="http://www.w3.org/2001/XMLSchema" xmlns:p="http://schemas.microsoft.com/office/2006/metadata/properties" xmlns:ns2="572924df-0d14-43a9-8ccd-3f7559bc6016" xmlns:ns3="f4a2d3af-a743-4031-9840-320a9813a9ee" targetNamespace="http://schemas.microsoft.com/office/2006/metadata/properties" ma:root="true" ma:fieldsID="7dd5756ae0e91fb0f55faac4b37fc4ef" ns2:_="" ns3:_="">
    <xsd:import namespace="572924df-0d14-43a9-8ccd-3f7559bc6016"/>
    <xsd:import namespace="f4a2d3af-a743-4031-9840-320a9813a9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924df-0d14-43a9-8ccd-3f7559bc6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2d3af-a743-4031-9840-320a9813a9e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8abab2e-5b11-4181-b531-bbdfab39bdf9}" ma:internalName="TaxCatchAll" ma:showField="CatchAllData" ma:web="f4a2d3af-a743-4031-9840-320a9813a9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B1AD3D-F322-4E13-89B6-5FFDC34BBA31}"/>
</file>

<file path=customXml/itemProps2.xml><?xml version="1.0" encoding="utf-8"?>
<ds:datastoreItem xmlns:ds="http://schemas.openxmlformats.org/officeDocument/2006/customXml" ds:itemID="{F6B20928-B4D2-4AAE-BF55-48CBDE9D83F2}"/>
</file>

<file path=customXml/itemProps3.xml><?xml version="1.0" encoding="utf-8"?>
<ds:datastoreItem xmlns:ds="http://schemas.openxmlformats.org/officeDocument/2006/customXml" ds:itemID="{D300334B-72E8-4A96-A219-FE3E10EDCB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ABInBev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aserafin</dc:creator>
  <cp:keywords/>
  <dc:description/>
  <cp:lastModifiedBy/>
  <cp:revision/>
  <dcterms:created xsi:type="dcterms:W3CDTF">2023-10-04T13:34:49Z</dcterms:created>
  <dcterms:modified xsi:type="dcterms:W3CDTF">2025-05-15T20:13:29Z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0x0101008BBB120C500C104FAC1614444C6EF676</vt:lpwstr>
  </property>
  <property fmtid="{D5CDD505-2E9C-101B-9397-08002B2CF9AE}" pid="3" name="MediaServiceImageTags">
    <vt:lpwstr/>
  </property>
</Properties>
</file>