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7400" windowHeight="9135" activeTab="1"/>
  </bookViews>
  <sheets>
    <sheet name="Introduction" sheetId="2" r:id="rId1"/>
    <sheet name="Method" sheetId="3" r:id="rId2"/>
    <sheet name="Coefficients" sheetId="1" r:id="rId3"/>
    <sheet name="Model LTs" sheetId="4" r:id="rId4"/>
    <sheet name="Charts" sheetId="5" r:id="rId5"/>
  </sheets>
  <definedNames>
    <definedName name="Coeffs_111">Coefficients!$C$6</definedName>
    <definedName name="Coeffs_112">Coefficients!$N$6</definedName>
    <definedName name="Coeffs_113">Coefficients!$Y$6</definedName>
    <definedName name="Coeffs_121">Coefficients!$C$17</definedName>
    <definedName name="Coeffs_122">Coefficients!$N$17</definedName>
    <definedName name="Coeffs_123">Coefficients!$Y$17</definedName>
    <definedName name="Coeffs_131">Coefficients!$C$28</definedName>
    <definedName name="Coeffs_132">Coefficients!$N$28</definedName>
    <definedName name="Coeffs_133">Coefficients!$Y$28</definedName>
    <definedName name="Coeffs_141">Coefficients!$C$39</definedName>
    <definedName name="Coeffs_142">Coefficients!$N$39</definedName>
    <definedName name="Coeffs_143">Coefficients!$Y$39</definedName>
    <definedName name="Coeffs_211">Coefficients!$C$50</definedName>
    <definedName name="Coeffs_221">Coefficients!$C$61</definedName>
    <definedName name="Coeffs_231">Coefficients!$C$72</definedName>
    <definedName name="Coeffs_241">Coefficients!$C$83</definedName>
    <definedName name="Coeffs_251">Coefficients!$C$94</definedName>
    <definedName name="Family">Coefficients!$AI$9:$AI$10</definedName>
    <definedName name="FamSelect">Coefficients!$AJ$8</definedName>
    <definedName name="Princeton">Coefficients!$AI$13:$AI$16</definedName>
    <definedName name="Sex">Coefficients!$AI$29:$AI$31</definedName>
    <definedName name="TypeSelect">Coefficients!$AJ$23</definedName>
    <definedName name="UN">Coefficients!$AI$17:$AI$21</definedName>
    <definedName name="Variant">Coefficients!$AI$24:$AI$26</definedName>
  </definedNames>
  <calcPr calcId="145621"/>
</workbook>
</file>

<file path=xl/calcChain.xml><?xml version="1.0" encoding="utf-8"?>
<calcChain xmlns="http://schemas.openxmlformats.org/spreadsheetml/2006/main">
  <c r="G16" i="3" l="1"/>
  <c r="AH5" i="1" l="1"/>
  <c r="A1" i="3"/>
  <c r="AJ6" i="1"/>
  <c r="AO32" i="1"/>
  <c r="AM7" i="1"/>
  <c r="AJ28" i="1" l="1"/>
  <c r="D11" i="3" l="1"/>
  <c r="D10" i="3"/>
  <c r="D9" i="3"/>
  <c r="D8" i="3"/>
  <c r="D7" i="3"/>
  <c r="D6" i="3"/>
  <c r="D5" i="3"/>
  <c r="A4" i="3"/>
  <c r="AJ8" i="1"/>
  <c r="AJ23" i="1"/>
  <c r="AM5" i="1" l="1"/>
  <c r="A10" i="3"/>
  <c r="A11" i="3"/>
  <c r="AJ12" i="1"/>
  <c r="A5" i="3"/>
  <c r="A9" i="3"/>
  <c r="A7" i="3"/>
  <c r="A8" i="3"/>
  <c r="A6" i="3"/>
  <c r="AN25" i="1" l="1"/>
  <c r="AN23" i="1"/>
  <c r="AN19" i="1"/>
  <c r="AN22" i="1"/>
  <c r="AN21" i="1"/>
  <c r="AN24" i="1"/>
  <c r="AN20" i="1"/>
  <c r="AN18" i="1"/>
  <c r="AJ33" i="1"/>
  <c r="C23" i="2"/>
  <c r="AT13" i="1"/>
  <c r="AO11" i="1"/>
  <c r="AS13" i="1"/>
  <c r="AM8" i="1"/>
  <c r="AM13" i="1"/>
  <c r="AP7" i="1"/>
  <c r="AP13" i="1"/>
  <c r="AM12" i="1"/>
  <c r="AR7" i="1"/>
  <c r="AV10" i="1"/>
  <c r="AT9" i="1"/>
  <c r="AN12" i="1"/>
  <c r="AN13" i="1"/>
  <c r="F8" i="3" l="1"/>
  <c r="AN7" i="1"/>
  <c r="AT10" i="1"/>
  <c r="AN9" i="1"/>
  <c r="AR11" i="1"/>
  <c r="AV13" i="1"/>
  <c r="AV9" i="1"/>
  <c r="AO12" i="1"/>
  <c r="AP8" i="1"/>
  <c r="AV7" i="1"/>
  <c r="AT11" i="1"/>
  <c r="AS7" i="1"/>
  <c r="AO9" i="1"/>
  <c r="AN11" i="1"/>
  <c r="AO8" i="1"/>
  <c r="AS10" i="1"/>
  <c r="AP12" i="1"/>
  <c r="AM9" i="1"/>
  <c r="AP9" i="1"/>
  <c r="AT8" i="1"/>
  <c r="AV8" i="1"/>
  <c r="AS12" i="1"/>
  <c r="AT12" i="1"/>
  <c r="AR8" i="1"/>
  <c r="AR9" i="1"/>
  <c r="AN8" i="1"/>
  <c r="AT7" i="1"/>
  <c r="AP10" i="1"/>
  <c r="AV11" i="1"/>
  <c r="AN10" i="1"/>
  <c r="AR13" i="1"/>
  <c r="AP11" i="1"/>
  <c r="AR10" i="1"/>
  <c r="AV12" i="1"/>
  <c r="AM10" i="1"/>
  <c r="AR12" i="1"/>
  <c r="AS11" i="1"/>
  <c r="AM11" i="1"/>
  <c r="AO10" i="1"/>
  <c r="AS9" i="1"/>
  <c r="AS8" i="1"/>
  <c r="AO13" i="1"/>
  <c r="AO7" i="1"/>
  <c r="K5" i="3" l="1"/>
  <c r="G6" i="3"/>
  <c r="G9" i="3"/>
  <c r="K7" i="3"/>
  <c r="F5" i="3"/>
  <c r="K6" i="3"/>
  <c r="G5" i="3"/>
  <c r="K10" i="3"/>
  <c r="G10" i="3"/>
  <c r="G11" i="3"/>
  <c r="G8" i="3"/>
  <c r="I8" i="3" s="1"/>
  <c r="F7" i="3"/>
  <c r="F9" i="3"/>
  <c r="F10" i="3"/>
  <c r="F6" i="3"/>
  <c r="F11" i="3"/>
  <c r="K8" i="3"/>
  <c r="K9" i="3"/>
  <c r="K11" i="3"/>
  <c r="H11" i="3"/>
  <c r="G7" i="3"/>
  <c r="I11" i="3" l="1"/>
  <c r="L11" i="3" s="1"/>
  <c r="I7" i="3"/>
  <c r="M7" i="3" s="1"/>
  <c r="I5" i="3"/>
  <c r="M5" i="3" s="1"/>
  <c r="I9" i="3"/>
  <c r="M9" i="3" s="1"/>
  <c r="I10" i="3"/>
  <c r="L10" i="3" s="1"/>
  <c r="I6" i="3"/>
  <c r="L6" i="3" s="1"/>
  <c r="L8" i="3"/>
  <c r="M8" i="3"/>
  <c r="L5" i="3" l="1"/>
  <c r="L7" i="3"/>
  <c r="M11" i="3"/>
  <c r="L9" i="3"/>
  <c r="M10" i="3"/>
  <c r="M6" i="3"/>
</calcChain>
</file>

<file path=xl/sharedStrings.xml><?xml version="1.0" encoding="utf-8"?>
<sst xmlns="http://schemas.openxmlformats.org/spreadsheetml/2006/main" count="385" uniqueCount="104">
  <si>
    <t>15-19</t>
  </si>
  <si>
    <t>20-24</t>
  </si>
  <si>
    <t>25-29</t>
  </si>
  <si>
    <t>30-34</t>
  </si>
  <si>
    <t>35-39</t>
  </si>
  <si>
    <t>40-44</t>
  </si>
  <si>
    <t>45-49</t>
  </si>
  <si>
    <t>Princeton</t>
  </si>
  <si>
    <t>a(x,j)</t>
  </si>
  <si>
    <t>b(x,j)</t>
  </si>
  <si>
    <t>c(x,j)</t>
  </si>
  <si>
    <t>d(x,j)</t>
  </si>
  <si>
    <t>e(x,j)</t>
  </si>
  <si>
    <t>f(x,j)</t>
  </si>
  <si>
    <t>g(x,j)</t>
  </si>
  <si>
    <t>Conversion of D into q</t>
  </si>
  <si>
    <t>Time location</t>
  </si>
  <si>
    <t>Princeton - North</t>
  </si>
  <si>
    <t>Princeton - South</t>
  </si>
  <si>
    <t>Princeton - East</t>
  </si>
  <si>
    <t>Princeton - West</t>
  </si>
  <si>
    <t>UN - Latin America</t>
  </si>
  <si>
    <t>UN - Chile</t>
  </si>
  <si>
    <t>UN - South Asian</t>
  </si>
  <si>
    <t>UN - Far Eastern</t>
  </si>
  <si>
    <t>UN - General</t>
  </si>
  <si>
    <t>Age of mother</t>
  </si>
  <si>
    <t>BY AGE OF MOTHER</t>
  </si>
  <si>
    <t>x</t>
  </si>
  <si>
    <t>0-4</t>
  </si>
  <si>
    <t>5-9</t>
  </si>
  <si>
    <t>10-14</t>
  </si>
  <si>
    <t>Princeton North</t>
  </si>
  <si>
    <t>UN South Asian</t>
  </si>
  <si>
    <t>UN General</t>
  </si>
  <si>
    <t>Duration since first birth</t>
  </si>
  <si>
    <t>Duration since marriage</t>
  </si>
  <si>
    <t>Princeton South</t>
  </si>
  <si>
    <t>Princeton East</t>
  </si>
  <si>
    <t>Princeton West</t>
  </si>
  <si>
    <t>UN</t>
  </si>
  <si>
    <t>North</t>
  </si>
  <si>
    <t>South</t>
  </si>
  <si>
    <t>East</t>
  </si>
  <si>
    <t>West</t>
  </si>
  <si>
    <t>Latin America</t>
  </si>
  <si>
    <t>South Asian</t>
  </si>
  <si>
    <t>Far East</t>
  </si>
  <si>
    <t>General</t>
  </si>
  <si>
    <t>Census date</t>
  </si>
  <si>
    <t>Country</t>
  </si>
  <si>
    <t>Metric</t>
  </si>
  <si>
    <t>alpha</t>
  </si>
  <si>
    <t>Model LTs</t>
  </si>
  <si>
    <t>Age</t>
  </si>
  <si>
    <t>Sex</t>
  </si>
  <si>
    <t>Male</t>
  </si>
  <si>
    <t>Female</t>
  </si>
  <si>
    <t>Both</t>
  </si>
  <si>
    <t>Females</t>
  </si>
  <si>
    <t>Males</t>
  </si>
  <si>
    <t>Combined</t>
  </si>
  <si>
    <t>Mean age of childbearing</t>
  </si>
  <si>
    <t>UN Latin American</t>
  </si>
  <si>
    <t>UN Chilean</t>
  </si>
  <si>
    <t>UN Far Eastern</t>
  </si>
  <si>
    <t>Selected LT</t>
  </si>
  <si>
    <t>Malawi</t>
  </si>
  <si>
    <t xml:space="preserve">This method is described at: </t>
  </si>
  <si>
    <t>Set input parameters</t>
  </si>
  <si>
    <t>This spreadsheet estimates child mortality from data on the mean number of children ever born and surviving by age of mother, the duration since first birth, or duration since marriage.</t>
  </si>
  <si>
    <t>Enter the country name and data descriptor in the green cell to the right.</t>
  </si>
  <si>
    <t>Record the date of the inquiry in the green cell to the right.</t>
  </si>
  <si>
    <t>Set the mortality parameters for the method in the green cells to the right.</t>
  </si>
  <si>
    <t>Variant of method</t>
  </si>
  <si>
    <t>Family of model life tables</t>
  </si>
  <si>
    <t>Mortality pattern</t>
  </si>
  <si>
    <t>Chile</t>
  </si>
  <si>
    <t xml:space="preserve">Specify the variant of the model to be fitted. </t>
  </si>
  <si>
    <t>Estimation of child mortality using data on children ever born and children surviving - Instructions</t>
  </si>
  <si>
    <r>
      <rPr>
        <b/>
        <i/>
        <sz val="11"/>
        <color theme="1"/>
        <rFont val="Arial Narrow"/>
        <family val="2"/>
      </rPr>
      <t>q</t>
    </r>
    <r>
      <rPr>
        <b/>
        <sz val="11"/>
        <color theme="1"/>
        <rFont val="Arial Narrow"/>
        <family val="2"/>
      </rPr>
      <t>(</t>
    </r>
    <r>
      <rPr>
        <b/>
        <i/>
        <sz val="11"/>
        <color theme="1"/>
        <rFont val="Arial Narrow"/>
        <family val="2"/>
      </rPr>
      <t>x</t>
    </r>
    <r>
      <rPr>
        <b/>
        <sz val="11"/>
        <color theme="1"/>
        <rFont val="Arial Narrow"/>
        <family val="2"/>
      </rPr>
      <t>)</t>
    </r>
  </si>
  <si>
    <t>Results</t>
  </si>
  <si>
    <t>ever born</t>
  </si>
  <si>
    <t>surviving</t>
  </si>
  <si>
    <t>Proportion</t>
  </si>
  <si>
    <t>dead</t>
  </si>
  <si>
    <t>Mean children</t>
  </si>
  <si>
    <r>
      <rPr>
        <b/>
        <i/>
        <sz val="11"/>
        <color theme="1"/>
        <rFont val="Arial Narrow"/>
        <family val="2"/>
      </rPr>
      <t>q</t>
    </r>
    <r>
      <rPr>
        <b/>
        <sz val="11"/>
        <color theme="1"/>
        <rFont val="Arial Narrow"/>
        <family val="2"/>
      </rPr>
      <t>(1)</t>
    </r>
  </si>
  <si>
    <r>
      <rPr>
        <b/>
        <i/>
        <sz val="11"/>
        <color theme="1"/>
        <rFont val="Arial Narrow"/>
        <family val="2"/>
      </rPr>
      <t>q</t>
    </r>
    <r>
      <rPr>
        <b/>
        <sz val="11"/>
        <color theme="1"/>
        <rFont val="Arial Narrow"/>
        <family val="2"/>
      </rPr>
      <t>(5)</t>
    </r>
  </si>
  <si>
    <r>
      <t xml:space="preserve">Estimates of infant mortality, </t>
    </r>
    <r>
      <rPr>
        <i/>
        <sz val="12"/>
        <rFont val="Arial"/>
        <family val="2"/>
      </rPr>
      <t>q(</t>
    </r>
    <r>
      <rPr>
        <sz val="12"/>
        <rFont val="Arial"/>
        <family val="2"/>
      </rPr>
      <t xml:space="preserve">1), and child mortality, </t>
    </r>
    <r>
      <rPr>
        <i/>
        <sz val="12"/>
        <rFont val="Arial"/>
        <family val="2"/>
      </rPr>
      <t>q</t>
    </r>
    <r>
      <rPr>
        <sz val="12"/>
        <rFont val="Arial"/>
        <family val="2"/>
      </rPr>
      <t xml:space="preserve">(5), are located in cells </t>
    </r>
    <r>
      <rPr>
        <b/>
        <sz val="12"/>
        <rFont val="Arial"/>
        <family val="2"/>
      </rPr>
      <t>L5:M10</t>
    </r>
    <r>
      <rPr>
        <sz val="12"/>
        <rFont val="Arial"/>
        <family val="2"/>
      </rPr>
      <t xml:space="preserve"> of the </t>
    </r>
    <r>
      <rPr>
        <b/>
        <i/>
        <sz val="12"/>
        <rFont val="Arial"/>
        <family val="2"/>
      </rPr>
      <t>Method</t>
    </r>
    <r>
      <rPr>
        <sz val="12"/>
        <rFont val="Arial"/>
        <family val="2"/>
      </rPr>
      <t xml:space="preserve"> sheet.</t>
    </r>
  </si>
  <si>
    <r>
      <t xml:space="preserve">Time locations of these estimates are located in cells </t>
    </r>
    <r>
      <rPr>
        <b/>
        <sz val="12"/>
        <rFont val="Arial"/>
        <family val="2"/>
      </rPr>
      <t>K5:K10</t>
    </r>
    <r>
      <rPr>
        <sz val="12"/>
        <rFont val="Arial"/>
        <family val="2"/>
      </rPr>
      <t xml:space="preserve"> of the </t>
    </r>
    <r>
      <rPr>
        <b/>
        <i/>
        <sz val="12"/>
        <rFont val="Arial"/>
        <family val="2"/>
      </rPr>
      <t xml:space="preserve"> Method</t>
    </r>
    <r>
      <rPr>
        <sz val="12"/>
        <rFont val="Arial"/>
        <family val="2"/>
      </rPr>
      <t xml:space="preserve"> sheet.</t>
    </r>
  </si>
  <si>
    <t>Mortality (per 1000)</t>
  </si>
  <si>
    <t>Duration</t>
  </si>
  <si>
    <t>BY DURATION SINCE FIRST BIRTH</t>
  </si>
  <si>
    <t>BY DURATION SINCE MARRIAGE</t>
  </si>
  <si>
    <t>Model variant</t>
  </si>
  <si>
    <t>Model family</t>
  </si>
  <si>
    <t>Model pattern</t>
  </si>
  <si>
    <t>Valid combinations</t>
  </si>
  <si>
    <t>logits with e0 = 60</t>
  </si>
  <si>
    <t>logit l(x)</t>
  </si>
  <si>
    <t>http://demographicestimation.iussp.org/content/indirect-estimation-child-mortality</t>
  </si>
  <si>
    <r>
      <t xml:space="preserve">Place the mean number of children ever born, tabulated according to the variant of the model in cells </t>
    </r>
    <r>
      <rPr>
        <b/>
        <sz val="12"/>
        <rFont val="Arial"/>
        <family val="2"/>
      </rPr>
      <t>B5:B11</t>
    </r>
    <r>
      <rPr>
        <sz val="12"/>
        <rFont val="Arial"/>
        <family val="2"/>
      </rPr>
      <t xml:space="preserve"> of the </t>
    </r>
    <r>
      <rPr>
        <b/>
        <i/>
        <sz val="12"/>
        <rFont val="Arial"/>
        <family val="2"/>
      </rPr>
      <t xml:space="preserve">Method </t>
    </r>
    <r>
      <rPr>
        <sz val="12"/>
        <rFont val="Arial"/>
        <family val="2"/>
      </rPr>
      <t>sheet.</t>
    </r>
  </si>
  <si>
    <r>
      <t xml:space="preserve">Place the mean number of children surviving, tabulated according to the variant of the model in cells </t>
    </r>
    <r>
      <rPr>
        <b/>
        <sz val="12"/>
        <rFont val="Arial"/>
        <family val="2"/>
      </rPr>
      <t>C5:C11</t>
    </r>
    <r>
      <rPr>
        <sz val="12"/>
        <rFont val="Arial"/>
        <family val="2"/>
      </rPr>
      <t xml:space="preserve"> of the </t>
    </r>
    <r>
      <rPr>
        <b/>
        <i/>
        <sz val="12"/>
        <rFont val="Arial"/>
        <family val="2"/>
      </rPr>
      <t xml:space="preserve">Method </t>
    </r>
    <r>
      <rPr>
        <sz val="12"/>
        <rFont val="Arial"/>
        <family val="2"/>
      </rPr>
      <t>sheet.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</si>
</sst>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"/>
    <numFmt numFmtId="166" formatCode="0.0"/>
    <numFmt numFmtId="167" formatCode="General_)"/>
    <numFmt numFmtId="168" formatCode="0_)"/>
    <numFmt numFmtId="169" formatCode="0.0000_)"/>
    <numFmt numFmtId="170" formatCode="0.000_)"/>
    <numFmt numFmtId="171" formatCode="0.00000_)"/>
    <numFmt numFmtId="172" formatCode="0.00000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ourier"/>
      <family val="3"/>
    </font>
    <font>
      <b/>
      <sz val="11"/>
      <name val="Arial Narrow"/>
      <family val="2"/>
    </font>
    <font>
      <sz val="12"/>
      <name val="Helv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006100"/>
      <name val="Arial"/>
      <family val="2"/>
    </font>
    <font>
      <sz val="12"/>
      <color rgb="FF006100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167" fontId="2" fillId="0" borderId="0"/>
    <xf numFmtId="168" fontId="4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0" fillId="0" borderId="0" xfId="0" applyBorder="1"/>
    <xf numFmtId="0" fontId="7" fillId="0" borderId="0" xfId="4" applyFont="1" applyProtection="1"/>
    <xf numFmtId="0" fontId="7" fillId="0" borderId="0" xfId="4" applyFont="1" applyAlignment="1" applyProtection="1">
      <alignment wrapText="1"/>
    </xf>
    <xf numFmtId="0" fontId="6" fillId="0" borderId="0" xfId="4" applyFont="1" applyProtection="1"/>
    <xf numFmtId="0" fontId="7" fillId="0" borderId="0" xfId="4" applyFont="1" applyAlignment="1" applyProtection="1">
      <alignment vertical="center"/>
    </xf>
    <xf numFmtId="0" fontId="7" fillId="0" borderId="0" xfId="4" applyFont="1" applyAlignment="1" applyProtection="1">
      <alignment vertical="top" wrapText="1"/>
    </xf>
    <xf numFmtId="0" fontId="7" fillId="0" borderId="0" xfId="4" applyFont="1" applyAlignment="1" applyProtection="1">
      <alignment vertical="top"/>
    </xf>
    <xf numFmtId="0" fontId="10" fillId="0" borderId="0" xfId="0" applyFont="1"/>
    <xf numFmtId="0" fontId="7" fillId="0" borderId="13" xfId="4" applyFont="1" applyBorder="1" applyAlignment="1" applyProtection="1">
      <alignment horizontal="right"/>
    </xf>
    <xf numFmtId="0" fontId="7" fillId="0" borderId="12" xfId="4" applyFont="1" applyBorder="1" applyAlignment="1" applyProtection="1">
      <alignment horizontal="right"/>
    </xf>
    <xf numFmtId="0" fontId="10" fillId="0" borderId="14" xfId="4" applyFont="1" applyBorder="1" applyAlignment="1" applyProtection="1">
      <alignment horizontal="right"/>
    </xf>
    <xf numFmtId="0" fontId="7" fillId="0" borderId="0" xfId="4" applyFont="1" applyFill="1" applyAlignment="1" applyProtection="1">
      <alignment horizontal="left"/>
    </xf>
    <xf numFmtId="0" fontId="7" fillId="0" borderId="20" xfId="4" applyFont="1" applyBorder="1" applyAlignment="1" applyProtection="1">
      <alignment horizontal="right"/>
    </xf>
    <xf numFmtId="0" fontId="10" fillId="0" borderId="12" xfId="0" applyFont="1" applyBorder="1"/>
    <xf numFmtId="0" fontId="10" fillId="0" borderId="0" xfId="0" applyFont="1" applyBorder="1" applyAlignment="1">
      <alignment horizontal="right"/>
    </xf>
    <xf numFmtId="0" fontId="10" fillId="0" borderId="12" xfId="0" applyFont="1" applyBorder="1" applyAlignment="1">
      <alignment horizontal="right"/>
    </xf>
    <xf numFmtId="0" fontId="10" fillId="0" borderId="14" xfId="0" applyFont="1" applyBorder="1" applyAlignment="1">
      <alignment horizontal="right"/>
    </xf>
    <xf numFmtId="0" fontId="10" fillId="0" borderId="0" xfId="0" applyFont="1" applyBorder="1"/>
    <xf numFmtId="0" fontId="10" fillId="0" borderId="18" xfId="0" applyFont="1" applyBorder="1"/>
    <xf numFmtId="0" fontId="10" fillId="0" borderId="0" xfId="0" applyFont="1" applyProtection="1">
      <protection locked="0"/>
    </xf>
    <xf numFmtId="0" fontId="10" fillId="0" borderId="0" xfId="0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right"/>
    </xf>
    <xf numFmtId="164" fontId="14" fillId="0" borderId="0" xfId="0" applyNumberFormat="1" applyFont="1"/>
    <xf numFmtId="1" fontId="14" fillId="0" borderId="0" xfId="0" applyNumberFormat="1" applyFont="1"/>
    <xf numFmtId="2" fontId="14" fillId="0" borderId="0" xfId="0" applyNumberFormat="1" applyFont="1"/>
    <xf numFmtId="0" fontId="14" fillId="0" borderId="0" xfId="0" applyFont="1" applyAlignment="1">
      <alignment horizontal="right" vertical="center"/>
    </xf>
    <xf numFmtId="165" fontId="14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/>
    </xf>
    <xf numFmtId="0" fontId="7" fillId="0" borderId="0" xfId="4" applyFont="1" applyAlignment="1" applyProtection="1">
      <alignment horizontal="right" vertical="top"/>
    </xf>
    <xf numFmtId="0" fontId="14" fillId="0" borderId="0" xfId="0" applyFont="1" applyAlignment="1">
      <alignment horizontal="center"/>
    </xf>
    <xf numFmtId="0" fontId="16" fillId="0" borderId="7" xfId="0" applyFont="1" applyBorder="1"/>
    <xf numFmtId="0" fontId="16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0" xfId="0" applyNumberFormat="1" applyFont="1"/>
    <xf numFmtId="0" fontId="14" fillId="0" borderId="0" xfId="0" applyFont="1" applyBorder="1"/>
    <xf numFmtId="0" fontId="14" fillId="0" borderId="0" xfId="0" applyFont="1" applyAlignment="1">
      <alignment horizontal="right" vertical="center" wrapText="1"/>
    </xf>
    <xf numFmtId="164" fontId="14" fillId="0" borderId="0" xfId="0" applyNumberFormat="1" applyFont="1" applyAlignment="1">
      <alignment vertical="top" wrapText="1"/>
    </xf>
    <xf numFmtId="1" fontId="14" fillId="0" borderId="0" xfId="0" applyNumberFormat="1" applyFont="1" applyAlignment="1">
      <alignment vertical="top" wrapText="1"/>
    </xf>
    <xf numFmtId="0" fontId="16" fillId="0" borderId="0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16" fontId="16" fillId="0" borderId="0" xfId="0" applyNumberFormat="1" applyFont="1" applyAlignment="1">
      <alignment vertical="center" wrapText="1"/>
    </xf>
    <xf numFmtId="17" fontId="16" fillId="0" borderId="0" xfId="0" applyNumberFormat="1" applyFont="1" applyAlignment="1">
      <alignment vertical="center" wrapText="1"/>
    </xf>
    <xf numFmtId="0" fontId="16" fillId="0" borderId="1" xfId="0" applyFont="1" applyBorder="1"/>
    <xf numFmtId="0" fontId="16" fillId="0" borderId="4" xfId="0" applyFont="1" applyBorder="1"/>
    <xf numFmtId="0" fontId="14" fillId="0" borderId="4" xfId="0" applyFont="1" applyBorder="1"/>
    <xf numFmtId="164" fontId="14" fillId="0" borderId="0" xfId="0" applyNumberFormat="1" applyFont="1" applyBorder="1"/>
    <xf numFmtId="164" fontId="14" fillId="0" borderId="5" xfId="0" applyNumberFormat="1" applyFont="1" applyBorder="1"/>
    <xf numFmtId="0" fontId="14" fillId="0" borderId="4" xfId="0" applyFont="1" applyBorder="1" applyAlignment="1">
      <alignment vertical="top" wrapText="1"/>
    </xf>
    <xf numFmtId="0" fontId="20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right" vertical="center" wrapText="1"/>
    </xf>
    <xf numFmtId="0" fontId="20" fillId="0" borderId="4" xfId="0" applyFont="1" applyBorder="1" applyAlignment="1">
      <alignment vertical="center" wrapText="1"/>
    </xf>
    <xf numFmtId="0" fontId="14" fillId="0" borderId="5" xfId="0" applyFont="1" applyBorder="1"/>
    <xf numFmtId="164" fontId="14" fillId="0" borderId="0" xfId="0" applyNumberFormat="1" applyFont="1" applyBorder="1" applyAlignment="1">
      <alignment horizontal="right" vertical="center" wrapText="1"/>
    </xf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6" fillId="0" borderId="2" xfId="0" applyFont="1" applyBorder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vertical="top"/>
    </xf>
    <xf numFmtId="0" fontId="20" fillId="0" borderId="5" xfId="0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0" fontId="16" fillId="0" borderId="6" xfId="0" applyFont="1" applyBorder="1"/>
    <xf numFmtId="0" fontId="17" fillId="0" borderId="7" xfId="0" applyFont="1" applyBorder="1" applyAlignment="1">
      <alignment horizontal="right"/>
    </xf>
    <xf numFmtId="0" fontId="16" fillId="0" borderId="8" xfId="0" applyFont="1" applyBorder="1"/>
    <xf numFmtId="168" fontId="5" fillId="6" borderId="0" xfId="3" applyFont="1" applyFill="1" applyAlignment="1" applyProtection="1"/>
    <xf numFmtId="168" fontId="5" fillId="6" borderId="23" xfId="3" applyFont="1" applyFill="1" applyBorder="1" applyAlignment="1" applyProtection="1"/>
    <xf numFmtId="168" fontId="5" fillId="6" borderId="24" xfId="3" applyFont="1" applyFill="1" applyBorder="1" applyAlignment="1" applyProtection="1"/>
    <xf numFmtId="168" fontId="5" fillId="6" borderId="9" xfId="3" applyFont="1" applyFill="1" applyBorder="1" applyAlignment="1" applyProtection="1"/>
    <xf numFmtId="170" fontId="5" fillId="6" borderId="0" xfId="3" applyNumberFormat="1" applyFont="1" applyFill="1" applyAlignment="1" applyProtection="1"/>
    <xf numFmtId="0" fontId="14" fillId="0" borderId="7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right" vertical="center" wrapText="1"/>
    </xf>
    <xf numFmtId="1" fontId="14" fillId="0" borderId="4" xfId="0" applyNumberFormat="1" applyFont="1" applyBorder="1"/>
    <xf numFmtId="1" fontId="14" fillId="0" borderId="0" xfId="0" applyNumberFormat="1" applyFont="1" applyBorder="1"/>
    <xf numFmtId="1" fontId="14" fillId="0" borderId="5" xfId="0" applyNumberFormat="1" applyFont="1" applyBorder="1"/>
    <xf numFmtId="168" fontId="5" fillId="0" borderId="1" xfId="3" applyFont="1" applyFill="1" applyBorder="1" applyAlignment="1" applyProtection="1"/>
    <xf numFmtId="168" fontId="5" fillId="0" borderId="4" xfId="3" applyFont="1" applyFill="1" applyBorder="1" applyAlignment="1" applyProtection="1"/>
    <xf numFmtId="171" fontId="5" fillId="0" borderId="0" xfId="3" applyNumberFormat="1" applyFont="1" applyFill="1" applyBorder="1" applyAlignment="1" applyProtection="1"/>
    <xf numFmtId="168" fontId="5" fillId="0" borderId="6" xfId="3" applyFont="1" applyFill="1" applyBorder="1" applyAlignment="1" applyProtection="1"/>
    <xf numFmtId="164" fontId="15" fillId="2" borderId="0" xfId="1" applyNumberFormat="1" applyFont="1" applyProtection="1">
      <protection locked="0"/>
    </xf>
    <xf numFmtId="172" fontId="14" fillId="0" borderId="4" xfId="0" applyNumberFormat="1" applyFont="1" applyBorder="1"/>
    <xf numFmtId="172" fontId="14" fillId="0" borderId="0" xfId="0" applyNumberFormat="1" applyFont="1" applyBorder="1"/>
    <xf numFmtId="172" fontId="14" fillId="0" borderId="5" xfId="0" applyNumberFormat="1" applyFont="1" applyBorder="1"/>
    <xf numFmtId="172" fontId="14" fillId="0" borderId="6" xfId="0" applyNumberFormat="1" applyFont="1" applyBorder="1"/>
    <xf numFmtId="172" fontId="14" fillId="0" borderId="7" xfId="0" applyNumberFormat="1" applyFont="1" applyBorder="1"/>
    <xf numFmtId="172" fontId="14" fillId="0" borderId="8" xfId="0" applyNumberFormat="1" applyFont="1" applyBorder="1"/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17" fillId="0" borderId="0" xfId="0" applyFont="1" applyBorder="1" applyAlignment="1">
      <alignment horizontal="right"/>
    </xf>
    <xf numFmtId="169" fontId="5" fillId="0" borderId="0" xfId="3" applyNumberFormat="1" applyFont="1" applyFill="1" applyBorder="1" applyAlignment="1" applyProtection="1"/>
    <xf numFmtId="0" fontId="17" fillId="0" borderId="0" xfId="0" applyFont="1" applyBorder="1"/>
    <xf numFmtId="0" fontId="16" fillId="0" borderId="0" xfId="0" applyFont="1" applyBorder="1" applyAlignment="1"/>
    <xf numFmtId="0" fontId="14" fillId="0" borderId="3" xfId="0" applyFont="1" applyBorder="1"/>
    <xf numFmtId="171" fontId="5" fillId="0" borderId="5" xfId="3" applyNumberFormat="1" applyFont="1" applyFill="1" applyBorder="1" applyAlignment="1" applyProtection="1"/>
    <xf numFmtId="171" fontId="5" fillId="0" borderId="8" xfId="3" applyNumberFormat="1" applyFont="1" applyFill="1" applyBorder="1" applyAlignment="1" applyProtection="1"/>
    <xf numFmtId="164" fontId="14" fillId="0" borderId="0" xfId="0" applyNumberFormat="1" applyFont="1" applyBorder="1" applyAlignment="1">
      <alignment vertical="center"/>
    </xf>
    <xf numFmtId="0" fontId="11" fillId="0" borderId="0" xfId="0" applyFont="1" applyAlignment="1">
      <alignment horizontal="center" vertical="top" wrapText="1"/>
    </xf>
    <xf numFmtId="165" fontId="12" fillId="2" borderId="15" xfId="1" applyNumberFormat="1" applyFont="1" applyBorder="1" applyAlignment="1" applyProtection="1">
      <alignment horizontal="center"/>
      <protection locked="0"/>
    </xf>
    <xf numFmtId="165" fontId="12" fillId="2" borderId="17" xfId="1" applyNumberFormat="1" applyFont="1" applyBorder="1" applyAlignment="1" applyProtection="1">
      <alignment horizontal="center"/>
      <protection locked="0"/>
    </xf>
    <xf numFmtId="0" fontId="13" fillId="3" borderId="0" xfId="1" applyFont="1" applyFill="1" applyBorder="1" applyAlignment="1" applyProtection="1">
      <alignment horizontal="center"/>
    </xf>
    <xf numFmtId="0" fontId="13" fillId="3" borderId="18" xfId="1" applyFont="1" applyFill="1" applyBorder="1" applyAlignment="1" applyProtection="1">
      <alignment horizontal="center"/>
    </xf>
    <xf numFmtId="14" fontId="13" fillId="2" borderId="16" xfId="1" applyNumberFormat="1" applyFont="1" applyBorder="1" applyAlignment="1" applyProtection="1">
      <alignment horizontal="center"/>
      <protection locked="0"/>
    </xf>
    <xf numFmtId="14" fontId="13" fillId="2" borderId="19" xfId="1" applyNumberFormat="1" applyFont="1" applyBorder="1" applyAlignment="1" applyProtection="1">
      <alignment horizontal="center"/>
      <protection locked="0"/>
    </xf>
    <xf numFmtId="165" fontId="13" fillId="2" borderId="21" xfId="1" applyNumberFormat="1" applyFont="1" applyBorder="1" applyAlignment="1" applyProtection="1">
      <alignment horizontal="right"/>
      <protection locked="0"/>
    </xf>
    <xf numFmtId="165" fontId="13" fillId="2" borderId="22" xfId="1" applyNumberFormat="1" applyFont="1" applyBorder="1" applyAlignment="1" applyProtection="1">
      <alignment horizontal="right"/>
      <protection locked="0"/>
    </xf>
    <xf numFmtId="165" fontId="13" fillId="2" borderId="15" xfId="1" applyNumberFormat="1" applyFont="1" applyBorder="1" applyAlignment="1" applyProtection="1">
      <alignment horizontal="right"/>
      <protection locked="0"/>
    </xf>
    <xf numFmtId="165" fontId="13" fillId="2" borderId="17" xfId="1" applyNumberFormat="1" applyFont="1" applyBorder="1" applyAlignment="1" applyProtection="1">
      <alignment horizontal="right"/>
      <protection locked="0"/>
    </xf>
    <xf numFmtId="0" fontId="6" fillId="4" borderId="10" xfId="4" applyFont="1" applyFill="1" applyBorder="1" applyAlignment="1" applyProtection="1">
      <alignment horizontal="center" wrapText="1"/>
    </xf>
    <xf numFmtId="0" fontId="6" fillId="4" borderId="11" xfId="4" applyFont="1" applyFill="1" applyBorder="1" applyAlignment="1" applyProtection="1">
      <alignment horizontal="center" wrapText="1"/>
    </xf>
    <xf numFmtId="0" fontId="7" fillId="0" borderId="0" xfId="4" applyFont="1" applyAlignment="1" applyProtection="1">
      <alignment horizontal="left" vertical="top" wrapText="1"/>
    </xf>
    <xf numFmtId="165" fontId="13" fillId="2" borderId="0" xfId="1" applyNumberFormat="1" applyFont="1" applyBorder="1" applyAlignment="1" applyProtection="1">
      <alignment horizontal="right"/>
      <protection locked="0"/>
    </xf>
    <xf numFmtId="165" fontId="13" fillId="2" borderId="18" xfId="1" applyNumberFormat="1" applyFont="1" applyBorder="1" applyAlignment="1" applyProtection="1">
      <alignment horizontal="right"/>
      <protection locked="0"/>
    </xf>
    <xf numFmtId="0" fontId="13" fillId="5" borderId="16" xfId="0" applyFont="1" applyFill="1" applyBorder="1" applyAlignment="1" applyProtection="1">
      <alignment horizontal="right"/>
      <protection locked="0"/>
    </xf>
    <xf numFmtId="0" fontId="13" fillId="5" borderId="19" xfId="0" applyFont="1" applyFill="1" applyBorder="1" applyAlignment="1" applyProtection="1">
      <alignment horizontal="right"/>
      <protection locked="0"/>
    </xf>
    <xf numFmtId="0" fontId="13" fillId="2" borderId="0" xfId="1" applyFont="1" applyBorder="1" applyAlignment="1" applyProtection="1">
      <alignment horizontal="right"/>
      <protection locked="0"/>
    </xf>
    <xf numFmtId="0" fontId="13" fillId="2" borderId="18" xfId="1" applyFont="1" applyBorder="1" applyAlignment="1" applyProtection="1">
      <alignment horizontal="right"/>
      <protection locked="0"/>
    </xf>
    <xf numFmtId="167" fontId="9" fillId="0" borderId="12" xfId="5" applyNumberFormat="1" applyFont="1" applyFill="1" applyBorder="1" applyAlignment="1" applyProtection="1">
      <alignment horizontal="center"/>
      <protection locked="0"/>
    </xf>
    <xf numFmtId="167" fontId="9" fillId="0" borderId="0" xfId="5" applyNumberFormat="1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8" fontId="3" fillId="6" borderId="0" xfId="3" applyFont="1" applyFill="1" applyAlignment="1" applyProtection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</cellXfs>
  <cellStyles count="6">
    <cellStyle name="Good" xfId="1" builtinId="26"/>
    <cellStyle name="Hyperlink" xfId="5" builtinId="8"/>
    <cellStyle name="Normal" xfId="0" builtinId="0"/>
    <cellStyle name="Normal 2" xfId="3"/>
    <cellStyle name="Normal 3" xfId="2"/>
    <cellStyle name="Normal 3 2 2" xfId="4"/>
  </cellStyles>
  <dxfs count="4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Coefficients!$AH$5</c:f>
          <c:strCache>
            <c:ptCount val="1"/>
            <c:pt idx="0">
              <c:v>Malawi 2010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Method!$M$4</c:f>
              <c:strCache>
                <c:ptCount val="1"/>
                <c:pt idx="0">
                  <c:v>q(5)</c:v>
                </c:pt>
              </c:strCache>
            </c:strRef>
          </c:tx>
          <c:dPt>
            <c:idx val="1"/>
            <c:bubble3D val="0"/>
            <c:spPr>
              <a:ln>
                <a:prstDash val="sysDash"/>
              </a:ln>
            </c:spPr>
          </c:dPt>
          <c:xVal>
            <c:numRef>
              <c:f>Method!$K$5:$K$11</c:f>
              <c:numCache>
                <c:formatCode>0.00</c:formatCode>
                <c:ptCount val="7"/>
                <c:pt idx="0">
                  <c:v>2009.8486729890262</c:v>
                </c:pt>
                <c:pt idx="1">
                  <c:v>2008.5349589863179</c:v>
                </c:pt>
                <c:pt idx="2">
                  <c:v>2006.6744489498128</c:v>
                </c:pt>
                <c:pt idx="3">
                  <c:v>2004.3173870104858</c:v>
                </c:pt>
                <c:pt idx="4">
                  <c:v>2001.6376821092142</c:v>
                </c:pt>
                <c:pt idx="5">
                  <c:v>1998.6428508596196</c:v>
                </c:pt>
                <c:pt idx="6">
                  <c:v>1994.9764233914636</c:v>
                </c:pt>
              </c:numCache>
            </c:numRef>
          </c:xVal>
          <c:yVal>
            <c:numRef>
              <c:f>Method!$M$5:$M$11</c:f>
              <c:numCache>
                <c:formatCode>0.0</c:formatCode>
                <c:ptCount val="7"/>
                <c:pt idx="0">
                  <c:v>156.08287112454678</c:v>
                </c:pt>
                <c:pt idx="1">
                  <c:v>140.98339269274618</c:v>
                </c:pt>
                <c:pt idx="2">
                  <c:v>145.34555715777685</c:v>
                </c:pt>
                <c:pt idx="3">
                  <c:v>163.12240464940254</c:v>
                </c:pt>
                <c:pt idx="4">
                  <c:v>179.62319915075818</c:v>
                </c:pt>
                <c:pt idx="5">
                  <c:v>196.20191106271912</c:v>
                </c:pt>
                <c:pt idx="6">
                  <c:v>211.93264648505382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Method!$L$4</c:f>
              <c:strCache>
                <c:ptCount val="1"/>
                <c:pt idx="0">
                  <c:v>q(1)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0000"/>
                </a:solidFill>
                <a:prstDash val="sysDash"/>
              </a:ln>
            </c:spPr>
          </c:dPt>
          <c:xVal>
            <c:numRef>
              <c:f>Method!$K$5:$K$11</c:f>
              <c:numCache>
                <c:formatCode>0.00</c:formatCode>
                <c:ptCount val="7"/>
                <c:pt idx="0">
                  <c:v>2009.8486729890262</c:v>
                </c:pt>
                <c:pt idx="1">
                  <c:v>2008.5349589863179</c:v>
                </c:pt>
                <c:pt idx="2">
                  <c:v>2006.6744489498128</c:v>
                </c:pt>
                <c:pt idx="3">
                  <c:v>2004.3173870104858</c:v>
                </c:pt>
                <c:pt idx="4">
                  <c:v>2001.6376821092142</c:v>
                </c:pt>
                <c:pt idx="5">
                  <c:v>1998.6428508596196</c:v>
                </c:pt>
                <c:pt idx="6">
                  <c:v>1994.9764233914636</c:v>
                </c:pt>
              </c:numCache>
            </c:numRef>
          </c:xVal>
          <c:yVal>
            <c:numRef>
              <c:f>Method!$L$5:$L$11</c:f>
              <c:numCache>
                <c:formatCode>0.0</c:formatCode>
                <c:ptCount val="7"/>
                <c:pt idx="0">
                  <c:v>105.44178711547158</c:v>
                </c:pt>
                <c:pt idx="1">
                  <c:v>94.691639446607752</c:v>
                </c:pt>
                <c:pt idx="2">
                  <c:v>97.784536222684565</c:v>
                </c:pt>
                <c:pt idx="3">
                  <c:v>110.49639147319756</c:v>
                </c:pt>
                <c:pt idx="4">
                  <c:v>122.45268333830828</c:v>
                </c:pt>
                <c:pt idx="5">
                  <c:v>134.62060058354842</c:v>
                </c:pt>
                <c:pt idx="6">
                  <c:v>146.31270800903951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5712"/>
        <c:axId val="48556288"/>
      </c:scatterChart>
      <c:valAx>
        <c:axId val="485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48556288"/>
        <c:crosses val="autoZero"/>
        <c:crossBetween val="midCat"/>
        <c:majorUnit val="5"/>
      </c:valAx>
      <c:valAx>
        <c:axId val="48556288"/>
        <c:scaling>
          <c:orientation val="minMax"/>
        </c:scaling>
        <c:delete val="0"/>
        <c:axPos val="l"/>
        <c:majorGridlines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Mortality (per 1000)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8555712"/>
        <c:crosses val="autoZero"/>
        <c:crossBetween val="midCat"/>
      </c:valAx>
      <c:spPr>
        <a:solidFill>
          <a:schemeClr val="bg1"/>
        </a:solidFill>
      </c:spPr>
    </c:plotArea>
    <c:legend>
      <c:legendPos val="b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solidFill>
      <a:srgbClr val="D7E6E6"/>
    </a:solidFill>
    <a:ln>
      <a:noFill/>
    </a:ln>
  </c:spPr>
  <c:txPr>
    <a:bodyPr/>
    <a:lstStyle/>
    <a:p>
      <a:pPr>
        <a:defRPr sz="1200">
          <a:latin typeface="Verdana" pitchFamily="34" charset="0"/>
          <a:ea typeface="Verdana" pitchFamily="34" charset="0"/>
          <a:cs typeface="Verdana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608400</xdr:colOff>
      <xdr:row>30</xdr:row>
      <xdr:rowOff>138600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mographicestimation.iussp.org/content/indirect-estimation-child-mortali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workbookViewId="0">
      <selection activeCell="D12" sqref="D12"/>
    </sheetView>
  </sheetViews>
  <sheetFormatPr defaultRowHeight="15.75" x14ac:dyDescent="0.25"/>
  <cols>
    <col min="1" max="1" width="4" customWidth="1" collapsed="1"/>
    <col min="2" max="2" width="75.140625" customWidth="1" collapsed="1"/>
    <col min="3" max="3" width="27.7109375" style="8" customWidth="1" collapsed="1"/>
    <col min="4" max="5" width="8.42578125" style="8" customWidth="1" collapsed="1"/>
    <col min="6" max="6" width="8.85546875" style="8" customWidth="1" collapsed="1"/>
  </cols>
  <sheetData>
    <row r="1" spans="1:6" ht="41.25" customHeight="1" x14ac:dyDescent="0.25">
      <c r="A1" s="114" t="s">
        <v>79</v>
      </c>
      <c r="B1" s="115"/>
    </row>
    <row r="3" spans="1:6" x14ac:dyDescent="0.25">
      <c r="A3" s="12" t="s">
        <v>68</v>
      </c>
      <c r="B3" s="12"/>
    </row>
    <row r="4" spans="1:6" x14ac:dyDescent="0.25">
      <c r="A4" s="123" t="s">
        <v>101</v>
      </c>
      <c r="B4" s="124"/>
      <c r="C4" s="20"/>
    </row>
    <row r="5" spans="1:6" x14ac:dyDescent="0.25">
      <c r="A5" s="2"/>
      <c r="B5" s="3"/>
    </row>
    <row r="6" spans="1:6" ht="50.25" customHeight="1" x14ac:dyDescent="0.25">
      <c r="A6" s="116" t="s">
        <v>70</v>
      </c>
      <c r="B6" s="116"/>
    </row>
    <row r="7" spans="1:6" x14ac:dyDescent="0.25">
      <c r="A7" s="2"/>
      <c r="B7" s="3"/>
    </row>
    <row r="8" spans="1:6" ht="16.5" thickBot="1" x14ac:dyDescent="0.3">
      <c r="A8" s="4" t="s">
        <v>69</v>
      </c>
      <c r="B8" s="3"/>
    </row>
    <row r="9" spans="1:6" x14ac:dyDescent="0.25">
      <c r="A9" s="5">
        <v>1</v>
      </c>
      <c r="B9" s="6" t="s">
        <v>71</v>
      </c>
      <c r="C9" s="9" t="s">
        <v>50</v>
      </c>
      <c r="D9" s="104" t="s">
        <v>67</v>
      </c>
      <c r="E9" s="104"/>
      <c r="F9" s="105" t="s">
        <v>67</v>
      </c>
    </row>
    <row r="10" spans="1:6" x14ac:dyDescent="0.25">
      <c r="A10" s="7"/>
      <c r="B10" s="3"/>
      <c r="C10" s="10"/>
      <c r="D10" s="106"/>
      <c r="E10" s="106"/>
      <c r="F10" s="107"/>
    </row>
    <row r="11" spans="1:6" ht="16.5" thickBot="1" x14ac:dyDescent="0.3">
      <c r="A11" s="3">
        <v>2</v>
      </c>
      <c r="B11" s="3" t="s">
        <v>72</v>
      </c>
      <c r="C11" s="11" t="s">
        <v>49</v>
      </c>
      <c r="D11" s="108">
        <v>40509</v>
      </c>
      <c r="E11" s="108"/>
      <c r="F11" s="109">
        <v>39617</v>
      </c>
    </row>
    <row r="12" spans="1:6" x14ac:dyDescent="0.25">
      <c r="A12" s="7"/>
      <c r="B12" s="3"/>
    </row>
    <row r="13" spans="1:6" ht="16.5" thickBot="1" x14ac:dyDescent="0.3">
      <c r="A13" s="7"/>
      <c r="B13" s="3"/>
    </row>
    <row r="14" spans="1:6" ht="16.5" thickBot="1" x14ac:dyDescent="0.3">
      <c r="A14" s="6">
        <v>3</v>
      </c>
      <c r="B14" s="3" t="s">
        <v>78</v>
      </c>
      <c r="C14" s="13" t="s">
        <v>74</v>
      </c>
      <c r="D14" s="110" t="s">
        <v>26</v>
      </c>
      <c r="E14" s="110"/>
      <c r="F14" s="111"/>
    </row>
    <row r="15" spans="1:6" x14ac:dyDescent="0.25">
      <c r="B15" s="1"/>
      <c r="C15" s="18"/>
      <c r="D15" s="18"/>
      <c r="E15" s="18"/>
      <c r="F15" s="18"/>
    </row>
    <row r="16" spans="1:6" ht="16.5" thickBot="1" x14ac:dyDescent="0.3">
      <c r="B16" s="1"/>
      <c r="C16" s="18"/>
      <c r="D16" s="15"/>
      <c r="E16" s="15"/>
      <c r="F16" s="15"/>
    </row>
    <row r="17" spans="1:6" x14ac:dyDescent="0.25">
      <c r="A17" s="2">
        <v>4</v>
      </c>
      <c r="B17" s="3" t="s">
        <v>73</v>
      </c>
      <c r="C17" s="9" t="s">
        <v>75</v>
      </c>
      <c r="D17" s="112" t="s">
        <v>40</v>
      </c>
      <c r="E17" s="112"/>
      <c r="F17" s="113"/>
    </row>
    <row r="18" spans="1:6" x14ac:dyDescent="0.25">
      <c r="C18" s="10" t="s">
        <v>76</v>
      </c>
      <c r="D18" s="117" t="s">
        <v>45</v>
      </c>
      <c r="E18" s="117"/>
      <c r="F18" s="118"/>
    </row>
    <row r="19" spans="1:6" ht="7.5" customHeight="1" x14ac:dyDescent="0.25">
      <c r="C19" s="14"/>
      <c r="D19" s="18"/>
      <c r="E19" s="18"/>
      <c r="F19" s="19"/>
    </row>
    <row r="20" spans="1:6" x14ac:dyDescent="0.25">
      <c r="C20" s="16" t="s">
        <v>55</v>
      </c>
      <c r="D20" s="121" t="s">
        <v>58</v>
      </c>
      <c r="E20" s="121"/>
      <c r="F20" s="122"/>
    </row>
    <row r="21" spans="1:6" ht="16.5" thickBot="1" x14ac:dyDescent="0.3">
      <c r="C21" s="17" t="s">
        <v>62</v>
      </c>
      <c r="D21" s="119">
        <v>27.93</v>
      </c>
      <c r="E21" s="119"/>
      <c r="F21" s="120"/>
    </row>
    <row r="23" spans="1:6" ht="30.75" customHeight="1" x14ac:dyDescent="0.25">
      <c r="A23" s="31">
        <v>5</v>
      </c>
      <c r="B23" s="3" t="s">
        <v>102</v>
      </c>
      <c r="C23" s="103" t="str">
        <f>IF(ISNA(VLOOKUP(VALUE(RIGHT(Coefficients!AM5,3)),Coefficients!$AI$34:$AI$50,1,FALSE)),"INVALID SELECTION - Please ensure that your choice of variant; family and pattern are consistent.","")</f>
        <v/>
      </c>
      <c r="D23" s="103"/>
      <c r="E23" s="103"/>
      <c r="F23" s="103"/>
    </row>
    <row r="24" spans="1:6" x14ac:dyDescent="0.25">
      <c r="A24" s="2"/>
      <c r="B24" s="3"/>
      <c r="C24" s="21"/>
      <c r="D24" s="21"/>
      <c r="E24" s="21"/>
      <c r="F24" s="21"/>
    </row>
    <row r="25" spans="1:6" ht="30.75" x14ac:dyDescent="0.25">
      <c r="A25" s="31">
        <v>6</v>
      </c>
      <c r="B25" s="3" t="s">
        <v>103</v>
      </c>
      <c r="C25" s="21"/>
      <c r="D25" s="21"/>
      <c r="E25" s="21"/>
      <c r="F25" s="21"/>
    </row>
    <row r="26" spans="1:6" x14ac:dyDescent="0.25">
      <c r="A26" s="2"/>
      <c r="B26" s="3"/>
    </row>
    <row r="27" spans="1:6" x14ac:dyDescent="0.25">
      <c r="A27" s="4" t="s">
        <v>81</v>
      </c>
      <c r="B27" s="3"/>
    </row>
    <row r="28" spans="1:6" ht="30.75" x14ac:dyDescent="0.25">
      <c r="A28" s="2"/>
      <c r="B28" s="3" t="s">
        <v>89</v>
      </c>
    </row>
    <row r="29" spans="1:6" ht="31.5" x14ac:dyDescent="0.25">
      <c r="A29" s="2"/>
      <c r="B29" s="3" t="s">
        <v>90</v>
      </c>
    </row>
    <row r="30" spans="1:6" x14ac:dyDescent="0.25">
      <c r="A30" s="2"/>
      <c r="B30" s="3"/>
    </row>
    <row r="31" spans="1:6" x14ac:dyDescent="0.25">
      <c r="A31" s="2"/>
      <c r="B31" s="3"/>
    </row>
    <row r="32" spans="1:6" x14ac:dyDescent="0.25">
      <c r="A32" s="2"/>
      <c r="B32" s="3"/>
    </row>
    <row r="33" spans="1:2" x14ac:dyDescent="0.25">
      <c r="A33" s="2"/>
      <c r="B33" s="3"/>
    </row>
    <row r="34" spans="1:2" x14ac:dyDescent="0.25">
      <c r="A34" s="2"/>
      <c r="B34" s="3"/>
    </row>
    <row r="35" spans="1:2" x14ac:dyDescent="0.25">
      <c r="A35" s="2"/>
      <c r="B35" s="3"/>
    </row>
  </sheetData>
  <mergeCells count="12">
    <mergeCell ref="A1:B1"/>
    <mergeCell ref="A6:B6"/>
    <mergeCell ref="D18:F18"/>
    <mergeCell ref="D21:F21"/>
    <mergeCell ref="D20:F20"/>
    <mergeCell ref="A4:B4"/>
    <mergeCell ref="C23:F23"/>
    <mergeCell ref="D9:F9"/>
    <mergeCell ref="D10:F10"/>
    <mergeCell ref="D11:F11"/>
    <mergeCell ref="D14:F14"/>
    <mergeCell ref="D17:F17"/>
  </mergeCells>
  <conditionalFormatting sqref="C21">
    <cfRule type="expression" dxfId="3" priority="3">
      <formula>FamSelect=1</formula>
    </cfRule>
  </conditionalFormatting>
  <conditionalFormatting sqref="D21">
    <cfRule type="expression" dxfId="2" priority="1">
      <formula>FamSelect=1</formula>
    </cfRule>
  </conditionalFormatting>
  <dataValidations xWindow="930" yWindow="429" count="7">
    <dataValidation type="list" allowBlank="1" showInputMessage="1" showErrorMessage="1" sqref="D17">
      <formula1>Family</formula1>
    </dataValidation>
    <dataValidation type="date" showInputMessage="1" showErrorMessage="1" sqref="F11">
      <formula1>18264</formula1>
      <formula2>54788</formula2>
    </dataValidation>
    <dataValidation type="list" allowBlank="1" showInputMessage="1" showErrorMessage="1" sqref="D20">
      <formula1>Sex</formula1>
    </dataValidation>
    <dataValidation type="decimal" allowBlank="1" showInputMessage="1" showErrorMessage="1" sqref="F25">
      <formula1>99</formula1>
      <formula2>110</formula2>
    </dataValidation>
    <dataValidation type="list" allowBlank="1" showInputMessage="1" showErrorMessage="1" promptTitle="Variant of method" prompt="Usually this is by age of mother; but models based on duration since first birth, or duration since marriage can also be fitted. The last two models can be fitted ONLY using the Princeton life tables." sqref="D14:F14">
      <formula1>Variant</formula1>
    </dataValidation>
    <dataValidation type="list" showInputMessage="1" showErrorMessage="1" sqref="D18:F18">
      <formula1>IF(FamSelect=1,Princeton,UN)</formula1>
    </dataValidation>
    <dataValidation type="list" showDropDown="1" showInputMessage="1" showErrorMessage="1" sqref="A4">
      <formula1>"http://demographicestimation.iussp.org/content/indirect-estimation-child-mortality"</formula1>
    </dataValidation>
  </dataValidations>
  <hyperlinks>
    <hyperlink ref="A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M5" sqref="M5"/>
    </sheetView>
  </sheetViews>
  <sheetFormatPr defaultRowHeight="12.75" x14ac:dyDescent="0.2"/>
  <cols>
    <col min="1" max="1" width="22.42578125" style="22" bestFit="1" customWidth="1" collapsed="1"/>
    <col min="2" max="3" width="14.28515625" style="22" customWidth="1" collapsed="1"/>
    <col min="4" max="4" width="10.42578125" style="22" bestFit="1" customWidth="1" collapsed="1"/>
    <col min="5" max="5" width="1.42578125" style="22" customWidth="1" collapsed="1"/>
    <col min="6" max="6" width="3" style="22" bestFit="1" customWidth="1" collapsed="1"/>
    <col min="7" max="7" width="18.7109375" style="22" customWidth="1" collapsed="1"/>
    <col min="8" max="8" width="1.42578125" style="22" customWidth="1" collapsed="1"/>
    <col min="9" max="9" width="9.28515625" style="22" bestFit="1" customWidth="1" collapsed="1"/>
    <col min="10" max="10" width="1.42578125" style="22" customWidth="1" collapsed="1"/>
    <col min="11" max="11" width="12.85546875" style="22" bestFit="1" customWidth="1" collapsed="1"/>
    <col min="12" max="13" width="9.28515625" style="22" bestFit="1" customWidth="1" collapsed="1"/>
    <col min="14" max="16384" width="9.140625" style="22" collapsed="1"/>
  </cols>
  <sheetData>
    <row r="1" spans="1:14" ht="16.5" x14ac:dyDescent="0.3">
      <c r="A1" s="29" t="str">
        <f>"Data from the "&amp;TEXT(YEAR(Introduction!D11),"####")&amp;" census of "&amp;Introduction!D9</f>
        <v>Data from the 2010 census of Malawi</v>
      </c>
    </row>
    <row r="3" spans="1:14" ht="16.5" x14ac:dyDescent="0.3">
      <c r="B3" s="30" t="s">
        <v>86</v>
      </c>
      <c r="C3" s="30" t="s">
        <v>86</v>
      </c>
      <c r="D3" s="30" t="s">
        <v>84</v>
      </c>
      <c r="E3" s="32"/>
      <c r="F3" s="32"/>
      <c r="G3" s="32"/>
      <c r="H3" s="32"/>
      <c r="I3" s="32"/>
      <c r="J3" s="32"/>
      <c r="K3" s="32"/>
      <c r="L3" s="125" t="s">
        <v>91</v>
      </c>
      <c r="M3" s="125"/>
    </row>
    <row r="4" spans="1:14" ht="16.5" x14ac:dyDescent="0.3">
      <c r="A4" s="33" t="str">
        <f>Introduction!D14</f>
        <v>Age of mother</v>
      </c>
      <c r="B4" s="34" t="s">
        <v>82</v>
      </c>
      <c r="C4" s="34" t="s">
        <v>83</v>
      </c>
      <c r="D4" s="34" t="s">
        <v>85</v>
      </c>
      <c r="E4" s="34"/>
      <c r="F4" s="35" t="s">
        <v>28</v>
      </c>
      <c r="G4" s="34" t="s">
        <v>80</v>
      </c>
      <c r="H4" s="36"/>
      <c r="I4" s="34" t="s">
        <v>52</v>
      </c>
      <c r="J4" s="34"/>
      <c r="K4" s="34" t="s">
        <v>16</v>
      </c>
      <c r="L4" s="34" t="s">
        <v>87</v>
      </c>
      <c r="M4" s="34" t="s">
        <v>88</v>
      </c>
    </row>
    <row r="5" spans="1:14" x14ac:dyDescent="0.2">
      <c r="A5" s="23" t="str">
        <f>IF(Coefficients!$AJ$23=1,Coefficients!A6,IF(Coefficients!$AJ$23=2,Coefficients!L17,Coefficients!W17))</f>
        <v>15-19</v>
      </c>
      <c r="B5" s="85">
        <v>0.2833</v>
      </c>
      <c r="C5" s="85">
        <v>0.254</v>
      </c>
      <c r="D5" s="24">
        <f>1-C5/B5</f>
        <v>0.10342393222732083</v>
      </c>
      <c r="F5" s="25">
        <f ca="1">Coefficients!AV7</f>
        <v>1</v>
      </c>
      <c r="G5" s="24">
        <f ca="1">D5*(Coefficients!AM7+Coefficients!AN7*$B$5/$B$6+Coefficients!AO7*$B$6/$B$7+Coefficients!AP7*Introduction!$D$21)</f>
        <v>0.10544178711547161</v>
      </c>
      <c r="I5" s="24">
        <f ca="1">0.5*LN(G5/(1-G5))-VLOOKUP(F5,Coefficients!$AM$17:$AN$25,2,FALSE)</f>
        <v>0.16168453659957804</v>
      </c>
      <c r="J5" s="26"/>
      <c r="K5" s="26">
        <f ca="1">Coefficients!$AJ$6-(Coefficients!AR7+Coefficients!AS7*$B$5/$B$6+Coefficients!AT7*$B$6/$B$7)</f>
        <v>2009.8486729890262</v>
      </c>
      <c r="L5" s="37">
        <f ca="1">IF(I5="","",1000*(1-(1+EXP(2*($I5+Coefficients!$AN$18)))^-1))</f>
        <v>105.44178711547158</v>
      </c>
      <c r="M5" s="37">
        <f ca="1">IF(I5="","",1000*(1-(1+EXP(2*($I5+Coefficients!$AN$22)))^-1))</f>
        <v>156.08287112454678</v>
      </c>
      <c r="N5" s="27"/>
    </row>
    <row r="6" spans="1:14" x14ac:dyDescent="0.2">
      <c r="A6" s="23" t="str">
        <f>IF(Coefficients!$AJ$23=1,Coefficients!A7,IF(Coefficients!$AJ$23=2,Coefficients!L18,Coefficients!W18))</f>
        <v>20-24</v>
      </c>
      <c r="B6" s="85">
        <v>1.5316000000000001</v>
      </c>
      <c r="C6" s="85">
        <v>1.3562000000000001</v>
      </c>
      <c r="D6" s="24">
        <f t="shared" ref="D6:D11" si="0">1-C6/B6</f>
        <v>0.11452076260120136</v>
      </c>
      <c r="F6" s="25">
        <f ca="1">Coefficients!AV8</f>
        <v>2</v>
      </c>
      <c r="G6" s="24">
        <f ca="1">D6*(Coefficients!AM8+Coefficients!AN8*$B$5/$B$6+Coefficients!AO8*$B$6/$B$7+Coefficients!AP8*Introduction!$D$21)</f>
        <v>0.11711091622089008</v>
      </c>
      <c r="I6" s="24">
        <f ca="1">0.5*LN(G6/(1-G6))-VLOOKUP(F6,Coefficients!$AM$17:$AN$25,2,FALSE)</f>
        <v>0.10194506455067476</v>
      </c>
      <c r="J6" s="26"/>
      <c r="K6" s="26">
        <f ca="1">Coefficients!$AJ$6-(Coefficients!AR8+Coefficients!AS8*$B$5/$B$6+Coefficients!AT8*$B$6/$B$7)</f>
        <v>2008.5349589863179</v>
      </c>
      <c r="L6" s="37">
        <f ca="1">IF(I6="","",1000*(1-(1+EXP(2*($I6+Coefficients!$AN$18)))^-1))</f>
        <v>94.691639446607752</v>
      </c>
      <c r="M6" s="37">
        <f ca="1">IF(I6="","",1000*(1-(1+EXP(2*($I6+Coefficients!$AN$22)))^-1))</f>
        <v>140.98339269274618</v>
      </c>
      <c r="N6" s="27"/>
    </row>
    <row r="7" spans="1:14" x14ac:dyDescent="0.2">
      <c r="A7" s="23" t="str">
        <f>IF(Coefficients!$AJ$23=1,Coefficients!A8,IF(Coefficients!$AJ$23=2,Coefficients!L19,Coefficients!W19))</f>
        <v>25-29</v>
      </c>
      <c r="B7" s="85">
        <v>2.8487</v>
      </c>
      <c r="C7" s="85">
        <v>2.4698000000000002</v>
      </c>
      <c r="D7" s="24">
        <f t="shared" si="0"/>
        <v>0.1330080387545195</v>
      </c>
      <c r="F7" s="25">
        <f ca="1">Coefficients!AV9</f>
        <v>3</v>
      </c>
      <c r="G7" s="24">
        <f ca="1">D7*(Coefficients!AM9+Coefficients!AN9*$B$5/$B$6+Coefficients!AO9*$B$6/$B$7+Coefficients!AP9*Introduction!$D$21)</f>
        <v>0.13271994214089491</v>
      </c>
      <c r="I7" s="24">
        <f ca="1">0.5*LN(G7/(1-G7))-VLOOKUP(F7,Coefficients!$AM$17:$AN$25,2,FALSE)</f>
        <v>0.11972655814281963</v>
      </c>
      <c r="J7" s="26"/>
      <c r="K7" s="26">
        <f ca="1">Coefficients!$AJ$6-(Coefficients!AR9+Coefficients!AS9*$B$5/$B$6+Coefficients!AT9*$B$6/$B$7)</f>
        <v>2006.6744489498128</v>
      </c>
      <c r="L7" s="37">
        <f ca="1">IF(I7="","",1000*(1-(1+EXP(2*($I7+Coefficients!$AN$18)))^-1))</f>
        <v>97.784536222684565</v>
      </c>
      <c r="M7" s="37">
        <f ca="1">IF(I7="","",1000*(1-(1+EXP(2*($I7+Coefficients!$AN$22)))^-1))</f>
        <v>145.34555715777685</v>
      </c>
      <c r="N7" s="27"/>
    </row>
    <row r="8" spans="1:14" x14ac:dyDescent="0.2">
      <c r="A8" s="23" t="str">
        <f>IF(Coefficients!$AJ$23=1,Coefficients!A9,IF(Coefficients!$AJ$23=2,Coefficients!L20,Coefficients!W20))</f>
        <v>30-34</v>
      </c>
      <c r="B8" s="85">
        <v>4.1852999999999998</v>
      </c>
      <c r="C8" s="85">
        <v>3.5169999999999999</v>
      </c>
      <c r="D8" s="24">
        <f t="shared" si="0"/>
        <v>0.15967792034023842</v>
      </c>
      <c r="F8" s="25">
        <f ca="1">Coefficients!AV10</f>
        <v>5</v>
      </c>
      <c r="G8" s="24">
        <f ca="1">D8*(Coefficients!AM10+Coefficients!AN10*$B$5/$B$6+Coefficients!AO10*$B$6/$B$7+Coefficients!AP10*Introduction!$D$21)</f>
        <v>0.16312240464940261</v>
      </c>
      <c r="I8" s="24">
        <f ca="1">0.5*LN(G8/(1-G8))-VLOOKUP(F8,Coefficients!$AM$17:$AN$25,2,FALSE)</f>
        <v>0.18792966657771959</v>
      </c>
      <c r="J8" s="26"/>
      <c r="K8" s="26">
        <f ca="1">Coefficients!$AJ$6-(Coefficients!AR10+Coefficients!AS10*$B$5/$B$6+Coefficients!AT10*$B$6/$B$7)</f>
        <v>2004.3173870104858</v>
      </c>
      <c r="L8" s="37">
        <f ca="1">IF(I8="","",1000*(1-(1+EXP(2*($I8+Coefficients!$AN$18)))^-1))</f>
        <v>110.49639147319756</v>
      </c>
      <c r="M8" s="37">
        <f ca="1">IF(I8="","",1000*(1-(1+EXP(2*($I8+Coefficients!$AN$22)))^-1))</f>
        <v>163.12240464940254</v>
      </c>
      <c r="N8" s="27"/>
    </row>
    <row r="9" spans="1:14" x14ac:dyDescent="0.2">
      <c r="A9" s="23" t="str">
        <f>IF(Coefficients!$AJ$23=1,Coefficients!A10,IF(Coefficients!$AJ$23=2,Coefficients!L21,Coefficients!W21))</f>
        <v>35-39</v>
      </c>
      <c r="B9" s="85">
        <v>5.2135999999999996</v>
      </c>
      <c r="C9" s="85">
        <v>4.25</v>
      </c>
      <c r="D9" s="24">
        <f t="shared" si="0"/>
        <v>0.18482430566211439</v>
      </c>
      <c r="F9" s="25">
        <f ca="1">Coefficients!AV11</f>
        <v>10</v>
      </c>
      <c r="G9" s="24">
        <f ca="1">D9*(Coefficients!AM11+Coefficients!AN11*$B$5/$B$6+Coefficients!AO11*$B$6/$B$7+Coefficients!AP11*Introduction!$D$21)</f>
        <v>0.19431491584574903</v>
      </c>
      <c r="I9" s="24">
        <f ca="1">0.5*LN(G9/(1-G9))-VLOOKUP(F9,Coefficients!$AM$17:$AN$25,2,FALSE)</f>
        <v>0.24606692694019672</v>
      </c>
      <c r="J9" s="26"/>
      <c r="K9" s="26">
        <f ca="1">Coefficients!$AJ$6-(Coefficients!AR11+Coefficients!AS11*$B$5/$B$6+Coefficients!AT11*$B$6/$B$7)</f>
        <v>2001.6376821092142</v>
      </c>
      <c r="L9" s="37">
        <f ca="1">IF(I9="","",1000*(1-(1+EXP(2*($I9+Coefficients!$AN$18)))^-1))</f>
        <v>122.45268333830828</v>
      </c>
      <c r="M9" s="37">
        <f ca="1">IF(I9="","",1000*(1-(1+EXP(2*($I9+Coefficients!$AN$22)))^-1))</f>
        <v>179.62319915075818</v>
      </c>
      <c r="N9" s="27"/>
    </row>
    <row r="10" spans="1:14" x14ac:dyDescent="0.2">
      <c r="A10" s="23" t="str">
        <f>IF(Coefficients!$AJ$23=1,Coefficients!A11,IF(Coefficients!$AJ$23=2,Coefficients!L22,Coefficients!W22))</f>
        <v>40-44</v>
      </c>
      <c r="B10" s="85">
        <v>6.0343</v>
      </c>
      <c r="C10" s="85">
        <v>4.7152000000000003</v>
      </c>
      <c r="D10" s="24">
        <f t="shared" si="0"/>
        <v>0.21860033475299534</v>
      </c>
      <c r="F10" s="25">
        <f ca="1">Coefficients!AV12</f>
        <v>15</v>
      </c>
      <c r="G10" s="24">
        <f ca="1">D10*(Coefficients!AM12+Coefficients!AN12*$B$5/$B$6+Coefficients!AO12*$B$6/$B$7+Coefficients!AP12*Introduction!$D$21)</f>
        <v>0.22040130201028435</v>
      </c>
      <c r="I10" s="24">
        <f ca="1">0.5*LN(G10/(1-G10))-VLOOKUP(F10,Coefficients!$AM$17:$AN$25,2,FALSE)</f>
        <v>0.30041623303442255</v>
      </c>
      <c r="J10" s="28"/>
      <c r="K10" s="26">
        <f ca="1">IF(TypeSelect=2,NA(),Coefficients!$AJ$6-(Coefficients!AR12+Coefficients!AS12*$B$5/$B$6+Coefficients!AT12*$B$6/$B$7))</f>
        <v>1998.6428508596196</v>
      </c>
      <c r="L10" s="37">
        <f ca="1">IF(I10="","",1000*(1-(1+EXP(2*($I10+Coefficients!$AN$18)))^-1))</f>
        <v>134.62060058354842</v>
      </c>
      <c r="M10" s="37">
        <f ca="1">IF(I10="","",1000*(1-(1+EXP(2*($I10+Coefficients!$AN$22)))^-1))</f>
        <v>196.20191106271912</v>
      </c>
      <c r="N10" s="27"/>
    </row>
    <row r="11" spans="1:14" x14ac:dyDescent="0.2">
      <c r="A11" s="23" t="str">
        <f>IF(Coefficients!$AJ$23=1,Coefficients!A12,IF(Coefficients!$AJ$23=2,Coefficients!L23,Coefficients!W23))</f>
        <v>45-49</v>
      </c>
      <c r="B11" s="85">
        <v>6.4527000000000001</v>
      </c>
      <c r="C11" s="85">
        <v>4.8666</v>
      </c>
      <c r="D11" s="24">
        <f t="shared" si="0"/>
        <v>0.24580408201218096</v>
      </c>
      <c r="F11" s="25">
        <f ca="1">Coefficients!AV13</f>
        <v>20</v>
      </c>
      <c r="G11" s="24">
        <f ca="1">D11*(Coefficients!AM13+Coefficients!AN13*$B$5/$B$6+Coefficients!AO13*$B$6/$B$7+Coefficients!AP13*Introduction!$D$21)</f>
        <v>0.24987205399924337</v>
      </c>
      <c r="H11" s="26">
        <f ca="1">IF(TypeSelect&gt;1,NA(),Coefficients!$AJ$6-(Coefficients!AR13+Coefficients!AS13*$B$5/$B$6+Coefficients!AT13*$B$6/$B$7))</f>
        <v>1994.9764233914636</v>
      </c>
      <c r="I11" s="24">
        <f ca="1">0.5*LN(G11/(1-G11))-VLOOKUP(F11,Coefficients!$AM$17:$AN$25,2,FALSE)</f>
        <v>0.34886062090312842</v>
      </c>
      <c r="J11" s="28"/>
      <c r="K11" s="26">
        <f ca="1">IF(TypeSelect&gt;1,NA(),Coefficients!$AJ$6-(Coefficients!AR13+Coefficients!AS13*$B$5/$B$6+Coefficients!AT13*$B$6/$B$7))</f>
        <v>1994.9764233914636</v>
      </c>
      <c r="L11" s="37">
        <f ca="1">IF(I11="","",1000*(1-(1+EXP(2*($I11+Coefficients!$AN$18)))^-1))</f>
        <v>146.31270800903951</v>
      </c>
      <c r="M11" s="37">
        <f ca="1">IF(I11="","",1000*(1-(1+EXP(2*($I11+Coefficients!$AN$22)))^-1))</f>
        <v>211.93264648505382</v>
      </c>
      <c r="N11" s="27"/>
    </row>
    <row r="12" spans="1:14" x14ac:dyDescent="0.2">
      <c r="A12" s="23"/>
    </row>
    <row r="14" spans="1:14" x14ac:dyDescent="0.2">
      <c r="N14" s="27"/>
    </row>
    <row r="15" spans="1:14" x14ac:dyDescent="0.2">
      <c r="N15" s="27"/>
    </row>
    <row r="16" spans="1:14" x14ac:dyDescent="0.2">
      <c r="G16" s="22">
        <f>+$B$5/$B$6</f>
        <v>0.18496996604857663</v>
      </c>
      <c r="N16" s="27"/>
    </row>
    <row r="17" spans="14:14" x14ac:dyDescent="0.2">
      <c r="N17" s="27"/>
    </row>
    <row r="18" spans="14:14" x14ac:dyDescent="0.2">
      <c r="N18" s="27"/>
    </row>
    <row r="19" spans="14:14" x14ac:dyDescent="0.2">
      <c r="N19" s="27"/>
    </row>
    <row r="20" spans="14:14" x14ac:dyDescent="0.2">
      <c r="N20" s="27"/>
    </row>
  </sheetData>
  <mergeCells count="1">
    <mergeCell ref="L3:M3"/>
  </mergeCells>
  <conditionalFormatting sqref="A10:M10">
    <cfRule type="expression" dxfId="1" priority="3">
      <formula>TypeSelect=2</formula>
    </cfRule>
  </conditionalFormatting>
  <conditionalFormatting sqref="A11:M11">
    <cfRule type="expression" dxfId="0" priority="4">
      <formula>TypeSelect&gt;1</formula>
    </cfRule>
  </conditionalFormatting>
  <pageMargins left="0.7" right="0.7" top="0.75" bottom="0.75" header="0.3" footer="0.3"/>
  <ignoredErrors>
    <ignoredError sqref="I10:I11 L10:L11 M10:M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1"/>
  <sheetViews>
    <sheetView topLeftCell="K1" workbookViewId="0">
      <pane ySplit="3" topLeftCell="A4" activePane="bottomLeft" state="frozenSplit"/>
      <selection pane="bottomLeft" activeCell="AN18" sqref="AN18"/>
    </sheetView>
  </sheetViews>
  <sheetFormatPr defaultRowHeight="12.75" customHeight="1" x14ac:dyDescent="0.2"/>
  <cols>
    <col min="1" max="1" width="8.5703125" style="22" customWidth="1" collapsed="1"/>
    <col min="2" max="2" width="3" style="22" bestFit="1" customWidth="1" collapsed="1"/>
    <col min="3" max="6" width="8.5703125" style="22" customWidth="1" collapsed="1"/>
    <col min="7" max="7" width="1.42578125" style="22" customWidth="1" collapsed="1"/>
    <col min="8" max="10" width="8.5703125" style="22" customWidth="1" collapsed="1"/>
    <col min="11" max="11" width="2.85546875" style="22" customWidth="1" collapsed="1"/>
    <col min="12" max="12" width="8.5703125" style="22" bestFit="1" customWidth="1" collapsed="1"/>
    <col min="13" max="13" width="3" style="22" bestFit="1" customWidth="1" collapsed="1"/>
    <col min="14" max="16" width="8.5703125" style="22" customWidth="1" collapsed="1"/>
    <col min="17" max="18" width="1.42578125" style="22" customWidth="1" collapsed="1"/>
    <col min="19" max="21" width="8.5703125" style="22" customWidth="1" collapsed="1"/>
    <col min="22" max="22" width="2.85546875" style="22" customWidth="1" collapsed="1"/>
    <col min="23" max="23" width="8.5703125" style="22" bestFit="1" customWidth="1" collapsed="1"/>
    <col min="24" max="24" width="3" style="22" bestFit="1" customWidth="1" collapsed="1"/>
    <col min="25" max="27" width="8.5703125" style="22" customWidth="1" collapsed="1"/>
    <col min="28" max="29" width="1.42578125" style="22" customWidth="1" collapsed="1"/>
    <col min="30" max="32" width="8.5703125" style="22" customWidth="1" collapsed="1"/>
    <col min="33" max="33" width="9.140625" style="22" collapsed="1"/>
    <col min="34" max="34" width="3.28515625" style="22" customWidth="1" collapsed="1"/>
    <col min="35" max="35" width="22.85546875" style="22" bestFit="1" customWidth="1" collapsed="1"/>
    <col min="36" max="36" width="9.140625" style="22" collapsed="1"/>
    <col min="37" max="37" width="3.28515625" style="22" customWidth="1" collapsed="1"/>
    <col min="38" max="38" width="2" style="22" bestFit="1" customWidth="1" collapsed="1"/>
    <col min="39" max="39" width="8.140625" style="22" customWidth="1" collapsed="1"/>
    <col min="40" max="40" width="8.7109375" style="22" bestFit="1" customWidth="1" collapsed="1"/>
    <col min="41" max="42" width="8.140625" style="22" customWidth="1" collapsed="1"/>
    <col min="43" max="43" width="1.42578125" style="22" customWidth="1" collapsed="1"/>
    <col min="44" max="46" width="8.140625" style="22" customWidth="1" collapsed="1"/>
    <col min="47" max="16384" width="9.140625" style="22" collapsed="1"/>
  </cols>
  <sheetData>
    <row r="1" spans="1:48" s="29" customFormat="1" ht="15" customHeight="1" x14ac:dyDescent="0.3">
      <c r="A1" s="125" t="s">
        <v>27</v>
      </c>
      <c r="B1" s="125"/>
      <c r="C1" s="125"/>
      <c r="D1" s="125"/>
      <c r="E1" s="125"/>
      <c r="F1" s="125"/>
      <c r="G1" s="125"/>
      <c r="H1" s="125"/>
      <c r="I1" s="125"/>
      <c r="J1" s="125"/>
      <c r="L1" s="125" t="s">
        <v>93</v>
      </c>
      <c r="M1" s="125"/>
      <c r="N1" s="125"/>
      <c r="O1" s="125"/>
      <c r="P1" s="125"/>
      <c r="Q1" s="125"/>
      <c r="R1" s="125"/>
      <c r="S1" s="125"/>
      <c r="T1" s="125"/>
      <c r="U1" s="125"/>
      <c r="W1" s="125" t="s">
        <v>94</v>
      </c>
      <c r="X1" s="125"/>
      <c r="Y1" s="125"/>
      <c r="Z1" s="125"/>
      <c r="AA1" s="125"/>
      <c r="AB1" s="125"/>
      <c r="AC1" s="125"/>
      <c r="AD1" s="125"/>
      <c r="AE1" s="125"/>
      <c r="AF1" s="125"/>
    </row>
    <row r="2" spans="1:48" s="29" customFormat="1" ht="15" customHeight="1" x14ac:dyDescent="0.3"/>
    <row r="3" spans="1:48" s="29" customFormat="1" ht="15" customHeight="1" x14ac:dyDescent="0.3">
      <c r="C3" s="125" t="s">
        <v>15</v>
      </c>
      <c r="D3" s="125"/>
      <c r="E3" s="125"/>
      <c r="H3" s="125" t="s">
        <v>16</v>
      </c>
      <c r="I3" s="125"/>
      <c r="J3" s="125"/>
      <c r="N3" s="125" t="s">
        <v>15</v>
      </c>
      <c r="O3" s="125"/>
      <c r="P3" s="125"/>
      <c r="S3" s="125" t="s">
        <v>16</v>
      </c>
      <c r="T3" s="125"/>
      <c r="U3" s="125"/>
      <c r="Y3" s="125" t="s">
        <v>15</v>
      </c>
      <c r="Z3" s="125"/>
      <c r="AA3" s="125"/>
      <c r="AD3" s="125" t="s">
        <v>16</v>
      </c>
      <c r="AE3" s="125"/>
      <c r="AF3" s="125"/>
    </row>
    <row r="4" spans="1:48" s="29" customFormat="1" ht="15" customHeight="1" x14ac:dyDescent="0.3">
      <c r="A4" s="126" t="s">
        <v>17</v>
      </c>
      <c r="B4" s="126"/>
      <c r="C4" s="126"/>
      <c r="D4" s="126"/>
      <c r="E4" s="126"/>
      <c r="F4" s="126"/>
      <c r="G4" s="126"/>
      <c r="H4" s="126"/>
      <c r="I4" s="126"/>
      <c r="J4" s="127"/>
      <c r="L4" s="47"/>
      <c r="M4" s="62"/>
      <c r="N4" s="129" t="s">
        <v>17</v>
      </c>
      <c r="O4" s="129"/>
      <c r="P4" s="129"/>
      <c r="Q4" s="129"/>
      <c r="R4" s="129"/>
      <c r="S4" s="129"/>
      <c r="T4" s="129"/>
      <c r="U4" s="130"/>
      <c r="W4" s="47"/>
      <c r="X4" s="62"/>
      <c r="Y4" s="129" t="s">
        <v>17</v>
      </c>
      <c r="Z4" s="129"/>
      <c r="AA4" s="129"/>
      <c r="AB4" s="129"/>
      <c r="AC4" s="129"/>
      <c r="AD4" s="129"/>
      <c r="AE4" s="129"/>
      <c r="AF4" s="130"/>
      <c r="AG4" s="43"/>
      <c r="AM4" s="44"/>
      <c r="AN4" s="44"/>
      <c r="AO4" s="44"/>
      <c r="AP4" s="45"/>
      <c r="AQ4" s="46"/>
      <c r="AR4" s="44"/>
      <c r="AS4" s="44"/>
      <c r="AT4" s="44"/>
    </row>
    <row r="5" spans="1:48" s="29" customFormat="1" ht="15" customHeight="1" x14ac:dyDescent="0.3">
      <c r="A5" s="67" t="s">
        <v>54</v>
      </c>
      <c r="B5" s="68" t="s">
        <v>28</v>
      </c>
      <c r="C5" s="33" t="s">
        <v>8</v>
      </c>
      <c r="D5" s="33" t="s">
        <v>9</v>
      </c>
      <c r="E5" s="33" t="s">
        <v>10</v>
      </c>
      <c r="F5" s="33" t="s">
        <v>11</v>
      </c>
      <c r="G5" s="33"/>
      <c r="H5" s="33" t="s">
        <v>12</v>
      </c>
      <c r="I5" s="33" t="s">
        <v>13</v>
      </c>
      <c r="J5" s="69" t="s">
        <v>14</v>
      </c>
      <c r="L5" s="67" t="s">
        <v>92</v>
      </c>
      <c r="M5" s="68" t="s">
        <v>28</v>
      </c>
      <c r="N5" s="33" t="s">
        <v>8</v>
      </c>
      <c r="O5" s="33" t="s">
        <v>9</v>
      </c>
      <c r="P5" s="33" t="s">
        <v>10</v>
      </c>
      <c r="Q5" s="33"/>
      <c r="R5" s="33"/>
      <c r="S5" s="33" t="s">
        <v>12</v>
      </c>
      <c r="T5" s="33" t="s">
        <v>13</v>
      </c>
      <c r="U5" s="69" t="s">
        <v>14</v>
      </c>
      <c r="W5" s="67" t="s">
        <v>92</v>
      </c>
      <c r="X5" s="68" t="s">
        <v>28</v>
      </c>
      <c r="Y5" s="33" t="s">
        <v>8</v>
      </c>
      <c r="Z5" s="33" t="s">
        <v>9</v>
      </c>
      <c r="AA5" s="33" t="s">
        <v>10</v>
      </c>
      <c r="AB5" s="33"/>
      <c r="AC5" s="33"/>
      <c r="AD5" s="33" t="s">
        <v>12</v>
      </c>
      <c r="AE5" s="33" t="s">
        <v>13</v>
      </c>
      <c r="AF5" s="69" t="s">
        <v>14</v>
      </c>
      <c r="AH5" s="128" t="str">
        <f>Introduction!D9&amp;" "&amp;TEXT(YEAR(Introduction!D11),"####")</f>
        <v>Malawi 2010</v>
      </c>
      <c r="AI5" s="128"/>
      <c r="AJ5" s="128"/>
      <c r="AL5" s="22"/>
      <c r="AM5" s="125" t="str">
        <f>"Coeffs_"&amp;TEXT(100*AJ8+10*AJ12+AJ23,0)</f>
        <v>Coeffs_211</v>
      </c>
      <c r="AN5" s="125"/>
      <c r="AO5" s="125"/>
      <c r="AP5" s="125"/>
      <c r="AQ5" s="125"/>
      <c r="AR5" s="125"/>
      <c r="AS5" s="125"/>
      <c r="AT5" s="125"/>
      <c r="AU5" s="125"/>
      <c r="AV5" s="125"/>
    </row>
    <row r="6" spans="1:48" ht="12.75" customHeight="1" x14ac:dyDescent="0.2">
      <c r="A6" s="49" t="s">
        <v>0</v>
      </c>
      <c r="B6" s="38">
        <v>1</v>
      </c>
      <c r="C6" s="38">
        <v>1.1119000000000001</v>
      </c>
      <c r="D6" s="38">
        <v>-2.9287000000000001</v>
      </c>
      <c r="E6" s="38">
        <v>0.85070000000000001</v>
      </c>
      <c r="F6" s="38"/>
      <c r="G6" s="38"/>
      <c r="H6" s="50">
        <v>1.0921000000000001</v>
      </c>
      <c r="I6" s="50">
        <v>5.4732000000000003</v>
      </c>
      <c r="J6" s="51">
        <v>-1.9672000000000001</v>
      </c>
      <c r="L6" s="49" t="s">
        <v>29</v>
      </c>
      <c r="M6" s="38">
        <v>2</v>
      </c>
      <c r="N6" s="50">
        <v>1.198</v>
      </c>
      <c r="O6" s="50">
        <v>-0.12659999999999999</v>
      </c>
      <c r="P6" s="50">
        <v>3.8E-3</v>
      </c>
      <c r="Q6" s="50"/>
      <c r="R6" s="38"/>
      <c r="S6" s="50">
        <v>1.71</v>
      </c>
      <c r="T6" s="50">
        <v>1.07</v>
      </c>
      <c r="U6" s="51">
        <v>-0.35</v>
      </c>
      <c r="W6" s="49" t="s">
        <v>29</v>
      </c>
      <c r="X6" s="38">
        <v>2</v>
      </c>
      <c r="Y6" s="38">
        <v>1.2615000000000001</v>
      </c>
      <c r="Z6" s="38">
        <v>-0.53400000000000003</v>
      </c>
      <c r="AA6" s="38">
        <v>0.12520000000000001</v>
      </c>
      <c r="AB6" s="38"/>
      <c r="AC6" s="38"/>
      <c r="AD6" s="38">
        <v>1.0310999999999999</v>
      </c>
      <c r="AE6" s="38">
        <v>1.3149</v>
      </c>
      <c r="AF6" s="57">
        <v>-0.32819999999999999</v>
      </c>
      <c r="AH6" s="70" t="s">
        <v>49</v>
      </c>
      <c r="AI6" s="70"/>
      <c r="AJ6" s="74">
        <f>YEAR(Introduction!D11)+YEARFRAC(DATE(YEAR(Introduction!D11)-1,12,31), Introduction!D11,1)</f>
        <v>2010.9068493150685</v>
      </c>
      <c r="AL6" s="60"/>
      <c r="AM6" s="75">
        <v>0</v>
      </c>
      <c r="AN6" s="76">
        <v>1</v>
      </c>
      <c r="AO6" s="77">
        <v>2</v>
      </c>
      <c r="AP6" s="77">
        <v>3</v>
      </c>
      <c r="AQ6" s="77"/>
      <c r="AR6" s="77">
        <v>5</v>
      </c>
      <c r="AS6" s="77">
        <v>6</v>
      </c>
      <c r="AT6" s="77">
        <v>7</v>
      </c>
      <c r="AU6" s="60"/>
      <c r="AV6" s="60" t="s">
        <v>51</v>
      </c>
    </row>
    <row r="7" spans="1:48" ht="12.75" customHeight="1" x14ac:dyDescent="0.2">
      <c r="A7" s="49" t="s">
        <v>1</v>
      </c>
      <c r="B7" s="38">
        <v>2</v>
      </c>
      <c r="C7" s="38">
        <v>1.2390000000000001</v>
      </c>
      <c r="D7" s="38">
        <v>-0.6865</v>
      </c>
      <c r="E7" s="38">
        <v>-0.27450000000000002</v>
      </c>
      <c r="F7" s="38"/>
      <c r="G7" s="38"/>
      <c r="H7" s="50">
        <v>1.3207</v>
      </c>
      <c r="I7" s="50">
        <v>5.3750999999999998</v>
      </c>
      <c r="J7" s="51">
        <v>0.21329999999999999</v>
      </c>
      <c r="L7" s="49" t="s">
        <v>30</v>
      </c>
      <c r="M7" s="38">
        <v>5</v>
      </c>
      <c r="N7" s="50">
        <v>1.2248000000000001</v>
      </c>
      <c r="O7" s="50">
        <v>-0.19189999999999999</v>
      </c>
      <c r="P7" s="50">
        <v>-8.6999999999999994E-2</v>
      </c>
      <c r="Q7" s="50"/>
      <c r="R7" s="38"/>
      <c r="S7" s="50">
        <v>2.16</v>
      </c>
      <c r="T7" s="50">
        <v>4.3600000000000003</v>
      </c>
      <c r="U7" s="51">
        <v>0.12</v>
      </c>
      <c r="W7" s="49" t="s">
        <v>30</v>
      </c>
      <c r="X7" s="38">
        <v>3</v>
      </c>
      <c r="Y7" s="38">
        <v>1.1957</v>
      </c>
      <c r="Z7" s="38">
        <v>-0.4103</v>
      </c>
      <c r="AA7" s="38">
        <v>-9.2999999999999999E-2</v>
      </c>
      <c r="AB7" s="38"/>
      <c r="AC7" s="38"/>
      <c r="AD7" s="38">
        <v>1.6963999999999999</v>
      </c>
      <c r="AE7" s="38">
        <v>4.5147000000000004</v>
      </c>
      <c r="AF7" s="57">
        <v>-1.6E-2</v>
      </c>
      <c r="AH7" s="70"/>
      <c r="AI7" s="70"/>
      <c r="AJ7" s="70"/>
      <c r="AL7" s="22">
        <v>0</v>
      </c>
      <c r="AM7" s="40">
        <f ca="1">OFFSET(INDIRECT($AM$5),$AL7,AM$6)</f>
        <v>0.68920000000000003</v>
      </c>
      <c r="AN7" s="40">
        <f t="shared" ref="AM7:AP13" ca="1" si="0">OFFSET(INDIRECT($AM$5),$AL7,AN$6)</f>
        <v>-1.6937</v>
      </c>
      <c r="AO7" s="40">
        <f t="shared" ca="1" si="0"/>
        <v>0.64639999999999997</v>
      </c>
      <c r="AP7" s="40">
        <f t="shared" ca="1" si="0"/>
        <v>1.06E-2</v>
      </c>
      <c r="AQ7" s="40"/>
      <c r="AR7" s="40">
        <f t="shared" ref="AR7:AT13" ca="1" si="1">OFFSET(INDIRECT($AM$5),$AL7,AR$6)</f>
        <v>1.1702999999999999</v>
      </c>
      <c r="AS7" s="40">
        <f t="shared" ca="1" si="1"/>
        <v>0.51290000000000002</v>
      </c>
      <c r="AT7" s="40">
        <f t="shared" ca="1" si="1"/>
        <v>-0.38500000000000001</v>
      </c>
      <c r="AV7" s="41">
        <f t="shared" ref="AV7:AV13" ca="1" si="2">OFFSET(INDIRECT($AM$5),AL7,-1)</f>
        <v>1</v>
      </c>
    </row>
    <row r="8" spans="1:48" ht="12.75" customHeight="1" x14ac:dyDescent="0.2">
      <c r="A8" s="49" t="s">
        <v>2</v>
      </c>
      <c r="B8" s="38">
        <v>3</v>
      </c>
      <c r="C8" s="38">
        <v>1.1883999999999999</v>
      </c>
      <c r="D8" s="38">
        <v>4.2099999999999999E-2</v>
      </c>
      <c r="E8" s="38">
        <v>-0.51559999999999995</v>
      </c>
      <c r="F8" s="38"/>
      <c r="G8" s="38"/>
      <c r="H8" s="50">
        <v>1.5995999999999999</v>
      </c>
      <c r="I8" s="50">
        <v>2.6267999999999998</v>
      </c>
      <c r="J8" s="51">
        <v>4.3700999999999999</v>
      </c>
      <c r="L8" s="49" t="s">
        <v>31</v>
      </c>
      <c r="M8" s="38">
        <v>5</v>
      </c>
      <c r="N8" s="50">
        <v>1.2076</v>
      </c>
      <c r="O8" s="50">
        <v>-1.0500000000000001E-2</v>
      </c>
      <c r="P8" s="50">
        <v>-0.29110000000000003</v>
      </c>
      <c r="Q8" s="50"/>
      <c r="R8" s="38"/>
      <c r="S8" s="50">
        <v>0.66</v>
      </c>
      <c r="T8" s="50">
        <v>3.5</v>
      </c>
      <c r="U8" s="51">
        <v>6.65</v>
      </c>
      <c r="W8" s="49" t="s">
        <v>31</v>
      </c>
      <c r="X8" s="38">
        <v>5</v>
      </c>
      <c r="Y8" s="38">
        <v>1.3067</v>
      </c>
      <c r="Z8" s="38">
        <v>-1.03E-2</v>
      </c>
      <c r="AA8" s="38">
        <v>-0.46179999999999999</v>
      </c>
      <c r="AB8" s="38"/>
      <c r="AC8" s="38"/>
      <c r="AD8" s="38">
        <v>1.4285000000000001</v>
      </c>
      <c r="AE8" s="38">
        <v>3.2684000000000002</v>
      </c>
      <c r="AF8" s="57">
        <v>4.4073000000000002</v>
      </c>
      <c r="AH8" s="70" t="s">
        <v>96</v>
      </c>
      <c r="AI8" s="70"/>
      <c r="AJ8" s="70">
        <f>MATCH(Introduction!D17,Family,0)</f>
        <v>2</v>
      </c>
      <c r="AL8" s="22">
        <v>1</v>
      </c>
      <c r="AM8" s="40">
        <f t="shared" ca="1" si="0"/>
        <v>1.3625</v>
      </c>
      <c r="AN8" s="40">
        <f t="shared" ca="1" si="0"/>
        <v>-0.37780000000000002</v>
      </c>
      <c r="AO8" s="40">
        <f t="shared" ca="1" si="0"/>
        <v>-0.28920000000000001</v>
      </c>
      <c r="AP8" s="40">
        <f t="shared" ca="1" si="0"/>
        <v>-4.1000000000000003E-3</v>
      </c>
      <c r="AQ8" s="40"/>
      <c r="AR8" s="40">
        <f t="shared" ca="1" si="1"/>
        <v>1.6955</v>
      </c>
      <c r="AS8" s="40">
        <f t="shared" ca="1" si="1"/>
        <v>4.1319999999999997</v>
      </c>
      <c r="AT8" s="40">
        <f t="shared" ca="1" si="1"/>
        <v>-0.16350000000000001</v>
      </c>
      <c r="AV8" s="41">
        <f t="shared" ca="1" si="2"/>
        <v>2</v>
      </c>
    </row>
    <row r="9" spans="1:48" ht="12.75" customHeight="1" x14ac:dyDescent="0.2">
      <c r="A9" s="49" t="s">
        <v>3</v>
      </c>
      <c r="B9" s="38">
        <v>5</v>
      </c>
      <c r="C9" s="38">
        <v>1.2045999999999999</v>
      </c>
      <c r="D9" s="38">
        <v>0.30370000000000003</v>
      </c>
      <c r="E9" s="38">
        <v>-0.56559999999999999</v>
      </c>
      <c r="F9" s="38"/>
      <c r="G9" s="38"/>
      <c r="H9" s="50">
        <v>2.0779000000000001</v>
      </c>
      <c r="I9" s="50">
        <v>-1.7907999999999999</v>
      </c>
      <c r="J9" s="51">
        <v>9.4125999999999994</v>
      </c>
      <c r="L9" s="49" t="s">
        <v>0</v>
      </c>
      <c r="M9" s="38">
        <v>5</v>
      </c>
      <c r="N9" s="50">
        <v>1.2030000000000001</v>
      </c>
      <c r="O9" s="50">
        <v>8.9599999999999999E-2</v>
      </c>
      <c r="P9" s="50">
        <v>-0.42649999999999999</v>
      </c>
      <c r="Q9" s="50"/>
      <c r="R9" s="38"/>
      <c r="S9" s="50">
        <v>-1.96</v>
      </c>
      <c r="T9" s="50">
        <v>-0.9</v>
      </c>
      <c r="U9" s="51">
        <v>17.66</v>
      </c>
      <c r="W9" s="49" t="s">
        <v>0</v>
      </c>
      <c r="X9" s="38">
        <v>10</v>
      </c>
      <c r="Y9" s="38">
        <v>1.4701</v>
      </c>
      <c r="Z9" s="38">
        <v>0.17630000000000001</v>
      </c>
      <c r="AA9" s="38">
        <v>-0.7268</v>
      </c>
      <c r="AB9" s="38"/>
      <c r="AC9" s="38"/>
      <c r="AD9" s="38">
        <v>-7.5300000000000006E-2</v>
      </c>
      <c r="AE9" s="38">
        <v>-1.08</v>
      </c>
      <c r="AF9" s="57">
        <v>12.928100000000001</v>
      </c>
      <c r="AH9" s="70"/>
      <c r="AI9" s="71" t="s">
        <v>7</v>
      </c>
      <c r="AJ9" s="70"/>
      <c r="AL9" s="22">
        <v>2</v>
      </c>
      <c r="AM9" s="40">
        <f t="shared" ca="1" si="0"/>
        <v>1.0876999999999999</v>
      </c>
      <c r="AN9" s="40">
        <f t="shared" ca="1" si="0"/>
        <v>1.9699999999999999E-2</v>
      </c>
      <c r="AO9" s="40">
        <f t="shared" ca="1" si="0"/>
        <v>-0.29859999999999998</v>
      </c>
      <c r="AP9" s="40">
        <f t="shared" ca="1" si="0"/>
        <v>2.3999999999999998E-3</v>
      </c>
      <c r="AQ9" s="40"/>
      <c r="AR9" s="40">
        <f t="shared" ca="1" si="1"/>
        <v>1.8295999999999999</v>
      </c>
      <c r="AS9" s="40">
        <f t="shared" ca="1" si="1"/>
        <v>2.9020000000000001</v>
      </c>
      <c r="AT9" s="40">
        <f t="shared" ca="1" si="1"/>
        <v>3.4706999999999999</v>
      </c>
      <c r="AV9" s="41">
        <f t="shared" ca="1" si="2"/>
        <v>3</v>
      </c>
    </row>
    <row r="10" spans="1:48" ht="12.75" customHeight="1" x14ac:dyDescent="0.2">
      <c r="A10" s="49" t="s">
        <v>4</v>
      </c>
      <c r="B10" s="38">
        <v>10</v>
      </c>
      <c r="C10" s="38">
        <v>1.2585999999999999</v>
      </c>
      <c r="D10" s="38">
        <v>0.42359999999999998</v>
      </c>
      <c r="E10" s="38">
        <v>-0.58979999999999999</v>
      </c>
      <c r="F10" s="38"/>
      <c r="G10" s="38"/>
      <c r="H10" s="50">
        <v>2.7705000000000002</v>
      </c>
      <c r="I10" s="50">
        <v>-7.3403</v>
      </c>
      <c r="J10" s="51">
        <v>14.9352</v>
      </c>
      <c r="L10" s="49" t="s">
        <v>1</v>
      </c>
      <c r="M10" s="38">
        <v>10</v>
      </c>
      <c r="N10" s="50">
        <v>1.3291999999999999</v>
      </c>
      <c r="O10" s="50">
        <v>0.1598</v>
      </c>
      <c r="P10" s="50">
        <v>-0.57779999999999998</v>
      </c>
      <c r="Q10" s="50"/>
      <c r="R10" s="38"/>
      <c r="S10" s="50">
        <v>-3.85</v>
      </c>
      <c r="T10" s="50">
        <v>-6.42</v>
      </c>
      <c r="U10" s="51">
        <v>28.94</v>
      </c>
      <c r="W10" s="49" t="s">
        <v>1</v>
      </c>
      <c r="X10" s="38">
        <v>15</v>
      </c>
      <c r="Y10" s="38">
        <v>1.5039</v>
      </c>
      <c r="Z10" s="38">
        <v>3.8999999999999998E-3</v>
      </c>
      <c r="AA10" s="38">
        <v>-0.70709999999999995</v>
      </c>
      <c r="AB10" s="38"/>
      <c r="AC10" s="38"/>
      <c r="AD10" s="38">
        <v>-1.9749000000000001</v>
      </c>
      <c r="AE10" s="38">
        <v>-3.4773000000000001</v>
      </c>
      <c r="AF10" s="57">
        <v>21.331800000000001</v>
      </c>
      <c r="AH10" s="70"/>
      <c r="AI10" s="73" t="s">
        <v>40</v>
      </c>
      <c r="AJ10" s="70"/>
      <c r="AL10" s="22">
        <v>3</v>
      </c>
      <c r="AM10" s="40">
        <f t="shared" ca="1" si="0"/>
        <v>0.75</v>
      </c>
      <c r="AN10" s="40">
        <f t="shared" ca="1" si="0"/>
        <v>5.3199999999999997E-2</v>
      </c>
      <c r="AO10" s="40">
        <f t="shared" ca="1" si="0"/>
        <v>-0.1106</v>
      </c>
      <c r="AP10" s="40">
        <f t="shared" ca="1" si="0"/>
        <v>1.15E-2</v>
      </c>
      <c r="AQ10" s="40"/>
      <c r="AR10" s="40">
        <f t="shared" ca="1" si="1"/>
        <v>2.1783000000000001</v>
      </c>
      <c r="AS10" s="40">
        <f t="shared" ca="1" si="1"/>
        <v>-2.5688</v>
      </c>
      <c r="AT10" s="40">
        <f t="shared" ca="1" si="1"/>
        <v>9.0883000000000003</v>
      </c>
      <c r="AV10" s="41">
        <f t="shared" ca="1" si="2"/>
        <v>5</v>
      </c>
    </row>
    <row r="11" spans="1:48" ht="12.75" customHeight="1" x14ac:dyDescent="0.2">
      <c r="A11" s="49" t="s">
        <v>5</v>
      </c>
      <c r="B11" s="38">
        <v>15</v>
      </c>
      <c r="C11" s="38">
        <v>1.224</v>
      </c>
      <c r="D11" s="38">
        <v>0.42220000000000002</v>
      </c>
      <c r="E11" s="38">
        <v>-0.54559999999999997</v>
      </c>
      <c r="F11" s="38"/>
      <c r="G11" s="38"/>
      <c r="H11" s="50">
        <v>4.1520000000000001</v>
      </c>
      <c r="I11" s="50">
        <v>-12.2448</v>
      </c>
      <c r="J11" s="51">
        <v>19.2349</v>
      </c>
      <c r="L11" s="49"/>
      <c r="M11" s="38"/>
      <c r="N11" s="38"/>
      <c r="O11" s="38"/>
      <c r="P11" s="38"/>
      <c r="Q11" s="38"/>
      <c r="R11" s="38"/>
      <c r="S11" s="38"/>
      <c r="T11" s="38"/>
      <c r="U11" s="57"/>
      <c r="W11" s="49" t="s">
        <v>2</v>
      </c>
      <c r="X11" s="38">
        <v>20</v>
      </c>
      <c r="Y11" s="38">
        <v>1.4798</v>
      </c>
      <c r="Z11" s="38">
        <v>-0.2487</v>
      </c>
      <c r="AA11" s="38">
        <v>-0.55820000000000003</v>
      </c>
      <c r="AB11" s="38"/>
      <c r="AC11" s="38"/>
      <c r="AD11" s="38">
        <v>-2.1888000000000001</v>
      </c>
      <c r="AE11" s="38">
        <v>0.61240000000000006</v>
      </c>
      <c r="AF11" s="57">
        <v>23.9376</v>
      </c>
      <c r="AH11" s="70"/>
      <c r="AI11" s="70"/>
      <c r="AJ11" s="70"/>
      <c r="AL11" s="22">
        <v>4</v>
      </c>
      <c r="AM11" s="40">
        <f t="shared" ca="1" si="0"/>
        <v>0.5605</v>
      </c>
      <c r="AN11" s="40">
        <f t="shared" ca="1" si="0"/>
        <v>2.2200000000000001E-2</v>
      </c>
      <c r="AO11" s="40">
        <f t="shared" ca="1" si="0"/>
        <v>1.7000000000000001E-2</v>
      </c>
      <c r="AP11" s="40">
        <f t="shared" ca="1" si="0"/>
        <v>1.7100000000000001E-2</v>
      </c>
      <c r="AQ11" s="40"/>
      <c r="AR11" s="40">
        <f t="shared" ca="1" si="1"/>
        <v>2.8835999999999999</v>
      </c>
      <c r="AS11" s="40">
        <f t="shared" ca="1" si="1"/>
        <v>-10.328200000000001</v>
      </c>
      <c r="AT11" s="40">
        <f t="shared" ca="1" si="1"/>
        <v>15.430099999999999</v>
      </c>
      <c r="AV11" s="41">
        <f t="shared" ca="1" si="2"/>
        <v>10</v>
      </c>
    </row>
    <row r="12" spans="1:48" ht="12.75" customHeight="1" x14ac:dyDescent="0.2">
      <c r="A12" s="49" t="s">
        <v>6</v>
      </c>
      <c r="B12" s="38">
        <v>20</v>
      </c>
      <c r="C12" s="38">
        <v>1.1772</v>
      </c>
      <c r="D12" s="38">
        <v>0.34860000000000002</v>
      </c>
      <c r="E12" s="38">
        <v>-0.46239999999999998</v>
      </c>
      <c r="F12" s="38"/>
      <c r="G12" s="38"/>
      <c r="H12" s="50">
        <v>6.9649999999999999</v>
      </c>
      <c r="I12" s="50">
        <v>-13.916</v>
      </c>
      <c r="J12" s="51">
        <v>19.9542</v>
      </c>
      <c r="L12" s="49"/>
      <c r="M12" s="38"/>
      <c r="N12" s="38"/>
      <c r="O12" s="38"/>
      <c r="P12" s="38"/>
      <c r="Q12" s="38"/>
      <c r="R12" s="38"/>
      <c r="S12" s="38"/>
      <c r="T12" s="38"/>
      <c r="U12" s="57"/>
      <c r="W12" s="49"/>
      <c r="X12" s="38"/>
      <c r="Y12" s="38"/>
      <c r="Z12" s="38"/>
      <c r="AA12" s="38"/>
      <c r="AB12" s="38"/>
      <c r="AC12" s="38"/>
      <c r="AD12" s="38"/>
      <c r="AE12" s="64"/>
      <c r="AF12" s="65"/>
      <c r="AG12" s="27"/>
      <c r="AH12" s="70" t="s">
        <v>97</v>
      </c>
      <c r="AI12" s="70"/>
      <c r="AJ12" s="70">
        <f>MATCH(Introduction!D18,IF(AJ8=1,Princeton,UN),0)</f>
        <v>1</v>
      </c>
      <c r="AL12" s="22">
        <v>5</v>
      </c>
      <c r="AM12" s="40">
        <f t="shared" ca="1" si="0"/>
        <v>0.50239999999999996</v>
      </c>
      <c r="AN12" s="40">
        <f t="shared" ca="1" si="0"/>
        <v>2.8E-3</v>
      </c>
      <c r="AO12" s="40">
        <f t="shared" ca="1" si="0"/>
        <v>4.7999999999999996E-3</v>
      </c>
      <c r="AP12" s="40">
        <f t="shared" ca="1" si="0"/>
        <v>1.7999999999999999E-2</v>
      </c>
      <c r="AQ12" s="40"/>
      <c r="AR12" s="40">
        <f t="shared" ca="1" si="1"/>
        <v>4.4580000000000002</v>
      </c>
      <c r="AS12" s="40">
        <f t="shared" ca="1" si="1"/>
        <v>-17.180900000000001</v>
      </c>
      <c r="AT12" s="40">
        <f t="shared" ca="1" si="1"/>
        <v>20.429600000000001</v>
      </c>
      <c r="AV12" s="41">
        <f t="shared" ca="1" si="2"/>
        <v>15</v>
      </c>
    </row>
    <row r="13" spans="1:48" ht="12.75" customHeight="1" x14ac:dyDescent="0.2">
      <c r="A13" s="52"/>
      <c r="B13" s="53"/>
      <c r="C13" s="54"/>
      <c r="D13" s="54"/>
      <c r="E13" s="54"/>
      <c r="F13" s="54"/>
      <c r="G13" s="54"/>
      <c r="H13" s="54"/>
      <c r="I13" s="54"/>
      <c r="J13" s="55"/>
      <c r="L13" s="49"/>
      <c r="M13" s="38"/>
      <c r="N13" s="38"/>
      <c r="O13" s="38"/>
      <c r="P13" s="38"/>
      <c r="Q13" s="38"/>
      <c r="R13" s="38"/>
      <c r="S13" s="38"/>
      <c r="T13" s="38"/>
      <c r="U13" s="57"/>
      <c r="W13" s="49"/>
      <c r="X13" s="38"/>
      <c r="Y13" s="38"/>
      <c r="Z13" s="38"/>
      <c r="AA13" s="38"/>
      <c r="AB13" s="38"/>
      <c r="AC13" s="38"/>
      <c r="AD13" s="38"/>
      <c r="AE13" s="63"/>
      <c r="AF13" s="65"/>
      <c r="AG13" s="27"/>
      <c r="AH13" s="70"/>
      <c r="AI13" s="71" t="s">
        <v>41</v>
      </c>
      <c r="AJ13" s="70"/>
      <c r="AL13" s="22">
        <v>6</v>
      </c>
      <c r="AM13" s="40">
        <f t="shared" ca="1" si="0"/>
        <v>0.53259999999999996</v>
      </c>
      <c r="AN13" s="40">
        <f t="shared" ca="1" si="0"/>
        <v>5.1999999999999998E-3</v>
      </c>
      <c r="AO13" s="40">
        <f t="shared" ca="1" si="0"/>
        <v>2.5600000000000001E-2</v>
      </c>
      <c r="AP13" s="40">
        <f t="shared" ca="1" si="0"/>
        <v>1.6799999999999999E-2</v>
      </c>
      <c r="AQ13" s="40"/>
      <c r="AR13" s="40">
        <f t="shared" ca="1" si="1"/>
        <v>6.9351000000000003</v>
      </c>
      <c r="AS13" s="40">
        <f t="shared" ca="1" si="1"/>
        <v>-19.3871</v>
      </c>
      <c r="AT13" s="40">
        <f t="shared" ca="1" si="1"/>
        <v>23.400700000000001</v>
      </c>
      <c r="AV13" s="41">
        <f t="shared" ca="1" si="2"/>
        <v>20</v>
      </c>
    </row>
    <row r="14" spans="1:48" ht="12.75" customHeight="1" x14ac:dyDescent="0.2">
      <c r="A14" s="56"/>
      <c r="B14" s="54"/>
      <c r="C14" s="54"/>
      <c r="D14" s="54"/>
      <c r="E14" s="54"/>
      <c r="F14" s="54"/>
      <c r="G14" s="54"/>
      <c r="H14" s="54"/>
      <c r="I14" s="54"/>
      <c r="J14" s="55"/>
      <c r="L14" s="49"/>
      <c r="M14" s="38"/>
      <c r="N14" s="38"/>
      <c r="O14" s="38"/>
      <c r="P14" s="38"/>
      <c r="Q14" s="38"/>
      <c r="R14" s="38"/>
      <c r="S14" s="38"/>
      <c r="T14" s="38"/>
      <c r="U14" s="57"/>
      <c r="W14" s="49"/>
      <c r="X14" s="38"/>
      <c r="Y14" s="38"/>
      <c r="Z14" s="38"/>
      <c r="AA14" s="38"/>
      <c r="AB14" s="38"/>
      <c r="AC14" s="38"/>
      <c r="AD14" s="38"/>
      <c r="AE14" s="63"/>
      <c r="AF14" s="65"/>
      <c r="AG14" s="27"/>
      <c r="AH14" s="70"/>
      <c r="AI14" s="72" t="s">
        <v>42</v>
      </c>
      <c r="AJ14" s="70"/>
    </row>
    <row r="15" spans="1:48" ht="15" customHeight="1" x14ac:dyDescent="0.3">
      <c r="A15" s="126" t="s">
        <v>18</v>
      </c>
      <c r="B15" s="126"/>
      <c r="C15" s="126"/>
      <c r="D15" s="126"/>
      <c r="E15" s="126"/>
      <c r="F15" s="126"/>
      <c r="G15" s="126"/>
      <c r="H15" s="126"/>
      <c r="I15" s="126"/>
      <c r="J15" s="127"/>
      <c r="K15" s="29"/>
      <c r="L15" s="48"/>
      <c r="M15" s="42"/>
      <c r="N15" s="126" t="s">
        <v>18</v>
      </c>
      <c r="O15" s="126"/>
      <c r="P15" s="126"/>
      <c r="Q15" s="126"/>
      <c r="R15" s="126"/>
      <c r="S15" s="126"/>
      <c r="T15" s="126"/>
      <c r="U15" s="127"/>
      <c r="V15" s="29"/>
      <c r="W15" s="48"/>
      <c r="X15" s="42"/>
      <c r="Y15" s="126" t="s">
        <v>18</v>
      </c>
      <c r="Z15" s="126"/>
      <c r="AA15" s="126"/>
      <c r="AB15" s="126"/>
      <c r="AC15" s="126"/>
      <c r="AD15" s="126"/>
      <c r="AE15" s="126"/>
      <c r="AF15" s="127"/>
      <c r="AG15" s="27"/>
      <c r="AH15" s="70"/>
      <c r="AI15" s="72" t="s">
        <v>43</v>
      </c>
      <c r="AJ15" s="70"/>
      <c r="AM15" s="126" t="s">
        <v>66</v>
      </c>
      <c r="AN15" s="126"/>
      <c r="AO15" s="98"/>
      <c r="AP15" s="40"/>
      <c r="AQ15" s="40"/>
      <c r="AR15" s="40"/>
      <c r="AS15" s="40"/>
      <c r="AT15" s="40"/>
    </row>
    <row r="16" spans="1:48" ht="12.75" customHeight="1" x14ac:dyDescent="0.3">
      <c r="A16" s="67" t="s">
        <v>54</v>
      </c>
      <c r="B16" s="68" t="s">
        <v>28</v>
      </c>
      <c r="C16" s="33" t="s">
        <v>8</v>
      </c>
      <c r="D16" s="33" t="s">
        <v>9</v>
      </c>
      <c r="E16" s="33" t="s">
        <v>10</v>
      </c>
      <c r="F16" s="33" t="s">
        <v>11</v>
      </c>
      <c r="G16" s="33"/>
      <c r="H16" s="33" t="s">
        <v>12</v>
      </c>
      <c r="I16" s="33" t="s">
        <v>13</v>
      </c>
      <c r="J16" s="69" t="s">
        <v>14</v>
      </c>
      <c r="L16" s="67" t="s">
        <v>92</v>
      </c>
      <c r="M16" s="68" t="s">
        <v>28</v>
      </c>
      <c r="N16" s="33" t="s">
        <v>8</v>
      </c>
      <c r="O16" s="33" t="s">
        <v>9</v>
      </c>
      <c r="P16" s="33" t="s">
        <v>10</v>
      </c>
      <c r="Q16" s="33"/>
      <c r="R16" s="33"/>
      <c r="S16" s="33" t="s">
        <v>12</v>
      </c>
      <c r="T16" s="33" t="s">
        <v>13</v>
      </c>
      <c r="U16" s="69" t="s">
        <v>14</v>
      </c>
      <c r="W16" s="67" t="s">
        <v>92</v>
      </c>
      <c r="X16" s="68" t="s">
        <v>28</v>
      </c>
      <c r="Y16" s="33" t="s">
        <v>8</v>
      </c>
      <c r="Z16" s="33" t="s">
        <v>9</v>
      </c>
      <c r="AA16" s="33" t="s">
        <v>10</v>
      </c>
      <c r="AB16" s="33"/>
      <c r="AC16" s="33"/>
      <c r="AD16" s="33" t="s">
        <v>12</v>
      </c>
      <c r="AE16" s="33" t="s">
        <v>13</v>
      </c>
      <c r="AF16" s="69" t="s">
        <v>14</v>
      </c>
      <c r="AG16" s="27"/>
      <c r="AH16" s="70"/>
      <c r="AI16" s="73" t="s">
        <v>44</v>
      </c>
      <c r="AJ16" s="70"/>
      <c r="AM16" s="95" t="s">
        <v>28</v>
      </c>
      <c r="AN16" s="97" t="s">
        <v>100</v>
      </c>
      <c r="AO16" s="42"/>
      <c r="AP16" s="40"/>
      <c r="AQ16" s="40"/>
      <c r="AR16" s="40"/>
      <c r="AS16" s="40"/>
      <c r="AT16" s="40"/>
    </row>
    <row r="17" spans="1:46" ht="12.75" customHeight="1" x14ac:dyDescent="0.2">
      <c r="A17" s="49" t="s">
        <v>0</v>
      </c>
      <c r="B17" s="38">
        <v>1</v>
      </c>
      <c r="C17" s="38">
        <v>1.0819000000000001</v>
      </c>
      <c r="D17" s="38">
        <v>-3.0005000000000002</v>
      </c>
      <c r="E17" s="38">
        <v>0.86890000000000001</v>
      </c>
      <c r="F17" s="54"/>
      <c r="G17" s="54"/>
      <c r="H17" s="50">
        <v>1.0900000000000001</v>
      </c>
      <c r="I17" s="50">
        <v>5.4443000000000001</v>
      </c>
      <c r="J17" s="51">
        <v>-1.9721</v>
      </c>
      <c r="L17" s="49" t="s">
        <v>29</v>
      </c>
      <c r="M17" s="38">
        <v>2</v>
      </c>
      <c r="N17" s="38">
        <v>1.1705000000000001</v>
      </c>
      <c r="O17" s="38">
        <v>-0.14610000000000001</v>
      </c>
      <c r="P17" s="38">
        <v>5.1000000000000004E-3</v>
      </c>
      <c r="Q17" s="38"/>
      <c r="R17" s="38"/>
      <c r="S17" s="50">
        <v>1.68</v>
      </c>
      <c r="T17" s="50">
        <v>0.96</v>
      </c>
      <c r="U17" s="51">
        <v>-0.32</v>
      </c>
      <c r="W17" s="49" t="s">
        <v>29</v>
      </c>
      <c r="X17" s="38">
        <v>2</v>
      </c>
      <c r="Y17" s="38">
        <v>1.3103</v>
      </c>
      <c r="Z17" s="38">
        <v>-0.58560000000000001</v>
      </c>
      <c r="AA17" s="38">
        <v>0.13669999999999999</v>
      </c>
      <c r="AB17" s="38"/>
      <c r="AC17" s="38"/>
      <c r="AD17" s="38">
        <v>1.0202</v>
      </c>
      <c r="AE17" s="63">
        <v>1.3064</v>
      </c>
      <c r="AF17" s="65">
        <v>-0.32969999999999999</v>
      </c>
      <c r="AG17" s="27"/>
      <c r="AH17" s="70"/>
      <c r="AI17" s="71" t="s">
        <v>45</v>
      </c>
      <c r="AJ17" s="70"/>
      <c r="AM17" s="81">
        <v>0</v>
      </c>
      <c r="AN17" s="99"/>
      <c r="AO17" s="83"/>
      <c r="AP17" s="39"/>
      <c r="AQ17" s="39"/>
      <c r="AR17" s="39"/>
      <c r="AS17" s="39"/>
      <c r="AT17" s="39"/>
    </row>
    <row r="18" spans="1:46" ht="12.75" customHeight="1" x14ac:dyDescent="0.2">
      <c r="A18" s="49" t="s">
        <v>1</v>
      </c>
      <c r="B18" s="38">
        <v>2</v>
      </c>
      <c r="C18" s="38">
        <v>1.2846</v>
      </c>
      <c r="D18" s="38">
        <v>-0.61809999999999998</v>
      </c>
      <c r="E18" s="38">
        <v>-0.3024</v>
      </c>
      <c r="F18" s="54"/>
      <c r="G18" s="54"/>
      <c r="H18" s="50">
        <v>1.3079000000000001</v>
      </c>
      <c r="I18" s="50">
        <v>5.5568</v>
      </c>
      <c r="J18" s="51">
        <v>0.2021</v>
      </c>
      <c r="L18" s="49" t="s">
        <v>30</v>
      </c>
      <c r="M18" s="38">
        <v>5</v>
      </c>
      <c r="N18" s="38">
        <v>1.3166</v>
      </c>
      <c r="O18" s="38">
        <v>-0.31569999999999998</v>
      </c>
      <c r="P18" s="38">
        <v>-9.7100000000000006E-2</v>
      </c>
      <c r="Q18" s="38"/>
      <c r="R18" s="38"/>
      <c r="S18" s="50">
        <v>2.29</v>
      </c>
      <c r="T18" s="50">
        <v>3.84</v>
      </c>
      <c r="U18" s="51">
        <v>-0.01</v>
      </c>
      <c r="W18" s="49" t="s">
        <v>30</v>
      </c>
      <c r="X18" s="38">
        <v>3</v>
      </c>
      <c r="Y18" s="38">
        <v>1.2309000000000001</v>
      </c>
      <c r="Z18" s="38">
        <v>-0.3463</v>
      </c>
      <c r="AA18" s="38">
        <v>-0.10730000000000001</v>
      </c>
      <c r="AB18" s="38"/>
      <c r="AC18" s="38"/>
      <c r="AD18" s="38">
        <v>1.6600999999999999</v>
      </c>
      <c r="AE18" s="64">
        <v>4.5105000000000004</v>
      </c>
      <c r="AF18" s="65">
        <v>-3.3500000000000002E-2</v>
      </c>
      <c r="AG18" s="27"/>
      <c r="AH18" s="70"/>
      <c r="AI18" s="72" t="s">
        <v>77</v>
      </c>
      <c r="AJ18" s="70"/>
      <c r="AM18" s="82">
        <v>1</v>
      </c>
      <c r="AN18" s="100">
        <f>HLOOKUP(Coefficients!$AJ$8*100+Coefficients!$AJ$12*10+Coefficients!$AJ$28,'Model LTs'!$A$2:$AB$13,5,FALSE)</f>
        <v>-1.2307700164916384</v>
      </c>
      <c r="AO18" s="96"/>
    </row>
    <row r="19" spans="1:46" ht="12.75" customHeight="1" x14ac:dyDescent="0.2">
      <c r="A19" s="49" t="s">
        <v>2</v>
      </c>
      <c r="B19" s="38">
        <v>3</v>
      </c>
      <c r="C19" s="38">
        <v>1.2222999999999999</v>
      </c>
      <c r="D19" s="38">
        <v>8.5099999999999995E-2</v>
      </c>
      <c r="E19" s="38">
        <v>-0.47039999999999998</v>
      </c>
      <c r="F19" s="54"/>
      <c r="G19" s="54"/>
      <c r="H19" s="50">
        <v>1.5173000000000001</v>
      </c>
      <c r="I19" s="50">
        <v>2.6755</v>
      </c>
      <c r="J19" s="51">
        <v>4.7470999999999997</v>
      </c>
      <c r="L19" s="49" t="s">
        <v>31</v>
      </c>
      <c r="M19" s="38">
        <v>5</v>
      </c>
      <c r="N19" s="38">
        <v>1.2951999999999999</v>
      </c>
      <c r="O19" s="38">
        <v>-4.2299999999999997E-2</v>
      </c>
      <c r="P19" s="38">
        <v>-0.42949999999999999</v>
      </c>
      <c r="Q19" s="38"/>
      <c r="R19" s="38"/>
      <c r="S19" s="50">
        <v>1.19</v>
      </c>
      <c r="T19" s="50">
        <v>3.45</v>
      </c>
      <c r="U19" s="51">
        <v>5.41</v>
      </c>
      <c r="W19" s="49" t="s">
        <v>31</v>
      </c>
      <c r="X19" s="38">
        <v>5</v>
      </c>
      <c r="Y19" s="38">
        <v>1.2774000000000001</v>
      </c>
      <c r="Z19" s="38">
        <v>3.3599999999999998E-2</v>
      </c>
      <c r="AA19" s="38">
        <v>-0.3987</v>
      </c>
      <c r="AB19" s="38"/>
      <c r="AC19" s="38"/>
      <c r="AD19" s="38">
        <v>1.2145999999999999</v>
      </c>
      <c r="AE19" s="38">
        <v>3.4683999999999999</v>
      </c>
      <c r="AF19" s="57">
        <v>4.9523999999999999</v>
      </c>
      <c r="AH19" s="70"/>
      <c r="AI19" s="72" t="s">
        <v>46</v>
      </c>
      <c r="AJ19" s="70"/>
      <c r="AM19" s="82">
        <v>2</v>
      </c>
      <c r="AN19" s="100">
        <f>HLOOKUP(Coefficients!$AJ$8*100+Coefficients!$AJ$12*10+Coefficients!$AJ$28,'Model LTs'!$A$2:$AB$13,6,FALSE)</f>
        <v>-1.111984110632724</v>
      </c>
      <c r="AO19" s="96"/>
    </row>
    <row r="20" spans="1:46" ht="12.75" customHeight="1" x14ac:dyDescent="0.2">
      <c r="A20" s="49" t="s">
        <v>3</v>
      </c>
      <c r="B20" s="38">
        <v>5</v>
      </c>
      <c r="C20" s="38">
        <v>1.1904999999999999</v>
      </c>
      <c r="D20" s="38">
        <v>0.2631</v>
      </c>
      <c r="E20" s="38">
        <v>-0.44869999999999999</v>
      </c>
      <c r="F20" s="54"/>
      <c r="G20" s="54"/>
      <c r="H20" s="50">
        <v>1.9399</v>
      </c>
      <c r="I20" s="50">
        <v>-2.2738999999999998</v>
      </c>
      <c r="J20" s="51">
        <v>10.387600000000001</v>
      </c>
      <c r="L20" s="49" t="s">
        <v>0</v>
      </c>
      <c r="M20" s="38">
        <v>5</v>
      </c>
      <c r="N20" s="50">
        <v>1.2836000000000001</v>
      </c>
      <c r="O20" s="38">
        <v>0.1308</v>
      </c>
      <c r="P20" s="38">
        <v>-0.64959999999999996</v>
      </c>
      <c r="Q20" s="38"/>
      <c r="R20" s="38"/>
      <c r="S20" s="50">
        <v>-1.01</v>
      </c>
      <c r="T20" s="50">
        <v>-0.18</v>
      </c>
      <c r="U20" s="51">
        <v>15.03</v>
      </c>
      <c r="W20" s="49" t="s">
        <v>0</v>
      </c>
      <c r="X20" s="38">
        <v>10</v>
      </c>
      <c r="Y20" s="38">
        <v>1.3492999999999999</v>
      </c>
      <c r="Z20" s="38">
        <v>0.1366</v>
      </c>
      <c r="AA20" s="38">
        <v>-0.5403</v>
      </c>
      <c r="AB20" s="38"/>
      <c r="AC20" s="38"/>
      <c r="AD20" s="38">
        <v>-0.64539999999999997</v>
      </c>
      <c r="AE20" s="38">
        <v>-1.6045</v>
      </c>
      <c r="AF20" s="65">
        <v>14.677300000000001</v>
      </c>
      <c r="AH20" s="70"/>
      <c r="AI20" s="72" t="s">
        <v>47</v>
      </c>
      <c r="AJ20" s="70"/>
      <c r="AM20" s="82">
        <v>3</v>
      </c>
      <c r="AN20" s="100">
        <f>HLOOKUP(Coefficients!$AJ$8*100+Coefficients!$AJ$12*10+Coefficients!$AJ$28,'Model LTs'!$A$2:$AB$13,7,FALSE)</f>
        <v>-1.0582869252092624</v>
      </c>
      <c r="AO20" s="96"/>
    </row>
    <row r="21" spans="1:46" ht="12.75" customHeight="1" x14ac:dyDescent="0.2">
      <c r="A21" s="49" t="s">
        <v>4</v>
      </c>
      <c r="B21" s="38">
        <v>10</v>
      </c>
      <c r="C21" s="38">
        <v>1.1911</v>
      </c>
      <c r="D21" s="38">
        <v>0.31519999999999998</v>
      </c>
      <c r="E21" s="38">
        <v>-0.42909999999999998</v>
      </c>
      <c r="F21" s="54"/>
      <c r="G21" s="54"/>
      <c r="H21" s="50">
        <v>2.6156999999999999</v>
      </c>
      <c r="I21" s="50">
        <v>-8.4818999999999996</v>
      </c>
      <c r="J21" s="51">
        <v>16.5153</v>
      </c>
      <c r="L21" s="49" t="s">
        <v>1</v>
      </c>
      <c r="M21" s="38">
        <v>10</v>
      </c>
      <c r="N21" s="38">
        <v>1.5268999999999999</v>
      </c>
      <c r="O21" s="38">
        <v>0.26590000000000003</v>
      </c>
      <c r="P21" s="38">
        <v>-0.91739999999999999</v>
      </c>
      <c r="Q21" s="38"/>
      <c r="R21" s="38"/>
      <c r="S21" s="50">
        <v>-2.68</v>
      </c>
      <c r="T21" s="50">
        <v>-5.0599999999999996</v>
      </c>
      <c r="U21" s="51">
        <v>25.21</v>
      </c>
      <c r="W21" s="49" t="s">
        <v>1</v>
      </c>
      <c r="X21" s="38">
        <v>15</v>
      </c>
      <c r="Y21" s="38">
        <v>1.3592</v>
      </c>
      <c r="Z21" s="38">
        <v>-3.15E-2</v>
      </c>
      <c r="AA21" s="38">
        <v>-0.49440000000000001</v>
      </c>
      <c r="AB21" s="38"/>
      <c r="AC21" s="38"/>
      <c r="AD21" s="38">
        <v>-2.9104000000000001</v>
      </c>
      <c r="AE21" s="38">
        <v>-4.1352000000000002</v>
      </c>
      <c r="AF21" s="65">
        <v>24.007200000000001</v>
      </c>
      <c r="AH21" s="70"/>
      <c r="AI21" s="73" t="s">
        <v>48</v>
      </c>
      <c r="AJ21" s="70"/>
      <c r="AM21" s="82">
        <v>4</v>
      </c>
      <c r="AN21" s="100">
        <f>HLOOKUP(Coefficients!$AJ$8*100+Coefficients!$AJ$12*10+Coefficients!$AJ$28,'Model LTs'!$A$2:$AB$13,8,FALSE)</f>
        <v>-1.0266375793312168</v>
      </c>
      <c r="AO21" s="96"/>
    </row>
    <row r="22" spans="1:46" ht="12.75" customHeight="1" x14ac:dyDescent="0.2">
      <c r="A22" s="49" t="s">
        <v>5</v>
      </c>
      <c r="B22" s="38">
        <v>15</v>
      </c>
      <c r="C22" s="38">
        <v>1.1564000000000001</v>
      </c>
      <c r="D22" s="38">
        <v>0.30170000000000002</v>
      </c>
      <c r="E22" s="38">
        <v>-0.39579999999999999</v>
      </c>
      <c r="F22" s="54"/>
      <c r="G22" s="54"/>
      <c r="H22" s="50">
        <v>4.0793999999999997</v>
      </c>
      <c r="I22" s="50">
        <v>-13.8308</v>
      </c>
      <c r="J22" s="51">
        <v>21.186599999999999</v>
      </c>
      <c r="L22" s="49"/>
      <c r="M22" s="38"/>
      <c r="N22" s="38"/>
      <c r="O22" s="38"/>
      <c r="P22" s="38"/>
      <c r="Q22" s="38"/>
      <c r="R22" s="38"/>
      <c r="S22" s="38"/>
      <c r="T22" s="38"/>
      <c r="U22" s="57"/>
      <c r="W22" s="49" t="s">
        <v>2</v>
      </c>
      <c r="X22" s="38">
        <v>20</v>
      </c>
      <c r="Y22" s="38">
        <v>1.3532</v>
      </c>
      <c r="Z22" s="38">
        <v>-0.1978</v>
      </c>
      <c r="AA22" s="63">
        <v>-0.40989999999999999</v>
      </c>
      <c r="AB22" s="63"/>
      <c r="AC22" s="38"/>
      <c r="AD22" s="38">
        <v>-3.1640999999999999</v>
      </c>
      <c r="AE22" s="38">
        <v>1.2105999999999999</v>
      </c>
      <c r="AF22" s="65">
        <v>26.351500000000001</v>
      </c>
      <c r="AH22" s="70"/>
      <c r="AI22" s="70"/>
      <c r="AJ22" s="70"/>
      <c r="AM22" s="82">
        <v>5</v>
      </c>
      <c r="AN22" s="100">
        <f>HLOOKUP(Coefficients!$AJ$8*100+Coefficients!$AJ$12*10+Coefficients!$AJ$28,'Model LTs'!$A$2:$AB$13,9,FALSE)</f>
        <v>-1.005518141540678</v>
      </c>
      <c r="AO22" s="96"/>
    </row>
    <row r="23" spans="1:46" ht="12.75" customHeight="1" x14ac:dyDescent="0.2">
      <c r="A23" s="49" t="s">
        <v>6</v>
      </c>
      <c r="B23" s="38">
        <v>20</v>
      </c>
      <c r="C23" s="38">
        <v>1.1307</v>
      </c>
      <c r="D23" s="38">
        <v>0.2596</v>
      </c>
      <c r="E23" s="38">
        <v>-0.3538</v>
      </c>
      <c r="F23" s="54"/>
      <c r="G23" s="54"/>
      <c r="H23" s="50">
        <v>7.1795999999999998</v>
      </c>
      <c r="I23" s="50">
        <v>-15.388</v>
      </c>
      <c r="J23" s="51">
        <v>21.789200000000001</v>
      </c>
      <c r="L23" s="49"/>
      <c r="M23" s="38"/>
      <c r="N23" s="38"/>
      <c r="O23" s="38"/>
      <c r="P23" s="38"/>
      <c r="Q23" s="38"/>
      <c r="R23" s="38"/>
      <c r="S23" s="38"/>
      <c r="T23" s="38"/>
      <c r="U23" s="57"/>
      <c r="W23" s="49"/>
      <c r="X23" s="38"/>
      <c r="Y23" s="38"/>
      <c r="Z23" s="38"/>
      <c r="AA23" s="38"/>
      <c r="AB23" s="38"/>
      <c r="AC23" s="38"/>
      <c r="AD23" s="38"/>
      <c r="AE23" s="38"/>
      <c r="AF23" s="57"/>
      <c r="AH23" s="70" t="s">
        <v>95</v>
      </c>
      <c r="AI23" s="70"/>
      <c r="AJ23" s="70">
        <f>MATCH(Introduction!D14,Variant,0)</f>
        <v>1</v>
      </c>
      <c r="AM23" s="82">
        <v>10</v>
      </c>
      <c r="AN23" s="100">
        <f>HLOOKUP(Coefficients!$AJ$8*100+Coefficients!$AJ$12*10+Coefficients!$AJ$28,'Model LTs'!$A$2:$AB$13,10,FALSE)</f>
        <v>-0.95717334253081887</v>
      </c>
      <c r="AO23" s="96"/>
    </row>
    <row r="24" spans="1:46" ht="12.75" customHeight="1" x14ac:dyDescent="0.2">
      <c r="A24" s="56"/>
      <c r="B24" s="38"/>
      <c r="C24" s="54"/>
      <c r="D24" s="54"/>
      <c r="E24" s="54"/>
      <c r="F24" s="54"/>
      <c r="G24" s="54"/>
      <c r="H24" s="54"/>
      <c r="I24" s="54"/>
      <c r="J24" s="55"/>
      <c r="L24" s="49"/>
      <c r="M24" s="38"/>
      <c r="N24" s="38"/>
      <c r="O24" s="38"/>
      <c r="P24" s="38"/>
      <c r="Q24" s="38"/>
      <c r="R24" s="38"/>
      <c r="S24" s="38"/>
      <c r="T24" s="38"/>
      <c r="U24" s="57"/>
      <c r="W24" s="49"/>
      <c r="X24" s="38"/>
      <c r="Y24" s="38"/>
      <c r="Z24" s="38"/>
      <c r="AA24" s="38"/>
      <c r="AB24" s="38"/>
      <c r="AC24" s="38"/>
      <c r="AD24" s="38"/>
      <c r="AE24" s="38"/>
      <c r="AF24" s="57"/>
      <c r="AH24" s="70"/>
      <c r="AI24" s="71" t="s">
        <v>26</v>
      </c>
      <c r="AJ24" s="70"/>
      <c r="AM24" s="82">
        <v>15</v>
      </c>
      <c r="AN24" s="100">
        <f>HLOOKUP(Coefficients!$AJ$8*100+Coefficients!$AJ$12*10+Coefficients!$AJ$28,'Model LTs'!$A$2:$AB$13,11,FALSE)</f>
        <v>-0.93208088942572564</v>
      </c>
      <c r="AO24" s="96"/>
    </row>
    <row r="25" spans="1:46" ht="12.75" customHeight="1" x14ac:dyDescent="0.2">
      <c r="A25" s="56"/>
      <c r="B25" s="38"/>
      <c r="C25" s="54"/>
      <c r="D25" s="54"/>
      <c r="E25" s="54"/>
      <c r="F25" s="54"/>
      <c r="G25" s="54"/>
      <c r="H25" s="54"/>
      <c r="I25" s="54"/>
      <c r="J25" s="55"/>
      <c r="L25" s="49"/>
      <c r="M25" s="38"/>
      <c r="N25" s="38"/>
      <c r="O25" s="38"/>
      <c r="P25" s="38"/>
      <c r="Q25" s="38"/>
      <c r="R25" s="38"/>
      <c r="S25" s="38"/>
      <c r="T25" s="38"/>
      <c r="U25" s="57"/>
      <c r="W25" s="49"/>
      <c r="X25" s="38"/>
      <c r="Y25" s="38"/>
      <c r="Z25" s="38"/>
      <c r="AA25" s="38"/>
      <c r="AB25" s="38"/>
      <c r="AC25" s="38"/>
      <c r="AD25" s="38"/>
      <c r="AE25" s="38"/>
      <c r="AF25" s="57"/>
      <c r="AH25" s="70"/>
      <c r="AI25" s="72" t="s">
        <v>35</v>
      </c>
      <c r="AJ25" s="70"/>
      <c r="AM25" s="84">
        <v>20</v>
      </c>
      <c r="AN25" s="101">
        <f>HLOOKUP(Coefficients!$AJ$8*100+Coefficients!$AJ$12*10+Coefficients!$AJ$28,'Model LTs'!$A$2:$AB$13,12,FALSE)</f>
        <v>-0.89850801280079284</v>
      </c>
      <c r="AO25" s="96"/>
    </row>
    <row r="26" spans="1:46" ht="15" customHeight="1" x14ac:dyDescent="0.3">
      <c r="A26" s="126" t="s">
        <v>19</v>
      </c>
      <c r="B26" s="126"/>
      <c r="C26" s="126"/>
      <c r="D26" s="126"/>
      <c r="E26" s="126"/>
      <c r="F26" s="126"/>
      <c r="G26" s="126"/>
      <c r="H26" s="126"/>
      <c r="I26" s="126"/>
      <c r="J26" s="127"/>
      <c r="K26" s="29"/>
      <c r="L26" s="48"/>
      <c r="M26" s="42"/>
      <c r="N26" s="126" t="s">
        <v>19</v>
      </c>
      <c r="O26" s="126"/>
      <c r="P26" s="126"/>
      <c r="Q26" s="126"/>
      <c r="R26" s="126"/>
      <c r="S26" s="126"/>
      <c r="T26" s="126"/>
      <c r="U26" s="127"/>
      <c r="V26" s="29"/>
      <c r="W26" s="48"/>
      <c r="X26" s="42"/>
      <c r="Y26" s="126" t="s">
        <v>19</v>
      </c>
      <c r="Z26" s="126"/>
      <c r="AA26" s="126"/>
      <c r="AB26" s="126"/>
      <c r="AC26" s="126"/>
      <c r="AD26" s="126"/>
      <c r="AE26" s="126"/>
      <c r="AF26" s="127"/>
      <c r="AH26" s="70"/>
      <c r="AI26" s="73" t="s">
        <v>36</v>
      </c>
      <c r="AJ26" s="70"/>
    </row>
    <row r="27" spans="1:46" ht="12.75" customHeight="1" x14ac:dyDescent="0.3">
      <c r="A27" s="67" t="s">
        <v>54</v>
      </c>
      <c r="B27" s="68" t="s">
        <v>28</v>
      </c>
      <c r="C27" s="33" t="s">
        <v>8</v>
      </c>
      <c r="D27" s="33" t="s">
        <v>9</v>
      </c>
      <c r="E27" s="33" t="s">
        <v>10</v>
      </c>
      <c r="F27" s="33" t="s">
        <v>11</v>
      </c>
      <c r="G27" s="33"/>
      <c r="H27" s="33" t="s">
        <v>12</v>
      </c>
      <c r="I27" s="33" t="s">
        <v>13</v>
      </c>
      <c r="J27" s="69" t="s">
        <v>14</v>
      </c>
      <c r="L27" s="67" t="s">
        <v>92</v>
      </c>
      <c r="M27" s="68" t="s">
        <v>28</v>
      </c>
      <c r="N27" s="33" t="s">
        <v>8</v>
      </c>
      <c r="O27" s="33" t="s">
        <v>9</v>
      </c>
      <c r="P27" s="33" t="s">
        <v>10</v>
      </c>
      <c r="Q27" s="33"/>
      <c r="R27" s="33"/>
      <c r="S27" s="33" t="s">
        <v>12</v>
      </c>
      <c r="T27" s="33" t="s">
        <v>13</v>
      </c>
      <c r="U27" s="69" t="s">
        <v>14</v>
      </c>
      <c r="W27" s="67" t="s">
        <v>92</v>
      </c>
      <c r="X27" s="68" t="s">
        <v>28</v>
      </c>
      <c r="Y27" s="33" t="s">
        <v>8</v>
      </c>
      <c r="Z27" s="33" t="s">
        <v>9</v>
      </c>
      <c r="AA27" s="33" t="s">
        <v>10</v>
      </c>
      <c r="AB27" s="33"/>
      <c r="AC27" s="33"/>
      <c r="AD27" s="33" t="s">
        <v>12</v>
      </c>
      <c r="AE27" s="33" t="s">
        <v>13</v>
      </c>
      <c r="AF27" s="69" t="s">
        <v>14</v>
      </c>
      <c r="AH27" s="70"/>
      <c r="AI27" s="70"/>
      <c r="AJ27" s="70"/>
    </row>
    <row r="28" spans="1:46" ht="12.75" customHeight="1" x14ac:dyDescent="0.2">
      <c r="A28" s="49" t="s">
        <v>0</v>
      </c>
      <c r="B28" s="38">
        <v>1</v>
      </c>
      <c r="C28" s="50">
        <v>1.1460999999999999</v>
      </c>
      <c r="D28" s="50">
        <v>-2.2536</v>
      </c>
      <c r="E28" s="50">
        <v>0.62590000000000001</v>
      </c>
      <c r="F28" s="58"/>
      <c r="G28" s="58"/>
      <c r="H28" s="50">
        <v>1.0959000000000001</v>
      </c>
      <c r="I28" s="50">
        <v>5.5864000000000003</v>
      </c>
      <c r="J28" s="51">
        <v>-1.9948999999999999</v>
      </c>
      <c r="L28" s="49" t="s">
        <v>29</v>
      </c>
      <c r="M28" s="38">
        <v>2</v>
      </c>
      <c r="N28" s="50">
        <v>1.2181999999999999</v>
      </c>
      <c r="O28" s="50">
        <v>-0.18090000000000001</v>
      </c>
      <c r="P28" s="50">
        <v>2.1399999999999999E-2</v>
      </c>
      <c r="Q28" s="50"/>
      <c r="R28" s="38"/>
      <c r="S28" s="50">
        <v>1.68</v>
      </c>
      <c r="T28" s="50">
        <v>0.99</v>
      </c>
      <c r="U28" s="51">
        <v>-0.33</v>
      </c>
      <c r="W28" s="49" t="s">
        <v>29</v>
      </c>
      <c r="X28" s="38">
        <v>2</v>
      </c>
      <c r="Y28" s="38">
        <v>1.2299</v>
      </c>
      <c r="Z28" s="38">
        <v>-0.39979999999999999</v>
      </c>
      <c r="AA28" s="38">
        <v>9.0999999999999998E-2</v>
      </c>
      <c r="AB28" s="38"/>
      <c r="AC28" s="38"/>
      <c r="AD28" s="38">
        <v>1.038</v>
      </c>
      <c r="AE28" s="38">
        <v>1.4213</v>
      </c>
      <c r="AF28" s="57">
        <v>-0.35449999999999998</v>
      </c>
      <c r="AH28" s="70" t="s">
        <v>55</v>
      </c>
      <c r="AI28" s="70"/>
      <c r="AJ28" s="70">
        <f>MATCH(Introduction!D20,Sex,0)</f>
        <v>3</v>
      </c>
    </row>
    <row r="29" spans="1:46" ht="12.75" customHeight="1" x14ac:dyDescent="0.2">
      <c r="A29" s="49" t="s">
        <v>1</v>
      </c>
      <c r="B29" s="38">
        <v>2</v>
      </c>
      <c r="C29" s="50">
        <v>1.2231000000000001</v>
      </c>
      <c r="D29" s="50">
        <v>-0.43009999999999998</v>
      </c>
      <c r="E29" s="50">
        <v>-0.22450000000000001</v>
      </c>
      <c r="F29" s="58"/>
      <c r="G29" s="58"/>
      <c r="H29" s="50">
        <v>1.2921</v>
      </c>
      <c r="I29" s="50">
        <v>5.5896999999999997</v>
      </c>
      <c r="J29" s="51">
        <v>0.36309999999999998</v>
      </c>
      <c r="L29" s="49" t="s">
        <v>30</v>
      </c>
      <c r="M29" s="38">
        <v>5</v>
      </c>
      <c r="N29" s="50">
        <v>1.2768999999999999</v>
      </c>
      <c r="O29" s="50">
        <v>-0.2268</v>
      </c>
      <c r="P29" s="50">
        <v>-0.1052</v>
      </c>
      <c r="Q29" s="50"/>
      <c r="R29" s="38"/>
      <c r="S29" s="50">
        <v>2.19</v>
      </c>
      <c r="T29" s="50">
        <v>4.28</v>
      </c>
      <c r="U29" s="51">
        <v>0.02</v>
      </c>
      <c r="W29" s="49" t="s">
        <v>30</v>
      </c>
      <c r="X29" s="38">
        <v>3</v>
      </c>
      <c r="Y29" s="38">
        <v>1.1611</v>
      </c>
      <c r="Z29" s="38">
        <v>-0.24510000000000001</v>
      </c>
      <c r="AA29" s="38">
        <v>-7.9699999999999993E-2</v>
      </c>
      <c r="AB29" s="38"/>
      <c r="AC29" s="38"/>
      <c r="AD29" s="38">
        <v>1.6440999999999999</v>
      </c>
      <c r="AE29" s="38">
        <v>4.7042000000000002</v>
      </c>
      <c r="AF29" s="57">
        <v>6.4199999999999993E-2</v>
      </c>
      <c r="AH29" s="70"/>
      <c r="AI29" s="71" t="s">
        <v>56</v>
      </c>
      <c r="AJ29" s="70"/>
    </row>
    <row r="30" spans="1:46" ht="12.75" customHeight="1" x14ac:dyDescent="0.2">
      <c r="A30" s="49" t="s">
        <v>2</v>
      </c>
      <c r="B30" s="38">
        <v>3</v>
      </c>
      <c r="C30" s="50">
        <v>1.1593</v>
      </c>
      <c r="D30" s="50">
        <v>5.8099999999999999E-2</v>
      </c>
      <c r="E30" s="50">
        <v>-0.34789999999999999</v>
      </c>
      <c r="F30" s="58"/>
      <c r="G30" s="58"/>
      <c r="H30" s="50">
        <v>1.5021</v>
      </c>
      <c r="I30" s="50">
        <v>2.4691999999999998</v>
      </c>
      <c r="J30" s="51">
        <v>5.0926999999999998</v>
      </c>
      <c r="L30" s="49" t="s">
        <v>31</v>
      </c>
      <c r="M30" s="38">
        <v>5</v>
      </c>
      <c r="N30" s="50">
        <v>1.2730999999999999</v>
      </c>
      <c r="O30" s="50">
        <v>5.0000000000000001E-4</v>
      </c>
      <c r="P30" s="50">
        <v>-0.372</v>
      </c>
      <c r="Q30" s="50"/>
      <c r="R30" s="38"/>
      <c r="S30" s="50">
        <v>0.71</v>
      </c>
      <c r="T30" s="50">
        <v>3.63</v>
      </c>
      <c r="U30" s="51">
        <v>6.36</v>
      </c>
      <c r="W30" s="49" t="s">
        <v>31</v>
      </c>
      <c r="X30" s="38">
        <v>5</v>
      </c>
      <c r="Y30" s="38">
        <v>1.2036</v>
      </c>
      <c r="Z30" s="38">
        <v>1.7100000000000001E-2</v>
      </c>
      <c r="AA30" s="38">
        <v>-0.29920000000000002</v>
      </c>
      <c r="AB30" s="38"/>
      <c r="AC30" s="38"/>
      <c r="AD30" s="38">
        <v>1.1068</v>
      </c>
      <c r="AE30" s="38">
        <v>3.3031999999999999</v>
      </c>
      <c r="AF30" s="57">
        <v>5.4463999999999997</v>
      </c>
      <c r="AH30" s="70"/>
      <c r="AI30" s="72" t="s">
        <v>57</v>
      </c>
      <c r="AJ30" s="70"/>
    </row>
    <row r="31" spans="1:46" ht="12.75" customHeight="1" x14ac:dyDescent="0.2">
      <c r="A31" s="49" t="s">
        <v>3</v>
      </c>
      <c r="B31" s="38">
        <v>5</v>
      </c>
      <c r="C31" s="50">
        <v>1.1404000000000001</v>
      </c>
      <c r="D31" s="50">
        <v>0.1991</v>
      </c>
      <c r="E31" s="50">
        <v>-0.34870000000000001</v>
      </c>
      <c r="F31" s="50"/>
      <c r="G31" s="50"/>
      <c r="H31" s="50">
        <v>1.9347000000000001</v>
      </c>
      <c r="I31" s="50">
        <v>-2.6419000000000001</v>
      </c>
      <c r="J31" s="51">
        <v>10.853300000000001</v>
      </c>
      <c r="L31" s="49" t="s">
        <v>0</v>
      </c>
      <c r="M31" s="38">
        <v>5</v>
      </c>
      <c r="N31" s="50">
        <v>1.2585</v>
      </c>
      <c r="O31" s="50">
        <v>0.1216</v>
      </c>
      <c r="P31" s="50">
        <v>-0.50129999999999997</v>
      </c>
      <c r="Q31" s="50"/>
      <c r="R31" s="38"/>
      <c r="S31" s="50">
        <v>-1.96</v>
      </c>
      <c r="T31" s="50">
        <v>-0.71</v>
      </c>
      <c r="U31" s="51">
        <v>17.420000000000002</v>
      </c>
      <c r="W31" s="49" t="s">
        <v>0</v>
      </c>
      <c r="X31" s="38">
        <v>10</v>
      </c>
      <c r="Y31" s="38">
        <v>1.2773000000000001</v>
      </c>
      <c r="Z31" s="38">
        <v>0.10150000000000001</v>
      </c>
      <c r="AA31" s="38">
        <v>-0.42759999999999998</v>
      </c>
      <c r="AB31" s="38"/>
      <c r="AC31" s="38"/>
      <c r="AD31" s="38">
        <v>-0.86780000000000002</v>
      </c>
      <c r="AE31" s="38">
        <v>-1.9682999999999999</v>
      </c>
      <c r="AF31" s="57">
        <v>15.518700000000001</v>
      </c>
      <c r="AH31" s="70"/>
      <c r="AI31" s="73" t="s">
        <v>58</v>
      </c>
      <c r="AJ31" s="70"/>
    </row>
    <row r="32" spans="1:46" ht="12.75" customHeight="1" x14ac:dyDescent="0.2">
      <c r="A32" s="49" t="s">
        <v>4</v>
      </c>
      <c r="B32" s="38">
        <v>10</v>
      </c>
      <c r="C32" s="50">
        <v>1.1539999999999999</v>
      </c>
      <c r="D32" s="50">
        <v>0.25109999999999999</v>
      </c>
      <c r="E32" s="50">
        <v>-0.35060000000000002</v>
      </c>
      <c r="F32" s="50"/>
      <c r="G32" s="50"/>
      <c r="H32" s="50">
        <v>2.6196999999999999</v>
      </c>
      <c r="I32" s="50">
        <v>-8.9693000000000005</v>
      </c>
      <c r="J32" s="51">
        <v>17.098099999999999</v>
      </c>
      <c r="L32" s="49" t="s">
        <v>1</v>
      </c>
      <c r="M32" s="38">
        <v>10</v>
      </c>
      <c r="N32" s="50">
        <v>1.341</v>
      </c>
      <c r="O32" s="50">
        <v>0.1749</v>
      </c>
      <c r="P32" s="50">
        <v>-0.59640000000000004</v>
      </c>
      <c r="Q32" s="50"/>
      <c r="R32" s="38"/>
      <c r="S32" s="50">
        <v>-4.0599999999999996</v>
      </c>
      <c r="T32" s="50">
        <v>-6.35</v>
      </c>
      <c r="U32" s="51">
        <v>29.14</v>
      </c>
      <c r="W32" s="49" t="s">
        <v>1</v>
      </c>
      <c r="X32" s="38">
        <v>15</v>
      </c>
      <c r="Y32" s="38">
        <v>1.3013999999999999</v>
      </c>
      <c r="Z32" s="38">
        <v>-2.1899999999999999E-2</v>
      </c>
      <c r="AA32" s="38">
        <v>-0.41949999999999998</v>
      </c>
      <c r="AB32" s="38"/>
      <c r="AC32" s="38"/>
      <c r="AD32" s="38">
        <v>-3.2153999999999998</v>
      </c>
      <c r="AE32" s="38">
        <v>-4.1123000000000003</v>
      </c>
      <c r="AF32" s="57">
        <v>24.862400000000001</v>
      </c>
      <c r="AH32" s="70"/>
      <c r="AI32" s="70"/>
      <c r="AJ32" s="70"/>
      <c r="AO32" s="22">
        <f ca="1">+INDIRECT($AM$5)</f>
        <v>0.68920000000000003</v>
      </c>
    </row>
    <row r="33" spans="1:36" ht="12.75" customHeight="1" x14ac:dyDescent="0.2">
      <c r="A33" s="49" t="s">
        <v>5</v>
      </c>
      <c r="B33" s="38">
        <v>15</v>
      </c>
      <c r="C33" s="50">
        <v>1.1335999999999999</v>
      </c>
      <c r="D33" s="50">
        <v>0.25559999999999999</v>
      </c>
      <c r="E33" s="50">
        <v>-0.34279999999999999</v>
      </c>
      <c r="F33" s="50"/>
      <c r="G33" s="50"/>
      <c r="H33" s="50">
        <v>4.1317000000000004</v>
      </c>
      <c r="I33" s="50">
        <v>-14.355</v>
      </c>
      <c r="J33" s="51">
        <v>21.8247</v>
      </c>
      <c r="L33" s="49"/>
      <c r="M33" s="38"/>
      <c r="N33" s="38"/>
      <c r="O33" s="38"/>
      <c r="P33" s="38"/>
      <c r="Q33" s="38"/>
      <c r="R33" s="38"/>
      <c r="S33" s="38"/>
      <c r="T33" s="38"/>
      <c r="U33" s="57"/>
      <c r="W33" s="49" t="s">
        <v>2</v>
      </c>
      <c r="X33" s="38">
        <v>20</v>
      </c>
      <c r="Y33" s="102">
        <v>1.3160000000000001</v>
      </c>
      <c r="Z33" s="66">
        <v>-0.16300000000000001</v>
      </c>
      <c r="AA33" s="38">
        <v>-0.37509999999999999</v>
      </c>
      <c r="AB33" s="38"/>
      <c r="AC33" s="38"/>
      <c r="AD33" s="38">
        <v>-3.3885000000000001</v>
      </c>
      <c r="AE33" s="38">
        <v>1.6746000000000001</v>
      </c>
      <c r="AF33" s="57">
        <v>26.979800000000001</v>
      </c>
      <c r="AH33" s="70" t="s">
        <v>98</v>
      </c>
      <c r="AI33" s="70"/>
      <c r="AJ33" s="70">
        <f>VLOOKUP(100*AJ8+10*AJ12+AJ23,$AI$34:$AI$50,1,FALSE)</f>
        <v>211</v>
      </c>
    </row>
    <row r="34" spans="1:36" ht="12.75" customHeight="1" x14ac:dyDescent="0.2">
      <c r="A34" s="49" t="s">
        <v>6</v>
      </c>
      <c r="B34" s="38">
        <v>20</v>
      </c>
      <c r="C34" s="50">
        <v>1.1201000000000001</v>
      </c>
      <c r="D34" s="50">
        <v>0.23619999999999999</v>
      </c>
      <c r="E34" s="50">
        <v>-0.32679999999999998</v>
      </c>
      <c r="F34" s="50"/>
      <c r="G34" s="50"/>
      <c r="H34" s="50">
        <v>7.3657000000000004</v>
      </c>
      <c r="I34" s="50">
        <v>-15.808299999999999</v>
      </c>
      <c r="J34" s="51">
        <v>22.3005</v>
      </c>
      <c r="L34" s="49"/>
      <c r="M34" s="38"/>
      <c r="N34" s="38"/>
      <c r="O34" s="38"/>
      <c r="P34" s="38"/>
      <c r="Q34" s="38"/>
      <c r="R34" s="38"/>
      <c r="S34" s="38"/>
      <c r="T34" s="38"/>
      <c r="U34" s="57"/>
      <c r="W34" s="49"/>
      <c r="X34" s="38"/>
      <c r="Y34" s="38"/>
      <c r="Z34" s="38"/>
      <c r="AA34" s="38"/>
      <c r="AB34" s="38"/>
      <c r="AC34" s="38"/>
      <c r="AD34" s="38"/>
      <c r="AE34" s="38"/>
      <c r="AF34" s="57"/>
      <c r="AH34" s="70"/>
      <c r="AI34" s="71">
        <v>111</v>
      </c>
      <c r="AJ34" s="70"/>
    </row>
    <row r="35" spans="1:36" ht="12.75" customHeight="1" x14ac:dyDescent="0.2">
      <c r="A35" s="49"/>
      <c r="B35" s="38"/>
      <c r="C35" s="38"/>
      <c r="D35" s="38"/>
      <c r="E35" s="38"/>
      <c r="F35" s="38"/>
      <c r="G35" s="38"/>
      <c r="H35" s="38"/>
      <c r="I35" s="38"/>
      <c r="J35" s="57"/>
      <c r="L35" s="49"/>
      <c r="M35" s="38"/>
      <c r="N35" s="38"/>
      <c r="O35" s="38"/>
      <c r="P35" s="38"/>
      <c r="Q35" s="38"/>
      <c r="R35" s="38"/>
      <c r="S35" s="38"/>
      <c r="T35" s="38"/>
      <c r="U35" s="57"/>
      <c r="W35" s="49"/>
      <c r="X35" s="38"/>
      <c r="Y35" s="38"/>
      <c r="Z35" s="38"/>
      <c r="AA35" s="38"/>
      <c r="AB35" s="38"/>
      <c r="AC35" s="38"/>
      <c r="AD35" s="38"/>
      <c r="AE35" s="38"/>
      <c r="AF35" s="57"/>
      <c r="AH35" s="70"/>
      <c r="AI35" s="72">
        <v>121</v>
      </c>
      <c r="AJ35" s="70"/>
    </row>
    <row r="36" spans="1:36" ht="12.75" customHeight="1" x14ac:dyDescent="0.2">
      <c r="A36" s="49"/>
      <c r="B36" s="38"/>
      <c r="C36" s="38"/>
      <c r="D36" s="38"/>
      <c r="E36" s="38"/>
      <c r="F36" s="38"/>
      <c r="G36" s="38"/>
      <c r="H36" s="38"/>
      <c r="I36" s="38"/>
      <c r="J36" s="57"/>
      <c r="L36" s="49"/>
      <c r="M36" s="38"/>
      <c r="N36" s="38"/>
      <c r="O36" s="38"/>
      <c r="P36" s="38"/>
      <c r="Q36" s="38"/>
      <c r="R36" s="38"/>
      <c r="S36" s="38"/>
      <c r="T36" s="38"/>
      <c r="U36" s="57"/>
      <c r="W36" s="49"/>
      <c r="X36" s="38"/>
      <c r="Y36" s="38"/>
      <c r="Z36" s="38"/>
      <c r="AA36" s="38"/>
      <c r="AB36" s="38"/>
      <c r="AC36" s="38"/>
      <c r="AD36" s="38"/>
      <c r="AE36" s="38"/>
      <c r="AF36" s="57"/>
      <c r="AH36" s="70"/>
      <c r="AI36" s="72">
        <v>131</v>
      </c>
      <c r="AJ36" s="70"/>
    </row>
    <row r="37" spans="1:36" ht="15" customHeight="1" x14ac:dyDescent="0.3">
      <c r="A37" s="126" t="s">
        <v>20</v>
      </c>
      <c r="B37" s="126"/>
      <c r="C37" s="126"/>
      <c r="D37" s="126"/>
      <c r="E37" s="126"/>
      <c r="F37" s="126"/>
      <c r="G37" s="126"/>
      <c r="H37" s="126"/>
      <c r="I37" s="126"/>
      <c r="J37" s="127"/>
      <c r="K37" s="29"/>
      <c r="L37" s="48"/>
      <c r="M37" s="42"/>
      <c r="N37" s="126" t="s">
        <v>20</v>
      </c>
      <c r="O37" s="126"/>
      <c r="P37" s="126"/>
      <c r="Q37" s="126"/>
      <c r="R37" s="126"/>
      <c r="S37" s="126"/>
      <c r="T37" s="126"/>
      <c r="U37" s="127"/>
      <c r="V37" s="29"/>
      <c r="W37" s="48"/>
      <c r="X37" s="42"/>
      <c r="Y37" s="126" t="s">
        <v>20</v>
      </c>
      <c r="Z37" s="126"/>
      <c r="AA37" s="126"/>
      <c r="AB37" s="126"/>
      <c r="AC37" s="126"/>
      <c r="AD37" s="126"/>
      <c r="AE37" s="126"/>
      <c r="AF37" s="127"/>
      <c r="AH37" s="70"/>
      <c r="AI37" s="72">
        <v>141</v>
      </c>
      <c r="AJ37" s="70"/>
    </row>
    <row r="38" spans="1:36" ht="12.75" customHeight="1" x14ac:dyDescent="0.3">
      <c r="A38" s="67" t="s">
        <v>54</v>
      </c>
      <c r="B38" s="68" t="s">
        <v>28</v>
      </c>
      <c r="C38" s="33" t="s">
        <v>8</v>
      </c>
      <c r="D38" s="33" t="s">
        <v>9</v>
      </c>
      <c r="E38" s="33" t="s">
        <v>10</v>
      </c>
      <c r="F38" s="33" t="s">
        <v>11</v>
      </c>
      <c r="G38" s="33"/>
      <c r="H38" s="33" t="s">
        <v>12</v>
      </c>
      <c r="I38" s="33" t="s">
        <v>13</v>
      </c>
      <c r="J38" s="69" t="s">
        <v>14</v>
      </c>
      <c r="L38" s="67" t="s">
        <v>92</v>
      </c>
      <c r="M38" s="68" t="s">
        <v>28</v>
      </c>
      <c r="N38" s="33" t="s">
        <v>8</v>
      </c>
      <c r="O38" s="33" t="s">
        <v>9</v>
      </c>
      <c r="P38" s="33" t="s">
        <v>10</v>
      </c>
      <c r="Q38" s="33"/>
      <c r="R38" s="33"/>
      <c r="S38" s="33" t="s">
        <v>12</v>
      </c>
      <c r="T38" s="33" t="s">
        <v>13</v>
      </c>
      <c r="U38" s="69" t="s">
        <v>14</v>
      </c>
      <c r="W38" s="67" t="s">
        <v>92</v>
      </c>
      <c r="X38" s="68" t="s">
        <v>28</v>
      </c>
      <c r="Y38" s="33" t="s">
        <v>8</v>
      </c>
      <c r="Z38" s="33" t="s">
        <v>9</v>
      </c>
      <c r="AA38" s="33" t="s">
        <v>10</v>
      </c>
      <c r="AB38" s="33"/>
      <c r="AC38" s="33"/>
      <c r="AD38" s="33" t="s">
        <v>12</v>
      </c>
      <c r="AE38" s="33" t="s">
        <v>13</v>
      </c>
      <c r="AF38" s="69" t="s">
        <v>14</v>
      </c>
      <c r="AH38" s="70"/>
      <c r="AI38" s="72">
        <v>211</v>
      </c>
      <c r="AJ38" s="70"/>
    </row>
    <row r="39" spans="1:36" ht="12.75" customHeight="1" x14ac:dyDescent="0.2">
      <c r="A39" s="49" t="s">
        <v>0</v>
      </c>
      <c r="B39" s="38">
        <v>1</v>
      </c>
      <c r="C39" s="50">
        <v>1.1415</v>
      </c>
      <c r="D39" s="50">
        <v>-2.7069999999999999</v>
      </c>
      <c r="E39" s="50">
        <v>0.76629999999999998</v>
      </c>
      <c r="F39" s="50"/>
      <c r="G39" s="50"/>
      <c r="H39" s="50">
        <v>1.097</v>
      </c>
      <c r="I39" s="50">
        <v>5.5628000000000002</v>
      </c>
      <c r="J39" s="51">
        <v>-1.9956</v>
      </c>
      <c r="L39" s="49" t="s">
        <v>29</v>
      </c>
      <c r="M39" s="38">
        <v>2</v>
      </c>
      <c r="N39" s="50">
        <v>1.2049000000000001</v>
      </c>
      <c r="O39" s="50">
        <v>-0.15529999999999999</v>
      </c>
      <c r="P39" s="50">
        <v>1.35E-2</v>
      </c>
      <c r="Q39" s="38"/>
      <c r="R39" s="38"/>
      <c r="S39" s="50">
        <v>1.7</v>
      </c>
      <c r="T39" s="50">
        <v>1.03</v>
      </c>
      <c r="U39" s="51">
        <v>-0.34</v>
      </c>
      <c r="W39" s="49" t="s">
        <v>29</v>
      </c>
      <c r="X39" s="38">
        <v>2</v>
      </c>
      <c r="Y39" s="38">
        <v>1.2584</v>
      </c>
      <c r="Z39" s="38">
        <v>-0.46829999999999999</v>
      </c>
      <c r="AA39" s="38">
        <v>0.108</v>
      </c>
      <c r="AB39" s="38"/>
      <c r="AC39" s="38"/>
      <c r="AD39" s="38">
        <v>1.0348999999999999</v>
      </c>
      <c r="AE39" s="38">
        <v>1.3714</v>
      </c>
      <c r="AF39" s="57">
        <v>-0.33900000000000002</v>
      </c>
      <c r="AH39" s="70"/>
      <c r="AI39" s="72">
        <v>221</v>
      </c>
      <c r="AJ39" s="70"/>
    </row>
    <row r="40" spans="1:36" ht="12.75" customHeight="1" x14ac:dyDescent="0.2">
      <c r="A40" s="49" t="s">
        <v>1</v>
      </c>
      <c r="B40" s="38">
        <v>2</v>
      </c>
      <c r="C40" s="50">
        <v>1.2563</v>
      </c>
      <c r="D40" s="50">
        <v>-0.53810000000000002</v>
      </c>
      <c r="E40" s="50">
        <v>-0.26369999999999999</v>
      </c>
      <c r="F40" s="50"/>
      <c r="G40" s="50"/>
      <c r="H40" s="50">
        <v>1.3062</v>
      </c>
      <c r="I40" s="50">
        <v>5.5677000000000003</v>
      </c>
      <c r="J40" s="51">
        <v>0.29620000000000002</v>
      </c>
      <c r="L40" s="49" t="s">
        <v>30</v>
      </c>
      <c r="M40" s="38">
        <v>5</v>
      </c>
      <c r="N40" s="50">
        <v>1.2573000000000001</v>
      </c>
      <c r="O40" s="50">
        <v>-0.2266</v>
      </c>
      <c r="P40" s="50">
        <v>-9.4399999999999998E-2</v>
      </c>
      <c r="Q40" s="38"/>
      <c r="R40" s="38"/>
      <c r="S40" s="50">
        <v>2.2000000000000002</v>
      </c>
      <c r="T40" s="50">
        <v>4.2</v>
      </c>
      <c r="U40" s="51">
        <v>0.06</v>
      </c>
      <c r="W40" s="49" t="s">
        <v>30</v>
      </c>
      <c r="X40" s="38">
        <v>3</v>
      </c>
      <c r="Y40" s="38">
        <v>1.1840999999999999</v>
      </c>
      <c r="Z40" s="38">
        <v>-0.30059999999999998</v>
      </c>
      <c r="AA40" s="38">
        <v>-8.9200000000000002E-2</v>
      </c>
      <c r="AB40" s="38"/>
      <c r="AC40" s="38"/>
      <c r="AD40" s="38">
        <v>1.6654</v>
      </c>
      <c r="AE40" s="38">
        <v>4.4588000000000001</v>
      </c>
      <c r="AF40" s="57">
        <v>2.3300000000000001E-2</v>
      </c>
      <c r="AH40" s="70"/>
      <c r="AI40" s="72">
        <v>231</v>
      </c>
      <c r="AJ40" s="70"/>
    </row>
    <row r="41" spans="1:36" ht="12.75" customHeight="1" x14ac:dyDescent="0.2">
      <c r="A41" s="49" t="s">
        <v>2</v>
      </c>
      <c r="B41" s="38">
        <v>3</v>
      </c>
      <c r="C41" s="50">
        <v>1.1851</v>
      </c>
      <c r="D41" s="50">
        <v>6.3299999999999995E-2</v>
      </c>
      <c r="E41" s="50">
        <v>-0.41770000000000002</v>
      </c>
      <c r="F41" s="50"/>
      <c r="G41" s="50"/>
      <c r="H41" s="50">
        <v>1.5305</v>
      </c>
      <c r="I41" s="50">
        <v>2.5528</v>
      </c>
      <c r="J41" s="51">
        <v>4.8962000000000003</v>
      </c>
      <c r="L41" s="49" t="s">
        <v>31</v>
      </c>
      <c r="M41" s="38">
        <v>5</v>
      </c>
      <c r="N41" s="50">
        <v>1.2431000000000001</v>
      </c>
      <c r="O41" s="50">
        <v>-2.3E-2</v>
      </c>
      <c r="P41" s="50">
        <v>-0.34089999999999998</v>
      </c>
      <c r="Q41" s="38"/>
      <c r="R41" s="38"/>
      <c r="S41" s="50">
        <v>0.86</v>
      </c>
      <c r="T41" s="50">
        <v>3.47</v>
      </c>
      <c r="U41" s="51">
        <v>6.21</v>
      </c>
      <c r="W41" s="49" t="s">
        <v>31</v>
      </c>
      <c r="X41" s="38">
        <v>5</v>
      </c>
      <c r="Y41" s="38">
        <v>1.2445999999999999</v>
      </c>
      <c r="Z41" s="38">
        <v>1.3100000000000001E-2</v>
      </c>
      <c r="AA41" s="38">
        <v>-0.35549999999999998</v>
      </c>
      <c r="AB41" s="38"/>
      <c r="AC41" s="38"/>
      <c r="AD41" s="38">
        <v>1.2109000000000001</v>
      </c>
      <c r="AE41" s="38">
        <v>3.3290999999999999</v>
      </c>
      <c r="AF41" s="57">
        <v>5.1402000000000001</v>
      </c>
      <c r="AH41" s="70"/>
      <c r="AI41" s="72">
        <v>241</v>
      </c>
      <c r="AJ41" s="70"/>
    </row>
    <row r="42" spans="1:36" ht="12.75" customHeight="1" x14ac:dyDescent="0.2">
      <c r="A42" s="49" t="s">
        <v>3</v>
      </c>
      <c r="B42" s="38">
        <v>5</v>
      </c>
      <c r="C42" s="50">
        <v>1.1719999999999999</v>
      </c>
      <c r="D42" s="50">
        <v>0.2341</v>
      </c>
      <c r="E42" s="50">
        <v>-0.42720000000000002</v>
      </c>
      <c r="F42" s="50"/>
      <c r="G42" s="50"/>
      <c r="H42" s="50">
        <v>1.9991000000000001</v>
      </c>
      <c r="I42" s="50">
        <v>-2.4260999999999999</v>
      </c>
      <c r="J42" s="51">
        <v>10.4282</v>
      </c>
      <c r="L42" s="49" t="s">
        <v>0</v>
      </c>
      <c r="M42" s="38">
        <v>5</v>
      </c>
      <c r="N42" s="50">
        <v>1.2468999999999999</v>
      </c>
      <c r="O42" s="50">
        <v>9.9900000000000003E-2</v>
      </c>
      <c r="P42" s="50">
        <v>-0.52669999999999995</v>
      </c>
      <c r="Q42" s="38"/>
      <c r="R42" s="38"/>
      <c r="S42" s="50">
        <v>-1.46</v>
      </c>
      <c r="T42" s="50">
        <v>-0.69</v>
      </c>
      <c r="U42" s="51">
        <v>16.489999999999998</v>
      </c>
      <c r="W42" s="49" t="s">
        <v>0</v>
      </c>
      <c r="X42" s="38">
        <v>10</v>
      </c>
      <c r="Y42" s="38">
        <v>1.3352999999999999</v>
      </c>
      <c r="Z42" s="38">
        <v>0.1157</v>
      </c>
      <c r="AA42" s="38">
        <v>-0.52449999999999997</v>
      </c>
      <c r="AB42" s="38"/>
      <c r="AC42" s="38"/>
      <c r="AD42" s="38">
        <v>-0.53700000000000003</v>
      </c>
      <c r="AE42" s="38">
        <v>-1.7679</v>
      </c>
      <c r="AF42" s="57">
        <v>14.637</v>
      </c>
      <c r="AH42" s="70"/>
      <c r="AI42" s="72">
        <v>251</v>
      </c>
      <c r="AJ42" s="70"/>
    </row>
    <row r="43" spans="1:36" ht="12.75" customHeight="1" x14ac:dyDescent="0.2">
      <c r="A43" s="49" t="s">
        <v>4</v>
      </c>
      <c r="B43" s="38">
        <v>10</v>
      </c>
      <c r="C43" s="50">
        <v>1.1865000000000001</v>
      </c>
      <c r="D43" s="50">
        <v>0.308</v>
      </c>
      <c r="E43" s="50">
        <v>-0.44519999999999998</v>
      </c>
      <c r="F43" s="50"/>
      <c r="G43" s="50"/>
      <c r="H43" s="50">
        <v>2.7631999999999999</v>
      </c>
      <c r="I43" s="50">
        <v>-8.4064999999999994</v>
      </c>
      <c r="J43" s="51">
        <v>16.178699999999999</v>
      </c>
      <c r="L43" s="49" t="s">
        <v>1</v>
      </c>
      <c r="M43" s="38">
        <v>10</v>
      </c>
      <c r="N43" s="50">
        <v>1.4258</v>
      </c>
      <c r="O43" s="50">
        <v>0.1948</v>
      </c>
      <c r="P43" s="50">
        <v>-0.74539999999999995</v>
      </c>
      <c r="Q43" s="38"/>
      <c r="R43" s="38"/>
      <c r="S43" s="50">
        <v>-2.97</v>
      </c>
      <c r="T43" s="50">
        <v>-5.8</v>
      </c>
      <c r="U43" s="51">
        <v>26.65</v>
      </c>
      <c r="W43" s="49" t="s">
        <v>1</v>
      </c>
      <c r="X43" s="38">
        <v>15</v>
      </c>
      <c r="Y43" s="38">
        <v>1.3875</v>
      </c>
      <c r="Z43" s="38">
        <v>-1.9300000000000001E-2</v>
      </c>
      <c r="AA43" s="38">
        <v>-0.54720000000000002</v>
      </c>
      <c r="AB43" s="38"/>
      <c r="AC43" s="38"/>
      <c r="AD43" s="38">
        <v>-2.4693999999999998</v>
      </c>
      <c r="AE43" s="38">
        <v>-3.9194</v>
      </c>
      <c r="AF43" s="57">
        <v>23.099900000000002</v>
      </c>
      <c r="AH43" s="70"/>
      <c r="AI43" s="72">
        <v>112</v>
      </c>
      <c r="AJ43" s="70"/>
    </row>
    <row r="44" spans="1:36" ht="12.75" customHeight="1" x14ac:dyDescent="0.2">
      <c r="A44" s="49" t="s">
        <v>5</v>
      </c>
      <c r="B44" s="38">
        <v>15</v>
      </c>
      <c r="C44" s="50">
        <v>1.1746000000000001</v>
      </c>
      <c r="D44" s="50">
        <v>0.33139999999999997</v>
      </c>
      <c r="E44" s="50">
        <v>-0.45369999999999999</v>
      </c>
      <c r="F44" s="50"/>
      <c r="G44" s="50"/>
      <c r="H44" s="50">
        <v>4.3468</v>
      </c>
      <c r="I44" s="50">
        <v>-13.243600000000001</v>
      </c>
      <c r="J44" s="51">
        <v>20.199000000000002</v>
      </c>
      <c r="L44" s="59"/>
      <c r="M44" s="60"/>
      <c r="N44" s="60"/>
      <c r="O44" s="60"/>
      <c r="P44" s="60"/>
      <c r="Q44" s="60"/>
      <c r="R44" s="60"/>
      <c r="S44" s="60"/>
      <c r="T44" s="60"/>
      <c r="U44" s="61"/>
      <c r="W44" s="59" t="s">
        <v>2</v>
      </c>
      <c r="X44" s="60">
        <v>20</v>
      </c>
      <c r="Y44" s="60">
        <v>1.4227000000000001</v>
      </c>
      <c r="Z44" s="60">
        <v>-0.19539999999999999</v>
      </c>
      <c r="AA44" s="60">
        <v>-0.51270000000000004</v>
      </c>
      <c r="AB44" s="60"/>
      <c r="AC44" s="60"/>
      <c r="AD44" s="60">
        <v>-2.2107000000000001</v>
      </c>
      <c r="AE44" s="60">
        <v>1.3059000000000001</v>
      </c>
      <c r="AF44" s="61">
        <v>24.447900000000001</v>
      </c>
      <c r="AH44" s="70"/>
      <c r="AI44" s="72">
        <v>122</v>
      </c>
      <c r="AJ44" s="70"/>
    </row>
    <row r="45" spans="1:36" ht="12.75" customHeight="1" x14ac:dyDescent="0.2">
      <c r="A45" s="49" t="s">
        <v>6</v>
      </c>
      <c r="B45" s="38">
        <v>20</v>
      </c>
      <c r="C45" s="50">
        <v>1.1638999999999999</v>
      </c>
      <c r="D45" s="50">
        <v>0.31900000000000001</v>
      </c>
      <c r="E45" s="50">
        <v>-0.44350000000000001</v>
      </c>
      <c r="F45" s="50"/>
      <c r="G45" s="50"/>
      <c r="H45" s="50">
        <v>7.5242000000000004</v>
      </c>
      <c r="I45" s="50">
        <v>-14.2013</v>
      </c>
      <c r="J45" s="51">
        <v>20.016200000000001</v>
      </c>
      <c r="AH45" s="70"/>
      <c r="AI45" s="72">
        <v>132</v>
      </c>
      <c r="AJ45" s="70"/>
    </row>
    <row r="46" spans="1:36" ht="12.75" customHeight="1" x14ac:dyDescent="0.2">
      <c r="A46" s="49"/>
      <c r="B46" s="38"/>
      <c r="C46" s="38"/>
      <c r="D46" s="38"/>
      <c r="E46" s="38"/>
      <c r="F46" s="38"/>
      <c r="G46" s="38"/>
      <c r="H46" s="38"/>
      <c r="I46" s="38"/>
      <c r="J46" s="57"/>
      <c r="AH46" s="70"/>
      <c r="AI46" s="72">
        <v>142</v>
      </c>
      <c r="AJ46" s="70"/>
    </row>
    <row r="47" spans="1:36" ht="12.75" customHeight="1" x14ac:dyDescent="0.2">
      <c r="A47" s="49"/>
      <c r="B47" s="38"/>
      <c r="C47" s="38"/>
      <c r="D47" s="38"/>
      <c r="E47" s="38"/>
      <c r="F47" s="38"/>
      <c r="G47" s="38"/>
      <c r="H47" s="38"/>
      <c r="I47" s="38"/>
      <c r="J47" s="57"/>
      <c r="AH47" s="70"/>
      <c r="AI47" s="72">
        <v>113</v>
      </c>
      <c r="AJ47" s="70"/>
    </row>
    <row r="48" spans="1:36" ht="12.75" customHeight="1" x14ac:dyDescent="0.3">
      <c r="A48" s="126" t="s">
        <v>21</v>
      </c>
      <c r="B48" s="126"/>
      <c r="C48" s="126"/>
      <c r="D48" s="126"/>
      <c r="E48" s="126"/>
      <c r="F48" s="126"/>
      <c r="G48" s="126"/>
      <c r="H48" s="126"/>
      <c r="I48" s="126"/>
      <c r="J48" s="127"/>
      <c r="AH48" s="70"/>
      <c r="AI48" s="72">
        <v>123</v>
      </c>
      <c r="AJ48" s="70"/>
    </row>
    <row r="49" spans="1:36" ht="12.75" customHeight="1" x14ac:dyDescent="0.3">
      <c r="A49" s="67" t="s">
        <v>54</v>
      </c>
      <c r="B49" s="68" t="s">
        <v>28</v>
      </c>
      <c r="C49" s="33" t="s">
        <v>8</v>
      </c>
      <c r="D49" s="33" t="s">
        <v>9</v>
      </c>
      <c r="E49" s="33" t="s">
        <v>10</v>
      </c>
      <c r="F49" s="33" t="s">
        <v>11</v>
      </c>
      <c r="G49" s="33"/>
      <c r="H49" s="33" t="s">
        <v>12</v>
      </c>
      <c r="I49" s="33" t="s">
        <v>13</v>
      </c>
      <c r="J49" s="69" t="s">
        <v>14</v>
      </c>
      <c r="AH49" s="70"/>
      <c r="AI49" s="72">
        <v>133</v>
      </c>
      <c r="AJ49" s="70"/>
    </row>
    <row r="50" spans="1:36" ht="12.75" customHeight="1" x14ac:dyDescent="0.2">
      <c r="A50" s="49" t="s">
        <v>0</v>
      </c>
      <c r="B50" s="38">
        <v>1</v>
      </c>
      <c r="C50" s="50">
        <v>0.68920000000000003</v>
      </c>
      <c r="D50" s="50">
        <v>-1.6937</v>
      </c>
      <c r="E50" s="50">
        <v>0.64639999999999997</v>
      </c>
      <c r="F50" s="50">
        <v>1.06E-2</v>
      </c>
      <c r="G50" s="38"/>
      <c r="H50" s="50">
        <v>1.1702999999999999</v>
      </c>
      <c r="I50" s="50">
        <v>0.51290000000000002</v>
      </c>
      <c r="J50" s="51">
        <v>-0.38500000000000001</v>
      </c>
      <c r="AH50" s="70"/>
      <c r="AI50" s="73">
        <v>143</v>
      </c>
      <c r="AJ50" s="70"/>
    </row>
    <row r="51" spans="1:36" ht="12.75" customHeight="1" x14ac:dyDescent="0.2">
      <c r="A51" s="49" t="s">
        <v>1</v>
      </c>
      <c r="B51" s="38">
        <v>2</v>
      </c>
      <c r="C51" s="50">
        <v>1.3625</v>
      </c>
      <c r="D51" s="50">
        <v>-0.37780000000000002</v>
      </c>
      <c r="E51" s="50">
        <v>-0.28920000000000001</v>
      </c>
      <c r="F51" s="50">
        <v>-4.1000000000000003E-3</v>
      </c>
      <c r="G51" s="38"/>
      <c r="H51" s="50">
        <v>1.6955</v>
      </c>
      <c r="I51" s="50">
        <v>4.1319999999999997</v>
      </c>
      <c r="J51" s="51">
        <v>-0.16350000000000001</v>
      </c>
      <c r="AH51" s="70"/>
      <c r="AI51" s="70"/>
      <c r="AJ51" s="70"/>
    </row>
    <row r="52" spans="1:36" ht="12.75" customHeight="1" x14ac:dyDescent="0.2">
      <c r="A52" s="49" t="s">
        <v>2</v>
      </c>
      <c r="B52" s="38">
        <v>3</v>
      </c>
      <c r="C52" s="50">
        <v>1.0876999999999999</v>
      </c>
      <c r="D52" s="50">
        <v>1.9699999999999999E-2</v>
      </c>
      <c r="E52" s="50">
        <v>-0.29859999999999998</v>
      </c>
      <c r="F52" s="50">
        <v>2.3999999999999998E-3</v>
      </c>
      <c r="G52" s="38"/>
      <c r="H52" s="50">
        <v>1.8295999999999999</v>
      </c>
      <c r="I52" s="50">
        <v>2.9020000000000001</v>
      </c>
      <c r="J52" s="51">
        <v>3.4706999999999999</v>
      </c>
    </row>
    <row r="53" spans="1:36" ht="12.75" customHeight="1" x14ac:dyDescent="0.2">
      <c r="A53" s="49" t="s">
        <v>3</v>
      </c>
      <c r="B53" s="38">
        <v>5</v>
      </c>
      <c r="C53" s="50">
        <v>0.75</v>
      </c>
      <c r="D53" s="50">
        <v>5.3199999999999997E-2</v>
      </c>
      <c r="E53" s="50">
        <v>-0.1106</v>
      </c>
      <c r="F53" s="50">
        <v>1.15E-2</v>
      </c>
      <c r="G53" s="38"/>
      <c r="H53" s="50">
        <v>2.1783000000000001</v>
      </c>
      <c r="I53" s="50">
        <v>-2.5688</v>
      </c>
      <c r="J53" s="51">
        <v>9.0883000000000003</v>
      </c>
    </row>
    <row r="54" spans="1:36" ht="12.75" customHeight="1" x14ac:dyDescent="0.2">
      <c r="A54" s="49" t="s">
        <v>4</v>
      </c>
      <c r="B54" s="38">
        <v>10</v>
      </c>
      <c r="C54" s="50">
        <v>0.5605</v>
      </c>
      <c r="D54" s="50">
        <v>2.2200000000000001E-2</v>
      </c>
      <c r="E54" s="50">
        <v>1.7000000000000001E-2</v>
      </c>
      <c r="F54" s="50">
        <v>1.7100000000000001E-2</v>
      </c>
      <c r="G54" s="38"/>
      <c r="H54" s="50">
        <v>2.8835999999999999</v>
      </c>
      <c r="I54" s="50">
        <v>-10.328200000000001</v>
      </c>
      <c r="J54" s="51">
        <v>15.430099999999999</v>
      </c>
    </row>
    <row r="55" spans="1:36" ht="12.75" customHeight="1" x14ac:dyDescent="0.2">
      <c r="A55" s="49" t="s">
        <v>5</v>
      </c>
      <c r="B55" s="38">
        <v>15</v>
      </c>
      <c r="C55" s="50">
        <v>0.50239999999999996</v>
      </c>
      <c r="D55" s="50">
        <v>2.8E-3</v>
      </c>
      <c r="E55" s="50">
        <v>4.7999999999999996E-3</v>
      </c>
      <c r="F55" s="50">
        <v>1.7999999999999999E-2</v>
      </c>
      <c r="G55" s="38"/>
      <c r="H55" s="50">
        <v>4.4580000000000002</v>
      </c>
      <c r="I55" s="50">
        <v>-17.180900000000001</v>
      </c>
      <c r="J55" s="51">
        <v>20.429600000000001</v>
      </c>
    </row>
    <row r="56" spans="1:36" ht="12.75" customHeight="1" x14ac:dyDescent="0.2">
      <c r="A56" s="49" t="s">
        <v>6</v>
      </c>
      <c r="B56" s="38">
        <v>20</v>
      </c>
      <c r="C56" s="50">
        <v>0.53259999999999996</v>
      </c>
      <c r="D56" s="50">
        <v>5.1999999999999998E-3</v>
      </c>
      <c r="E56" s="50">
        <v>2.5600000000000001E-2</v>
      </c>
      <c r="F56" s="50">
        <v>1.6799999999999999E-2</v>
      </c>
      <c r="G56" s="38"/>
      <c r="H56" s="50">
        <v>6.9351000000000003</v>
      </c>
      <c r="I56" s="50">
        <v>-19.3871</v>
      </c>
      <c r="J56" s="51">
        <v>23.400700000000001</v>
      </c>
    </row>
    <row r="57" spans="1:36" ht="12.75" customHeight="1" x14ac:dyDescent="0.2">
      <c r="A57" s="49"/>
      <c r="B57" s="38"/>
      <c r="C57" s="38"/>
      <c r="D57" s="38"/>
      <c r="E57" s="38"/>
      <c r="F57" s="38"/>
      <c r="G57" s="38"/>
      <c r="H57" s="38"/>
      <c r="I57" s="38"/>
      <c r="J57" s="57"/>
    </row>
    <row r="58" spans="1:36" ht="12.75" customHeight="1" x14ac:dyDescent="0.2">
      <c r="A58" s="49"/>
      <c r="B58" s="38"/>
      <c r="C58" s="38"/>
      <c r="D58" s="38"/>
      <c r="E58" s="38"/>
      <c r="F58" s="38"/>
      <c r="G58" s="38"/>
      <c r="H58" s="38"/>
      <c r="I58" s="38"/>
      <c r="J58" s="57"/>
    </row>
    <row r="59" spans="1:36" ht="12.75" customHeight="1" x14ac:dyDescent="0.3">
      <c r="A59" s="126" t="s">
        <v>22</v>
      </c>
      <c r="B59" s="126"/>
      <c r="C59" s="126" t="s">
        <v>22</v>
      </c>
      <c r="D59" s="126"/>
      <c r="E59" s="126"/>
      <c r="F59" s="126"/>
      <c r="G59" s="126"/>
      <c r="H59" s="126"/>
      <c r="I59" s="126"/>
      <c r="J59" s="127"/>
    </row>
    <row r="60" spans="1:36" ht="12.75" customHeight="1" x14ac:dyDescent="0.3">
      <c r="A60" s="67" t="s">
        <v>54</v>
      </c>
      <c r="B60" s="68" t="s">
        <v>28</v>
      </c>
      <c r="C60" s="33" t="s">
        <v>8</v>
      </c>
      <c r="D60" s="33" t="s">
        <v>9</v>
      </c>
      <c r="E60" s="33" t="s">
        <v>10</v>
      </c>
      <c r="F60" s="33" t="s">
        <v>11</v>
      </c>
      <c r="G60" s="33"/>
      <c r="H60" s="33" t="s">
        <v>12</v>
      </c>
      <c r="I60" s="33" t="s">
        <v>13</v>
      </c>
      <c r="J60" s="69" t="s">
        <v>14</v>
      </c>
    </row>
    <row r="61" spans="1:36" ht="12.75" customHeight="1" x14ac:dyDescent="0.2">
      <c r="A61" s="49" t="s">
        <v>0</v>
      </c>
      <c r="B61" s="38">
        <v>1</v>
      </c>
      <c r="C61" s="50">
        <v>0.82740000000000002</v>
      </c>
      <c r="D61" s="50">
        <v>-1.5853999999999999</v>
      </c>
      <c r="E61" s="50">
        <v>0.59489999999999998</v>
      </c>
      <c r="F61" s="50">
        <v>9.7000000000000003E-3</v>
      </c>
      <c r="G61" s="50"/>
      <c r="H61" s="50">
        <v>1.3091999999999999</v>
      </c>
      <c r="I61" s="50">
        <v>1.9474</v>
      </c>
      <c r="J61" s="51">
        <v>-0.79820000000000002</v>
      </c>
    </row>
    <row r="62" spans="1:36" ht="12.75" customHeight="1" x14ac:dyDescent="0.2">
      <c r="A62" s="49" t="s">
        <v>1</v>
      </c>
      <c r="B62" s="38">
        <v>2</v>
      </c>
      <c r="C62" s="50">
        <v>1.3129</v>
      </c>
      <c r="D62" s="50">
        <v>-0.2457</v>
      </c>
      <c r="E62" s="50">
        <v>-0.2329</v>
      </c>
      <c r="F62" s="50">
        <v>-3.0999999999999999E-3</v>
      </c>
      <c r="G62" s="50"/>
      <c r="H62" s="50">
        <v>1.6897</v>
      </c>
      <c r="I62" s="50">
        <v>4.6176000000000004</v>
      </c>
      <c r="J62" s="51">
        <v>-1.7299999999999999E-2</v>
      </c>
    </row>
    <row r="63" spans="1:36" ht="12.75" customHeight="1" x14ac:dyDescent="0.2">
      <c r="A63" s="49" t="s">
        <v>2</v>
      </c>
      <c r="B63" s="38">
        <v>3</v>
      </c>
      <c r="C63" s="50">
        <v>1.0631999999999999</v>
      </c>
      <c r="D63" s="50">
        <v>1.9599999999999999E-2</v>
      </c>
      <c r="E63" s="50">
        <v>-0.1996</v>
      </c>
      <c r="F63" s="50">
        <v>2.0999999999999999E-3</v>
      </c>
      <c r="G63" s="50"/>
      <c r="H63" s="50">
        <v>1.8368</v>
      </c>
      <c r="I63" s="50">
        <v>2.637</v>
      </c>
      <c r="J63" s="51">
        <v>4.0305</v>
      </c>
    </row>
    <row r="64" spans="1:36" ht="12.75" customHeight="1" x14ac:dyDescent="0.2">
      <c r="A64" s="49" t="s">
        <v>3</v>
      </c>
      <c r="B64" s="38">
        <v>5</v>
      </c>
      <c r="C64" s="50">
        <v>0.8236</v>
      </c>
      <c r="D64" s="50">
        <v>2.93E-2</v>
      </c>
      <c r="E64" s="50">
        <v>-6.8400000000000002E-2</v>
      </c>
      <c r="F64" s="50">
        <v>8.0999999999999996E-3</v>
      </c>
      <c r="G64" s="50"/>
      <c r="H64" s="50">
        <v>2.2035999999999998</v>
      </c>
      <c r="I64" s="50">
        <v>-3.3519999999999999</v>
      </c>
      <c r="J64" s="51">
        <v>9.9232999999999993</v>
      </c>
    </row>
    <row r="65" spans="1:10" ht="12.75" customHeight="1" x14ac:dyDescent="0.2">
      <c r="A65" s="49" t="s">
        <v>4</v>
      </c>
      <c r="B65" s="38">
        <v>10</v>
      </c>
      <c r="C65" s="50">
        <v>0.6895</v>
      </c>
      <c r="D65" s="50">
        <v>6.7999999999999996E-3</v>
      </c>
      <c r="E65" s="50">
        <v>3.2000000000000002E-3</v>
      </c>
      <c r="F65" s="50">
        <v>1.1900000000000001E-2</v>
      </c>
      <c r="G65" s="50"/>
      <c r="H65" s="50">
        <v>2.9954999999999998</v>
      </c>
      <c r="I65" s="50">
        <v>-11.401300000000001</v>
      </c>
      <c r="J65" s="51">
        <v>16.344100000000001</v>
      </c>
    </row>
    <row r="66" spans="1:10" ht="12.75" customHeight="1" x14ac:dyDescent="0.2">
      <c r="A66" s="49" t="s">
        <v>5</v>
      </c>
      <c r="B66" s="38">
        <v>15</v>
      </c>
      <c r="C66" s="50">
        <v>0.60980000000000001</v>
      </c>
      <c r="D66" s="50">
        <v>-1.4E-3</v>
      </c>
      <c r="E66" s="50">
        <v>1.66E-2</v>
      </c>
      <c r="F66" s="50">
        <v>1.41E-2</v>
      </c>
      <c r="G66" s="50"/>
      <c r="H66" s="50">
        <v>4.7733999999999996</v>
      </c>
      <c r="I66" s="50">
        <v>-17.885000000000002</v>
      </c>
      <c r="J66" s="51">
        <v>20.888300000000001</v>
      </c>
    </row>
    <row r="67" spans="1:10" ht="12.75" customHeight="1" x14ac:dyDescent="0.2">
      <c r="A67" s="49" t="s">
        <v>6</v>
      </c>
      <c r="B67" s="38">
        <v>20</v>
      </c>
      <c r="C67" s="50">
        <v>0.5615</v>
      </c>
      <c r="D67" s="50">
        <v>4.0000000000000001E-3</v>
      </c>
      <c r="E67" s="50">
        <v>7.3000000000000001E-3</v>
      </c>
      <c r="F67" s="50">
        <v>1.5900000000000001E-2</v>
      </c>
      <c r="G67" s="50"/>
      <c r="H67" s="50">
        <v>7.4494999999999996</v>
      </c>
      <c r="I67" s="50">
        <v>-19.051300000000001</v>
      </c>
      <c r="J67" s="51">
        <v>23.052900000000001</v>
      </c>
    </row>
    <row r="68" spans="1:10" ht="12.75" customHeight="1" x14ac:dyDescent="0.2">
      <c r="A68" s="49"/>
      <c r="B68" s="38"/>
      <c r="C68" s="38"/>
      <c r="D68" s="38"/>
      <c r="E68" s="38"/>
      <c r="F68" s="38"/>
      <c r="G68" s="38"/>
      <c r="H68" s="38"/>
      <c r="I68" s="38"/>
      <c r="J68" s="57"/>
    </row>
    <row r="69" spans="1:10" ht="12.75" customHeight="1" x14ac:dyDescent="0.2">
      <c r="A69" s="49"/>
      <c r="B69" s="38"/>
      <c r="C69" s="38"/>
      <c r="D69" s="38"/>
      <c r="E69" s="38"/>
      <c r="F69" s="38"/>
      <c r="G69" s="38"/>
      <c r="H69" s="38"/>
      <c r="I69" s="38"/>
      <c r="J69" s="57"/>
    </row>
    <row r="70" spans="1:10" ht="12.75" customHeight="1" x14ac:dyDescent="0.3">
      <c r="A70" s="126" t="s">
        <v>23</v>
      </c>
      <c r="B70" s="126"/>
      <c r="C70" s="126"/>
      <c r="D70" s="126"/>
      <c r="E70" s="126"/>
      <c r="F70" s="126"/>
      <c r="G70" s="126"/>
      <c r="H70" s="126"/>
      <c r="I70" s="126"/>
      <c r="J70" s="127"/>
    </row>
    <row r="71" spans="1:10" ht="12.75" customHeight="1" x14ac:dyDescent="0.3">
      <c r="A71" s="67" t="s">
        <v>54</v>
      </c>
      <c r="B71" s="68" t="s">
        <v>28</v>
      </c>
      <c r="C71" s="33" t="s">
        <v>8</v>
      </c>
      <c r="D71" s="33" t="s">
        <v>9</v>
      </c>
      <c r="E71" s="33" t="s">
        <v>10</v>
      </c>
      <c r="F71" s="33" t="s">
        <v>11</v>
      </c>
      <c r="G71" s="33"/>
      <c r="H71" s="33" t="s">
        <v>12</v>
      </c>
      <c r="I71" s="33" t="s">
        <v>13</v>
      </c>
      <c r="J71" s="69" t="s">
        <v>14</v>
      </c>
    </row>
    <row r="72" spans="1:10" ht="12.75" customHeight="1" x14ac:dyDescent="0.2">
      <c r="A72" s="49" t="s">
        <v>0</v>
      </c>
      <c r="B72" s="38">
        <v>1</v>
      </c>
      <c r="C72" s="50">
        <v>0.67490000000000006</v>
      </c>
      <c r="D72" s="50">
        <v>-1.758</v>
      </c>
      <c r="E72" s="50">
        <v>0.68049999999999999</v>
      </c>
      <c r="F72" s="50">
        <v>1.09E-2</v>
      </c>
      <c r="G72" s="50"/>
      <c r="H72" s="50">
        <v>1.1921999999999999</v>
      </c>
      <c r="I72" s="50">
        <v>0.79400000000000004</v>
      </c>
      <c r="J72" s="51">
        <v>-0.54249999999999998</v>
      </c>
    </row>
    <row r="73" spans="1:10" ht="12.75" customHeight="1" x14ac:dyDescent="0.2">
      <c r="A73" s="49" t="s">
        <v>1</v>
      </c>
      <c r="B73" s="38">
        <v>2</v>
      </c>
      <c r="C73" s="50">
        <v>1.3715999999999999</v>
      </c>
      <c r="D73" s="50">
        <v>-0.36520000000000002</v>
      </c>
      <c r="E73" s="50">
        <v>-0.29659999999999997</v>
      </c>
      <c r="F73" s="50">
        <v>-4.1000000000000003E-3</v>
      </c>
      <c r="G73" s="50"/>
      <c r="H73" s="50">
        <v>1.7173</v>
      </c>
      <c r="I73" s="50">
        <v>4.3117000000000001</v>
      </c>
      <c r="J73" s="51">
        <v>-0.1653</v>
      </c>
    </row>
    <row r="74" spans="1:10" ht="12.75" customHeight="1" x14ac:dyDescent="0.2">
      <c r="A74" s="49" t="s">
        <v>2</v>
      </c>
      <c r="B74" s="38">
        <v>3</v>
      </c>
      <c r="C74" s="50">
        <v>1.0899000000000001</v>
      </c>
      <c r="D74" s="50">
        <v>2.9899999999999999E-2</v>
      </c>
      <c r="E74" s="50">
        <v>-0.28870000000000001</v>
      </c>
      <c r="F74" s="50">
        <v>2.3999999999999998E-3</v>
      </c>
      <c r="G74" s="50"/>
      <c r="H74" s="50">
        <v>1.8631</v>
      </c>
      <c r="I74" s="50">
        <v>2.8767</v>
      </c>
      <c r="J74" s="51">
        <v>3.5848</v>
      </c>
    </row>
    <row r="75" spans="1:10" ht="12.75" customHeight="1" x14ac:dyDescent="0.2">
      <c r="A75" s="49" t="s">
        <v>3</v>
      </c>
      <c r="B75" s="38">
        <v>5</v>
      </c>
      <c r="C75" s="50">
        <v>0.76939999999999997</v>
      </c>
      <c r="D75" s="50">
        <v>5.4800000000000001E-2</v>
      </c>
      <c r="E75" s="50">
        <v>-9.3399999999999997E-2</v>
      </c>
      <c r="F75" s="50">
        <v>1.0800000000000001E-2</v>
      </c>
      <c r="G75" s="50"/>
      <c r="H75" s="50">
        <v>2.1808000000000001</v>
      </c>
      <c r="I75" s="50">
        <v>-2.7219000000000002</v>
      </c>
      <c r="J75" s="51">
        <v>9.3704999999999998</v>
      </c>
    </row>
    <row r="76" spans="1:10" ht="12.75" customHeight="1" x14ac:dyDescent="0.2">
      <c r="A76" s="49" t="s">
        <v>4</v>
      </c>
      <c r="B76" s="38">
        <v>10</v>
      </c>
      <c r="C76" s="50">
        <v>0.61560000000000004</v>
      </c>
      <c r="D76" s="50">
        <v>2.3099999999999999E-2</v>
      </c>
      <c r="E76" s="50">
        <v>2.98E-2</v>
      </c>
      <c r="F76" s="50">
        <v>1.49E-2</v>
      </c>
      <c r="G76" s="50"/>
      <c r="H76" s="50">
        <v>2.7654000000000001</v>
      </c>
      <c r="I76" s="50">
        <v>-10.880800000000001</v>
      </c>
      <c r="J76" s="51">
        <v>16.2255</v>
      </c>
    </row>
    <row r="77" spans="1:10" ht="12.75" customHeight="1" x14ac:dyDescent="0.2">
      <c r="A77" s="49" t="s">
        <v>5</v>
      </c>
      <c r="B77" s="38">
        <v>15</v>
      </c>
      <c r="C77" s="50">
        <v>0.60770000000000002</v>
      </c>
      <c r="D77" s="50">
        <v>4.0000000000000001E-3</v>
      </c>
      <c r="E77" s="50">
        <v>5.7299999999999997E-2</v>
      </c>
      <c r="F77" s="50">
        <v>1.41E-2</v>
      </c>
      <c r="G77" s="50"/>
      <c r="H77" s="50">
        <v>4.1378000000000004</v>
      </c>
      <c r="I77" s="50">
        <v>-18.6219</v>
      </c>
      <c r="J77" s="51">
        <v>22.239000000000001</v>
      </c>
    </row>
    <row r="78" spans="1:10" ht="12.75" customHeight="1" x14ac:dyDescent="0.2">
      <c r="A78" s="49" t="s">
        <v>6</v>
      </c>
      <c r="B78" s="38">
        <v>20</v>
      </c>
      <c r="C78" s="50">
        <v>0.69520000000000004</v>
      </c>
      <c r="D78" s="50">
        <v>1.8E-3</v>
      </c>
      <c r="E78" s="50">
        <v>3.0599999999999999E-2</v>
      </c>
      <c r="F78" s="50">
        <v>1.09E-2</v>
      </c>
      <c r="G78" s="50"/>
      <c r="H78" s="50">
        <v>6.4885000000000002</v>
      </c>
      <c r="I78" s="50">
        <v>-22.200099999999999</v>
      </c>
      <c r="J78" s="51">
        <v>26.491099999999999</v>
      </c>
    </row>
    <row r="79" spans="1:10" ht="12.75" customHeight="1" x14ac:dyDescent="0.2">
      <c r="A79" s="49"/>
      <c r="B79" s="38"/>
      <c r="C79" s="38"/>
      <c r="D79" s="38"/>
      <c r="E79" s="38"/>
      <c r="F79" s="38"/>
      <c r="G79" s="38"/>
      <c r="H79" s="38"/>
      <c r="I79" s="38"/>
      <c r="J79" s="57"/>
    </row>
    <row r="80" spans="1:10" ht="12.75" customHeight="1" x14ac:dyDescent="0.2">
      <c r="A80" s="49"/>
      <c r="B80" s="38"/>
      <c r="C80" s="38"/>
      <c r="D80" s="38"/>
      <c r="E80" s="38"/>
      <c r="F80" s="38"/>
      <c r="G80" s="38"/>
      <c r="H80" s="38"/>
      <c r="I80" s="38"/>
      <c r="J80" s="57"/>
    </row>
    <row r="81" spans="1:10" ht="12.75" customHeight="1" x14ac:dyDescent="0.3">
      <c r="A81" s="126" t="s">
        <v>24</v>
      </c>
      <c r="B81" s="126"/>
      <c r="C81" s="126"/>
      <c r="D81" s="126"/>
      <c r="E81" s="126"/>
      <c r="F81" s="126"/>
      <c r="G81" s="126"/>
      <c r="H81" s="126"/>
      <c r="I81" s="126"/>
      <c r="J81" s="127"/>
    </row>
    <row r="82" spans="1:10" ht="12.75" customHeight="1" x14ac:dyDescent="0.3">
      <c r="A82" s="67" t="s">
        <v>54</v>
      </c>
      <c r="B82" s="68" t="s">
        <v>28</v>
      </c>
      <c r="C82" s="33" t="s">
        <v>8</v>
      </c>
      <c r="D82" s="33" t="s">
        <v>9</v>
      </c>
      <c r="E82" s="33" t="s">
        <v>10</v>
      </c>
      <c r="F82" s="33" t="s">
        <v>11</v>
      </c>
      <c r="G82" s="33"/>
      <c r="H82" s="33" t="s">
        <v>12</v>
      </c>
      <c r="I82" s="33" t="s">
        <v>13</v>
      </c>
      <c r="J82" s="69" t="s">
        <v>14</v>
      </c>
    </row>
    <row r="83" spans="1:10" ht="12.75" customHeight="1" x14ac:dyDescent="0.2">
      <c r="A83" s="49" t="s">
        <v>0</v>
      </c>
      <c r="B83" s="38">
        <v>1</v>
      </c>
      <c r="C83" s="38">
        <v>0.71940000000000004</v>
      </c>
      <c r="D83" s="38">
        <v>-1.3143</v>
      </c>
      <c r="E83" s="38">
        <v>0.54320000000000002</v>
      </c>
      <c r="F83" s="38">
        <v>9.2999999999999992E-3</v>
      </c>
      <c r="G83" s="38"/>
      <c r="H83" s="38">
        <v>1.2779</v>
      </c>
      <c r="I83" s="38">
        <v>1.5713999999999999</v>
      </c>
      <c r="J83" s="57">
        <v>-0.69940000000000002</v>
      </c>
    </row>
    <row r="84" spans="1:10" ht="12.75" customHeight="1" x14ac:dyDescent="0.2">
      <c r="A84" s="49" t="s">
        <v>1</v>
      </c>
      <c r="B84" s="38">
        <v>2</v>
      </c>
      <c r="C84" s="38">
        <v>1.2670999999999999</v>
      </c>
      <c r="D84" s="38">
        <v>-0.29959999999999998</v>
      </c>
      <c r="E84" s="38">
        <v>-0.21049999999999999</v>
      </c>
      <c r="F84" s="38">
        <v>-2.8999999999999998E-3</v>
      </c>
      <c r="G84" s="38"/>
      <c r="H84" s="38">
        <v>1.7471000000000001</v>
      </c>
      <c r="I84" s="38">
        <v>4.2637999999999998</v>
      </c>
      <c r="J84" s="57">
        <v>-7.5200000000000003E-2</v>
      </c>
    </row>
    <row r="85" spans="1:10" ht="12.75" customHeight="1" x14ac:dyDescent="0.2">
      <c r="A85" s="49" t="s">
        <v>2</v>
      </c>
      <c r="B85" s="38">
        <v>3</v>
      </c>
      <c r="C85" s="38">
        <v>1.0668</v>
      </c>
      <c r="D85" s="38">
        <v>1.6999999999999999E-3</v>
      </c>
      <c r="E85" s="38">
        <v>-0.2424</v>
      </c>
      <c r="F85" s="38">
        <v>1.9E-3</v>
      </c>
      <c r="G85" s="38"/>
      <c r="H85" s="38">
        <v>1.9107000000000001</v>
      </c>
      <c r="I85" s="38">
        <v>2.7284999999999999</v>
      </c>
      <c r="J85" s="57">
        <v>3.5880999999999998</v>
      </c>
    </row>
    <row r="86" spans="1:10" ht="12.75" customHeight="1" x14ac:dyDescent="0.2">
      <c r="A86" s="49" t="s">
        <v>3</v>
      </c>
      <c r="B86" s="38">
        <v>5</v>
      </c>
      <c r="C86" s="38">
        <v>0.7833</v>
      </c>
      <c r="D86" s="38">
        <v>3.0700000000000002E-2</v>
      </c>
      <c r="E86" s="38">
        <v>-0.1103</v>
      </c>
      <c r="F86" s="38">
        <v>9.7999999999999997E-3</v>
      </c>
      <c r="G86" s="38"/>
      <c r="H86" s="38">
        <v>2.3172000000000001</v>
      </c>
      <c r="I86" s="38">
        <v>-2.6259000000000001</v>
      </c>
      <c r="J86" s="57">
        <v>9.0237999999999996</v>
      </c>
    </row>
    <row r="87" spans="1:10" ht="12.75" customHeight="1" x14ac:dyDescent="0.2">
      <c r="A87" s="49" t="s">
        <v>4</v>
      </c>
      <c r="B87" s="38">
        <v>10</v>
      </c>
      <c r="C87" s="38">
        <v>0.57650000000000001</v>
      </c>
      <c r="D87" s="38">
        <v>6.7999999999999996E-3</v>
      </c>
      <c r="E87" s="38">
        <v>-2.0199999999999999E-2</v>
      </c>
      <c r="F87" s="38">
        <v>1.6500000000000001E-2</v>
      </c>
      <c r="G87" s="38"/>
      <c r="H87" s="38">
        <v>3.2086999999999999</v>
      </c>
      <c r="I87" s="38">
        <v>-9.8890999999999991</v>
      </c>
      <c r="J87" s="57">
        <v>14.7339</v>
      </c>
    </row>
    <row r="88" spans="1:10" ht="12.75" customHeight="1" x14ac:dyDescent="0.2">
      <c r="A88" s="49" t="s">
        <v>5</v>
      </c>
      <c r="B88" s="38">
        <v>15</v>
      </c>
      <c r="C88" s="38">
        <v>0.41149999999999998</v>
      </c>
      <c r="D88" s="38">
        <v>1.4E-3</v>
      </c>
      <c r="E88" s="38">
        <v>8.3000000000000001E-3</v>
      </c>
      <c r="F88" s="38">
        <v>2.1299999999999999E-2</v>
      </c>
      <c r="G88" s="38"/>
      <c r="H88" s="38">
        <v>5.1140999999999996</v>
      </c>
      <c r="I88" s="38">
        <v>-15.3263</v>
      </c>
      <c r="J88" s="57">
        <v>18.250699999999998</v>
      </c>
    </row>
    <row r="89" spans="1:10" ht="12.75" customHeight="1" x14ac:dyDescent="0.2">
      <c r="A89" s="49" t="s">
        <v>6</v>
      </c>
      <c r="B89" s="38">
        <v>20</v>
      </c>
      <c r="C89" s="38">
        <v>0.30709999999999998</v>
      </c>
      <c r="D89" s="38">
        <v>1.11E-2</v>
      </c>
      <c r="E89" s="38">
        <v>1.29E-2</v>
      </c>
      <c r="F89" s="38">
        <v>2.5100000000000001E-2</v>
      </c>
      <c r="G89" s="38"/>
      <c r="H89" s="38">
        <v>7.6383000000000001</v>
      </c>
      <c r="I89" s="38">
        <v>-15.5739</v>
      </c>
      <c r="J89" s="57">
        <v>19.7669</v>
      </c>
    </row>
    <row r="90" spans="1:10" ht="12.75" customHeight="1" x14ac:dyDescent="0.2">
      <c r="A90" s="49"/>
      <c r="B90" s="38"/>
      <c r="C90" s="38"/>
      <c r="D90" s="38"/>
      <c r="E90" s="38"/>
      <c r="F90" s="38"/>
      <c r="G90" s="38"/>
      <c r="H90" s="38"/>
      <c r="I90" s="38"/>
      <c r="J90" s="57"/>
    </row>
    <row r="91" spans="1:10" ht="12.75" customHeight="1" x14ac:dyDescent="0.2">
      <c r="A91" s="49"/>
      <c r="B91" s="38"/>
      <c r="C91" s="38"/>
      <c r="D91" s="38"/>
      <c r="E91" s="38"/>
      <c r="F91" s="38"/>
      <c r="G91" s="38"/>
      <c r="H91" s="38"/>
      <c r="I91" s="38"/>
      <c r="J91" s="57"/>
    </row>
    <row r="92" spans="1:10" ht="12.75" customHeight="1" x14ac:dyDescent="0.3">
      <c r="A92" s="126" t="s">
        <v>25</v>
      </c>
      <c r="B92" s="126"/>
      <c r="C92" s="126"/>
      <c r="D92" s="126"/>
      <c r="E92" s="126"/>
      <c r="F92" s="126"/>
      <c r="G92" s="126"/>
      <c r="H92" s="126"/>
      <c r="I92" s="126"/>
      <c r="J92" s="127"/>
    </row>
    <row r="93" spans="1:10" ht="12.75" customHeight="1" x14ac:dyDescent="0.3">
      <c r="A93" s="67" t="s">
        <v>54</v>
      </c>
      <c r="B93" s="68" t="s">
        <v>28</v>
      </c>
      <c r="C93" s="33" t="s">
        <v>8</v>
      </c>
      <c r="D93" s="33" t="s">
        <v>9</v>
      </c>
      <c r="E93" s="33" t="s">
        <v>10</v>
      </c>
      <c r="F93" s="33" t="s">
        <v>11</v>
      </c>
      <c r="G93" s="33"/>
      <c r="H93" s="33" t="s">
        <v>12</v>
      </c>
      <c r="I93" s="33" t="s">
        <v>13</v>
      </c>
      <c r="J93" s="69" t="s">
        <v>14</v>
      </c>
    </row>
    <row r="94" spans="1:10" ht="12.75" customHeight="1" x14ac:dyDescent="0.2">
      <c r="A94" s="49" t="s">
        <v>0</v>
      </c>
      <c r="B94" s="38">
        <v>1</v>
      </c>
      <c r="C94" s="50">
        <v>0.72099999999999997</v>
      </c>
      <c r="D94" s="50">
        <v>-1.4685999999999999</v>
      </c>
      <c r="E94" s="50">
        <v>0.5746</v>
      </c>
      <c r="F94" s="50">
        <v>9.4999999999999998E-3</v>
      </c>
      <c r="G94" s="50"/>
      <c r="H94" s="50">
        <v>1.2136</v>
      </c>
      <c r="I94" s="50">
        <v>0.97399999999999998</v>
      </c>
      <c r="J94" s="51">
        <v>-0.52470000000000006</v>
      </c>
    </row>
    <row r="95" spans="1:10" ht="12.75" customHeight="1" x14ac:dyDescent="0.2">
      <c r="A95" s="49" t="s">
        <v>1</v>
      </c>
      <c r="B95" s="38">
        <v>2</v>
      </c>
      <c r="C95" s="50">
        <v>1.3115000000000001</v>
      </c>
      <c r="D95" s="50">
        <v>-0.33600000000000002</v>
      </c>
      <c r="E95" s="50">
        <v>-0.2475</v>
      </c>
      <c r="F95" s="50">
        <v>-3.3999999999999998E-3</v>
      </c>
      <c r="G95" s="50"/>
      <c r="H95" s="50">
        <v>1.7024999999999999</v>
      </c>
      <c r="I95" s="50">
        <v>4.1569000000000003</v>
      </c>
      <c r="J95" s="51">
        <v>-0.1232</v>
      </c>
    </row>
    <row r="96" spans="1:10" ht="12.75" customHeight="1" x14ac:dyDescent="0.2">
      <c r="A96" s="49" t="s">
        <v>2</v>
      </c>
      <c r="B96" s="38">
        <v>3</v>
      </c>
      <c r="C96" s="50">
        <v>1.0768</v>
      </c>
      <c r="D96" s="50">
        <v>1.09E-2</v>
      </c>
      <c r="E96" s="50">
        <v>-0.26950000000000002</v>
      </c>
      <c r="F96" s="50">
        <v>2.0999999999999999E-3</v>
      </c>
      <c r="G96" s="50"/>
      <c r="H96" s="50">
        <v>1.8360000000000001</v>
      </c>
      <c r="I96" s="50">
        <v>2.8632</v>
      </c>
      <c r="J96" s="51">
        <v>3.5219999999999998</v>
      </c>
    </row>
    <row r="97" spans="1:10" ht="12.75" customHeight="1" x14ac:dyDescent="0.2">
      <c r="A97" s="49" t="s">
        <v>3</v>
      </c>
      <c r="B97" s="38">
        <v>5</v>
      </c>
      <c r="C97" s="50">
        <v>0.76819999999999999</v>
      </c>
      <c r="D97" s="50">
        <v>4.3900000000000002E-2</v>
      </c>
      <c r="E97" s="50">
        <v>-0.109</v>
      </c>
      <c r="F97" s="50">
        <v>1.0500000000000001E-2</v>
      </c>
      <c r="G97" s="50"/>
      <c r="H97" s="50">
        <v>2.1882000000000001</v>
      </c>
      <c r="I97" s="50">
        <v>-2.6520999999999999</v>
      </c>
      <c r="J97" s="51">
        <v>9.1960999999999995</v>
      </c>
    </row>
    <row r="98" spans="1:10" ht="12.75" customHeight="1" x14ac:dyDescent="0.2">
      <c r="A98" s="49" t="s">
        <v>4</v>
      </c>
      <c r="B98" s="38">
        <v>10</v>
      </c>
      <c r="C98" s="50">
        <v>0.57689999999999997</v>
      </c>
      <c r="D98" s="50">
        <v>1.7600000000000001E-2</v>
      </c>
      <c r="E98" s="50">
        <v>3.8E-3</v>
      </c>
      <c r="F98" s="50">
        <v>1.6500000000000001E-2</v>
      </c>
      <c r="G98" s="50"/>
      <c r="H98" s="50">
        <v>2.9681999999999999</v>
      </c>
      <c r="I98" s="50">
        <v>-10.305300000000001</v>
      </c>
      <c r="J98" s="51">
        <v>15.3161</v>
      </c>
    </row>
    <row r="99" spans="1:10" ht="12.75" customHeight="1" x14ac:dyDescent="0.2">
      <c r="A99" s="49" t="s">
        <v>5</v>
      </c>
      <c r="B99" s="38">
        <v>15</v>
      </c>
      <c r="C99" s="50">
        <v>0.48449999999999999</v>
      </c>
      <c r="D99" s="50">
        <v>3.3999999999999998E-3</v>
      </c>
      <c r="E99" s="50">
        <v>3.5999999999999999E-3</v>
      </c>
      <c r="F99" s="50">
        <v>1.8700000000000001E-2</v>
      </c>
      <c r="G99" s="50"/>
      <c r="H99" s="50">
        <v>4.6525999999999996</v>
      </c>
      <c r="I99" s="50">
        <v>-16.692</v>
      </c>
      <c r="J99" s="51">
        <v>19.853400000000001</v>
      </c>
    </row>
    <row r="100" spans="1:10" ht="12.75" customHeight="1" x14ac:dyDescent="0.2">
      <c r="A100" s="49" t="s">
        <v>6</v>
      </c>
      <c r="B100" s="38">
        <v>20</v>
      </c>
      <c r="C100" s="50">
        <v>0.47599999999999998</v>
      </c>
      <c r="D100" s="50">
        <v>7.1000000000000004E-3</v>
      </c>
      <c r="E100" s="50">
        <v>2.46E-2</v>
      </c>
      <c r="F100" s="50">
        <v>1.89E-2</v>
      </c>
      <c r="G100" s="50"/>
      <c r="H100" s="50">
        <v>7.1425000000000001</v>
      </c>
      <c r="I100" s="50">
        <v>-18.302099999999999</v>
      </c>
      <c r="J100" s="51">
        <v>22.416799999999999</v>
      </c>
    </row>
    <row r="101" spans="1:10" ht="12.75" customHeight="1" x14ac:dyDescent="0.2">
      <c r="A101" s="59"/>
      <c r="B101" s="60"/>
      <c r="C101" s="60"/>
      <c r="D101" s="60"/>
      <c r="E101" s="60"/>
      <c r="F101" s="60"/>
      <c r="G101" s="60"/>
      <c r="H101" s="60"/>
      <c r="I101" s="60"/>
      <c r="J101" s="61"/>
    </row>
  </sheetData>
  <mergeCells count="29">
    <mergeCell ref="A1:J1"/>
    <mergeCell ref="L1:U1"/>
    <mergeCell ref="W1:AF1"/>
    <mergeCell ref="N4:U4"/>
    <mergeCell ref="Y4:AF4"/>
    <mergeCell ref="A4:J4"/>
    <mergeCell ref="H3:J3"/>
    <mergeCell ref="C3:E3"/>
    <mergeCell ref="N3:P3"/>
    <mergeCell ref="S3:U3"/>
    <mergeCell ref="Y3:AA3"/>
    <mergeCell ref="AD3:AF3"/>
    <mergeCell ref="A92:J92"/>
    <mergeCell ref="N15:U15"/>
    <mergeCell ref="Y15:AF15"/>
    <mergeCell ref="N26:U26"/>
    <mergeCell ref="Y26:AF26"/>
    <mergeCell ref="N37:U37"/>
    <mergeCell ref="Y37:AF37"/>
    <mergeCell ref="A15:J15"/>
    <mergeCell ref="A26:J26"/>
    <mergeCell ref="A37:J37"/>
    <mergeCell ref="AM5:AV5"/>
    <mergeCell ref="A48:J48"/>
    <mergeCell ref="A59:J59"/>
    <mergeCell ref="A70:J70"/>
    <mergeCell ref="A81:J81"/>
    <mergeCell ref="AH5:AJ5"/>
    <mergeCell ref="AM15:AN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J42" sqref="J42"/>
    </sheetView>
  </sheetViews>
  <sheetFormatPr defaultRowHeight="12.75" x14ac:dyDescent="0.2"/>
  <cols>
    <col min="1" max="1" width="10.140625" style="22" customWidth="1" collapsed="1"/>
    <col min="2" max="30" width="10" style="22" customWidth="1" collapsed="1"/>
    <col min="31" max="16384" width="9.140625" style="22" collapsed="1"/>
  </cols>
  <sheetData>
    <row r="1" spans="1:28" x14ac:dyDescent="0.2">
      <c r="A1" s="22" t="s">
        <v>53</v>
      </c>
      <c r="B1" s="22" t="s">
        <v>99</v>
      </c>
    </row>
    <row r="2" spans="1:28" hidden="1" x14ac:dyDescent="0.2">
      <c r="B2" s="22">
        <v>111</v>
      </c>
      <c r="C2" s="22">
        <v>112</v>
      </c>
      <c r="D2" s="22">
        <v>113</v>
      </c>
      <c r="E2" s="22">
        <v>121</v>
      </c>
      <c r="F2" s="22">
        <v>122</v>
      </c>
      <c r="G2" s="22">
        <v>123</v>
      </c>
      <c r="H2" s="22">
        <v>131</v>
      </c>
      <c r="I2" s="22">
        <v>132</v>
      </c>
      <c r="J2" s="22">
        <v>133</v>
      </c>
      <c r="K2" s="22">
        <v>141</v>
      </c>
      <c r="L2" s="22">
        <v>142</v>
      </c>
      <c r="M2" s="22">
        <v>143</v>
      </c>
      <c r="N2" s="22">
        <v>211</v>
      </c>
      <c r="O2" s="22">
        <v>212</v>
      </c>
      <c r="P2" s="22">
        <v>213</v>
      </c>
      <c r="Q2" s="22">
        <v>221</v>
      </c>
      <c r="R2" s="22">
        <v>222</v>
      </c>
      <c r="S2" s="22">
        <v>223</v>
      </c>
      <c r="T2" s="22">
        <v>231</v>
      </c>
      <c r="U2" s="22">
        <v>232</v>
      </c>
      <c r="V2" s="22">
        <v>233</v>
      </c>
      <c r="W2" s="22">
        <v>241</v>
      </c>
      <c r="X2" s="22">
        <v>242</v>
      </c>
      <c r="Y2" s="22">
        <v>243</v>
      </c>
      <c r="Z2" s="22">
        <v>251</v>
      </c>
      <c r="AA2" s="22">
        <v>252</v>
      </c>
      <c r="AB2" s="22">
        <v>253</v>
      </c>
    </row>
    <row r="3" spans="1:28" s="29" customFormat="1" ht="16.5" x14ac:dyDescent="0.3">
      <c r="B3" s="125" t="s">
        <v>32</v>
      </c>
      <c r="C3" s="125"/>
      <c r="D3" s="125"/>
      <c r="E3" s="125" t="s">
        <v>37</v>
      </c>
      <c r="F3" s="125"/>
      <c r="G3" s="125"/>
      <c r="H3" s="125" t="s">
        <v>38</v>
      </c>
      <c r="I3" s="125"/>
      <c r="J3" s="125"/>
      <c r="K3" s="125" t="s">
        <v>39</v>
      </c>
      <c r="L3" s="125"/>
      <c r="M3" s="125"/>
      <c r="N3" s="126" t="s">
        <v>63</v>
      </c>
      <c r="O3" s="126"/>
      <c r="P3" s="126"/>
      <c r="Q3" s="126" t="s">
        <v>64</v>
      </c>
      <c r="R3" s="126"/>
      <c r="S3" s="126"/>
      <c r="T3" s="126" t="s">
        <v>33</v>
      </c>
      <c r="U3" s="126"/>
      <c r="V3" s="126"/>
      <c r="W3" s="126" t="s">
        <v>65</v>
      </c>
      <c r="X3" s="126"/>
      <c r="Y3" s="126"/>
      <c r="Z3" s="126" t="s">
        <v>34</v>
      </c>
      <c r="AA3" s="126"/>
      <c r="AB3" s="126"/>
    </row>
    <row r="4" spans="1:28" s="29" customFormat="1" ht="16.5" x14ac:dyDescent="0.3">
      <c r="A4" s="68" t="s">
        <v>28</v>
      </c>
      <c r="B4" s="92" t="s">
        <v>60</v>
      </c>
      <c r="C4" s="93" t="s">
        <v>59</v>
      </c>
      <c r="D4" s="94" t="s">
        <v>61</v>
      </c>
      <c r="E4" s="92" t="s">
        <v>60</v>
      </c>
      <c r="F4" s="93" t="s">
        <v>59</v>
      </c>
      <c r="G4" s="94" t="s">
        <v>61</v>
      </c>
      <c r="H4" s="92" t="s">
        <v>60</v>
      </c>
      <c r="I4" s="93" t="s">
        <v>59</v>
      </c>
      <c r="J4" s="94" t="s">
        <v>61</v>
      </c>
      <c r="K4" s="92" t="s">
        <v>60</v>
      </c>
      <c r="L4" s="93" t="s">
        <v>59</v>
      </c>
      <c r="M4" s="94" t="s">
        <v>61</v>
      </c>
      <c r="N4" s="92" t="s">
        <v>60</v>
      </c>
      <c r="O4" s="93" t="s">
        <v>59</v>
      </c>
      <c r="P4" s="94" t="s">
        <v>61</v>
      </c>
      <c r="Q4" s="92" t="s">
        <v>60</v>
      </c>
      <c r="R4" s="93" t="s">
        <v>59</v>
      </c>
      <c r="S4" s="94" t="s">
        <v>61</v>
      </c>
      <c r="T4" s="92" t="s">
        <v>60</v>
      </c>
      <c r="U4" s="93" t="s">
        <v>59</v>
      </c>
      <c r="V4" s="94" t="s">
        <v>61</v>
      </c>
      <c r="W4" s="92" t="s">
        <v>60</v>
      </c>
      <c r="X4" s="93" t="s">
        <v>59</v>
      </c>
      <c r="Y4" s="94" t="s">
        <v>61</v>
      </c>
      <c r="Z4" s="92" t="s">
        <v>60</v>
      </c>
      <c r="AA4" s="93" t="s">
        <v>59</v>
      </c>
      <c r="AB4" s="94" t="s">
        <v>61</v>
      </c>
    </row>
    <row r="5" spans="1:28" x14ac:dyDescent="0.2">
      <c r="A5" s="22">
        <v>0</v>
      </c>
      <c r="B5" s="78"/>
      <c r="C5" s="79"/>
      <c r="D5" s="80"/>
      <c r="E5" s="78"/>
      <c r="F5" s="79"/>
      <c r="G5" s="80"/>
      <c r="H5" s="78"/>
      <c r="I5" s="79"/>
      <c r="J5" s="80"/>
      <c r="K5" s="78"/>
      <c r="L5" s="79"/>
      <c r="M5" s="80"/>
      <c r="N5" s="78"/>
      <c r="O5" s="79"/>
      <c r="P5" s="80"/>
      <c r="Q5" s="78"/>
      <c r="R5" s="79"/>
      <c r="S5" s="80"/>
      <c r="T5" s="78"/>
      <c r="U5" s="79"/>
      <c r="V5" s="80"/>
      <c r="W5" s="78"/>
      <c r="X5" s="79"/>
      <c r="Y5" s="80"/>
      <c r="Z5" s="78"/>
      <c r="AA5" s="79"/>
      <c r="AB5" s="80"/>
    </row>
    <row r="6" spans="1:28" x14ac:dyDescent="0.2">
      <c r="A6" s="22">
        <v>1</v>
      </c>
      <c r="B6" s="86">
        <v>-1.3391918682730433</v>
      </c>
      <c r="C6" s="87">
        <v>-1.3205376539073994</v>
      </c>
      <c r="D6" s="88">
        <v>-1.3300166619272631</v>
      </c>
      <c r="E6" s="86">
        <v>-1.149542994259372</v>
      </c>
      <c r="F6" s="87">
        <v>-1.1287564594165489</v>
      </c>
      <c r="G6" s="88">
        <v>-1.1393153104759235</v>
      </c>
      <c r="H6" s="86">
        <v>-1.1995667190344683</v>
      </c>
      <c r="I6" s="87">
        <v>-1.159057693334963</v>
      </c>
      <c r="J6" s="88">
        <v>-1.1794669380666578</v>
      </c>
      <c r="K6" s="86">
        <v>-1.3008882857309396</v>
      </c>
      <c r="L6" s="87">
        <v>-1.2828282862915501</v>
      </c>
      <c r="M6" s="88">
        <v>-1.2920084625948782</v>
      </c>
      <c r="N6" s="86">
        <v>-1.2244024839391032</v>
      </c>
      <c r="O6" s="87">
        <v>-1.23753030934175</v>
      </c>
      <c r="P6" s="88">
        <v>-1.2307700164916384</v>
      </c>
      <c r="Q6" s="86">
        <v>-1.1881811084640668</v>
      </c>
      <c r="R6" s="87">
        <v>-1.1106269288043862</v>
      </c>
      <c r="S6" s="88">
        <v>-1.1491210108255552</v>
      </c>
      <c r="T6" s="86">
        <v>-1.1633364561886397</v>
      </c>
      <c r="U6" s="87">
        <v>-1.1378733283421005</v>
      </c>
      <c r="V6" s="88">
        <v>-1.1507828765224926</v>
      </c>
      <c r="W6" s="86">
        <v>-1.4833929444880147</v>
      </c>
      <c r="X6" s="87">
        <v>-1.3772257268162487</v>
      </c>
      <c r="Y6" s="88">
        <v>-1.4290933741165424</v>
      </c>
      <c r="Z6" s="86">
        <v>-1.2808737879735403</v>
      </c>
      <c r="AA6" s="87">
        <v>-1.2702343228546582</v>
      </c>
      <c r="AB6" s="88">
        <v>-1.2756596114442857</v>
      </c>
    </row>
    <row r="7" spans="1:28" x14ac:dyDescent="0.2">
      <c r="A7" s="22">
        <v>2</v>
      </c>
      <c r="B7" s="86">
        <v>-1.2482713700005119</v>
      </c>
      <c r="C7" s="87">
        <v>-1.2060902889860654</v>
      </c>
      <c r="D7" s="88">
        <v>-1.2273209044445137</v>
      </c>
      <c r="E7" s="86">
        <v>-1.0529219229132221</v>
      </c>
      <c r="F7" s="87">
        <v>-1.0009991172979613</v>
      </c>
      <c r="G7" s="88">
        <v>-1.0270730854502448</v>
      </c>
      <c r="H7" s="86">
        <v>-1.1377253644533953</v>
      </c>
      <c r="I7" s="87">
        <v>-1.0733530126616093</v>
      </c>
      <c r="J7" s="88">
        <v>-1.1054931620988286</v>
      </c>
      <c r="K7" s="86">
        <v>-1.2215537498283509</v>
      </c>
      <c r="L7" s="87">
        <v>-1.1769512130842383</v>
      </c>
      <c r="M7" s="88">
        <v>-1.199382018993584</v>
      </c>
      <c r="N7" s="86">
        <v>-1.1230471529817474</v>
      </c>
      <c r="O7" s="87">
        <v>-1.1005760900291686</v>
      </c>
      <c r="P7" s="88">
        <v>-1.111984110632724</v>
      </c>
      <c r="Q7" s="86">
        <v>-1.1426712858304264</v>
      </c>
      <c r="R7" s="87">
        <v>-1.0453999629280153</v>
      </c>
      <c r="S7" s="88">
        <v>-1.0933348058002088</v>
      </c>
      <c r="T7" s="86">
        <v>-1.0463868502835159</v>
      </c>
      <c r="U7" s="87">
        <v>-1.0078054280696105</v>
      </c>
      <c r="V7" s="88">
        <v>-1.0272791625090567</v>
      </c>
      <c r="W7" s="86">
        <v>-1.4168729131570437</v>
      </c>
      <c r="X7" s="87">
        <v>-1.2912753803659804</v>
      </c>
      <c r="Y7" s="88">
        <v>-1.3521595311804706</v>
      </c>
      <c r="Z7" s="86">
        <v>-1.1994285555271815</v>
      </c>
      <c r="AA7" s="87">
        <v>-1.1587986927915868</v>
      </c>
      <c r="AB7" s="88">
        <v>-1.1792678283331384</v>
      </c>
    </row>
    <row r="8" spans="1:28" x14ac:dyDescent="0.2">
      <c r="A8" s="22">
        <v>3</v>
      </c>
      <c r="B8" s="86">
        <v>-1.1910198660531051</v>
      </c>
      <c r="C8" s="87">
        <v>-1.1415199407859422</v>
      </c>
      <c r="D8" s="88">
        <v>-1.1663695111648762</v>
      </c>
      <c r="E8" s="86">
        <v>-1.011641800202346</v>
      </c>
      <c r="F8" s="87">
        <v>-0.94932382970969997</v>
      </c>
      <c r="G8" s="88">
        <v>-0.98051169273159389</v>
      </c>
      <c r="H8" s="86">
        <v>-1.1122189169025767</v>
      </c>
      <c r="I8" s="87">
        <v>-1.039688949985299</v>
      </c>
      <c r="J8" s="88">
        <v>-1.0757976651113399</v>
      </c>
      <c r="K8" s="86">
        <v>-1.1859677355284142</v>
      </c>
      <c r="L8" s="87">
        <v>-1.1323859197276216</v>
      </c>
      <c r="M8" s="88">
        <v>-1.1592413135184099</v>
      </c>
      <c r="N8" s="86">
        <v>-1.0763916155281843</v>
      </c>
      <c r="O8" s="87">
        <v>-1.0398150394030004</v>
      </c>
      <c r="P8" s="88">
        <v>-1.0582869252092624</v>
      </c>
      <c r="Q8" s="86">
        <v>-1.1204664319857272</v>
      </c>
      <c r="R8" s="87">
        <v>-1.0161031266207456</v>
      </c>
      <c r="S8" s="88">
        <v>-1.0674114838312492</v>
      </c>
      <c r="T8" s="86">
        <v>-0.99614963621114883</v>
      </c>
      <c r="U8" s="87">
        <v>-0.95267015404496225</v>
      </c>
      <c r="V8" s="88">
        <v>-0.9745854680761824</v>
      </c>
      <c r="W8" s="86">
        <v>-1.3824458803830362</v>
      </c>
      <c r="X8" s="87">
        <v>-1.2510802529977294</v>
      </c>
      <c r="Y8" s="88">
        <v>-1.3146345295832591</v>
      </c>
      <c r="Z8" s="86">
        <v>-1.1601037320689203</v>
      </c>
      <c r="AA8" s="87">
        <v>-1.1075442776129736</v>
      </c>
      <c r="AB8" s="88">
        <v>-1.1339041157033591</v>
      </c>
    </row>
    <row r="9" spans="1:28" x14ac:dyDescent="0.2">
      <c r="A9" s="22">
        <v>4</v>
      </c>
      <c r="B9" s="86">
        <v>-1.1495155578742873</v>
      </c>
      <c r="C9" s="87">
        <v>-1.0955047349247578</v>
      </c>
      <c r="D9" s="88">
        <v>-1.1225793890829769</v>
      </c>
      <c r="E9" s="86">
        <v>-0.99004099456392958</v>
      </c>
      <c r="F9" s="87">
        <v>-0.92335583908746821</v>
      </c>
      <c r="G9" s="88">
        <v>-0.95668616163910714</v>
      </c>
      <c r="H9" s="86">
        <v>-1.095915405129446</v>
      </c>
      <c r="I9" s="87">
        <v>-1.0182341470351175</v>
      </c>
      <c r="J9" s="88">
        <v>-1.0568390913683008</v>
      </c>
      <c r="K9" s="86">
        <v>-1.162235485562451</v>
      </c>
      <c r="L9" s="87">
        <v>-1.1053871731772904</v>
      </c>
      <c r="M9" s="88">
        <v>-1.133848489507731</v>
      </c>
      <c r="N9" s="86">
        <v>-1.0483131224481017</v>
      </c>
      <c r="O9" s="87">
        <v>-1.0046334008611115</v>
      </c>
      <c r="P9" s="88">
        <v>-1.0266375793312168</v>
      </c>
      <c r="Q9" s="86">
        <v>-1.1064494491943582</v>
      </c>
      <c r="R9" s="87">
        <v>-0.99875000439963968</v>
      </c>
      <c r="S9" s="88">
        <v>-1.0516452658577295</v>
      </c>
      <c r="T9" s="86">
        <v>-0.96773940096371158</v>
      </c>
      <c r="U9" s="87">
        <v>-0.9220865668115743</v>
      </c>
      <c r="V9" s="88">
        <v>-0.94508557737724608</v>
      </c>
      <c r="W9" s="86">
        <v>-1.3597144854110406</v>
      </c>
      <c r="X9" s="87">
        <v>-1.2265311577755469</v>
      </c>
      <c r="Y9" s="88">
        <v>-1.2909394381592718</v>
      </c>
      <c r="Z9" s="86">
        <v>-1.1355661598497071</v>
      </c>
      <c r="AA9" s="87">
        <v>-1.0767436947993454</v>
      </c>
      <c r="AB9" s="88">
        <v>-1.1061781300895608</v>
      </c>
    </row>
    <row r="10" spans="1:28" x14ac:dyDescent="0.2">
      <c r="A10" s="22">
        <v>5</v>
      </c>
      <c r="B10" s="86">
        <v>-1.1185632260148939</v>
      </c>
      <c r="C10" s="87">
        <v>-1.061325256602174</v>
      </c>
      <c r="D10" s="88">
        <v>-1.0899897929411233</v>
      </c>
      <c r="E10" s="86">
        <v>-0.97803104804351482</v>
      </c>
      <c r="F10" s="87">
        <v>-0.90879111177777439</v>
      </c>
      <c r="G10" s="88">
        <v>-0.94337274491278955</v>
      </c>
      <c r="H10" s="86">
        <v>-1.0839281949744348</v>
      </c>
      <c r="I10" s="87">
        <v>-1.0034528162299363</v>
      </c>
      <c r="J10" s="88">
        <v>-1.0434107208936003</v>
      </c>
      <c r="K10" s="86">
        <v>-1.1443836734991739</v>
      </c>
      <c r="L10" s="87">
        <v>-1.0842444395521329</v>
      </c>
      <c r="M10" s="88">
        <v>-1.1143192900977046</v>
      </c>
      <c r="N10" s="86">
        <v>-1.0292629455595335</v>
      </c>
      <c r="O10" s="87">
        <v>-0.98147966750972182</v>
      </c>
      <c r="P10" s="88">
        <v>-1.005518141540678</v>
      </c>
      <c r="Q10" s="86">
        <v>-1.0965955555752871</v>
      </c>
      <c r="R10" s="87">
        <v>-0.98713578518709799</v>
      </c>
      <c r="S10" s="88">
        <v>-1.040870571612214</v>
      </c>
      <c r="T10" s="86">
        <v>-0.9494788835701552</v>
      </c>
      <c r="U10" s="87">
        <v>-0.90273094854934122</v>
      </c>
      <c r="V10" s="88">
        <v>-0.92627696607578747</v>
      </c>
      <c r="W10" s="86">
        <v>-1.3430952157810709</v>
      </c>
      <c r="X10" s="87">
        <v>-1.2095785232792193</v>
      </c>
      <c r="Y10" s="88">
        <v>-1.2741582599497068</v>
      </c>
      <c r="Z10" s="86">
        <v>-1.1183426521790116</v>
      </c>
      <c r="AA10" s="87">
        <v>-1.0557703137725243</v>
      </c>
      <c r="AB10" s="88">
        <v>-1.0870408602371626</v>
      </c>
    </row>
    <row r="11" spans="1:28" x14ac:dyDescent="0.2">
      <c r="A11" s="22">
        <v>10</v>
      </c>
      <c r="B11" s="86">
        <v>-1.0393562968308907</v>
      </c>
      <c r="C11" s="87">
        <v>-0.97867737240738273</v>
      </c>
      <c r="D11" s="88">
        <v>-1.0090525505490437</v>
      </c>
      <c r="E11" s="86">
        <v>-0.94784307566733739</v>
      </c>
      <c r="F11" s="87">
        <v>-0.87426674682746675</v>
      </c>
      <c r="G11" s="88">
        <v>-0.9109759656016303</v>
      </c>
      <c r="H11" s="86">
        <v>-1.0472539080439389</v>
      </c>
      <c r="I11" s="87">
        <v>-0.96210277111891918</v>
      </c>
      <c r="J11" s="88">
        <v>-1.0043334640576214</v>
      </c>
      <c r="K11" s="86">
        <v>-1.0968312103313975</v>
      </c>
      <c r="L11" s="87">
        <v>-1.0329081865332934</v>
      </c>
      <c r="M11" s="88">
        <v>-1.0648450322432061</v>
      </c>
      <c r="N11" s="86">
        <v>-0.98369901448796815</v>
      </c>
      <c r="O11" s="87">
        <v>-0.93040263712809212</v>
      </c>
      <c r="P11" s="88">
        <v>-0.95717334253081887</v>
      </c>
      <c r="Q11" s="86">
        <v>-1.0710479766829692</v>
      </c>
      <c r="R11" s="87">
        <v>-0.96012756983373815</v>
      </c>
      <c r="S11" s="88">
        <v>-1.0145804306666857</v>
      </c>
      <c r="T11" s="86">
        <v>-0.91071238550681488</v>
      </c>
      <c r="U11" s="87">
        <v>-0.86341317190230826</v>
      </c>
      <c r="V11" s="88">
        <v>-0.88724264033592859</v>
      </c>
      <c r="W11" s="86">
        <v>-1.2967451336857732</v>
      </c>
      <c r="X11" s="87">
        <v>-1.1678086462282879</v>
      </c>
      <c r="Y11" s="88">
        <v>-1.2303496154337019</v>
      </c>
      <c r="Z11" s="86">
        <v>-1.0743948523980273</v>
      </c>
      <c r="AA11" s="87">
        <v>-1.0059690881890577</v>
      </c>
      <c r="AB11" s="88">
        <v>-1.0401061476730076</v>
      </c>
    </row>
    <row r="12" spans="1:28" x14ac:dyDescent="0.2">
      <c r="A12" s="22">
        <v>15</v>
      </c>
      <c r="B12" s="86">
        <v>-0.99810318323243907</v>
      </c>
      <c r="C12" s="87">
        <v>-0.93456378789298888</v>
      </c>
      <c r="D12" s="88">
        <v>-0.96635456814626275</v>
      </c>
      <c r="E12" s="86">
        <v>-0.92724294571284704</v>
      </c>
      <c r="F12" s="87">
        <v>-0.85272014880258951</v>
      </c>
      <c r="G12" s="88">
        <v>-0.88990310948808893</v>
      </c>
      <c r="H12" s="86">
        <v>-1.0232404683298353</v>
      </c>
      <c r="I12" s="87">
        <v>-0.93688771389348002</v>
      </c>
      <c r="J12" s="88">
        <v>-0.97971406825728613</v>
      </c>
      <c r="K12" s="86">
        <v>-1.0631132391187417</v>
      </c>
      <c r="L12" s="87">
        <v>-0.99562585121052949</v>
      </c>
      <c r="M12" s="88">
        <v>-1.0293119689456429</v>
      </c>
      <c r="N12" s="86">
        <v>-0.95845256110003996</v>
      </c>
      <c r="O12" s="87">
        <v>-0.90544375058891757</v>
      </c>
      <c r="P12" s="88">
        <v>-0.93208088942572564</v>
      </c>
      <c r="Q12" s="86">
        <v>-1.0502865418043261</v>
      </c>
      <c r="R12" s="87">
        <v>-0.93957838384724868</v>
      </c>
      <c r="S12" s="88">
        <v>-0.99395789712628757</v>
      </c>
      <c r="T12" s="86">
        <v>-0.89415623808717182</v>
      </c>
      <c r="U12" s="87">
        <v>-0.84720717813866564</v>
      </c>
      <c r="V12" s="88">
        <v>-0.87086768371809842</v>
      </c>
      <c r="W12" s="86">
        <v>-1.2584276949461242</v>
      </c>
      <c r="X12" s="87">
        <v>-1.1373286585570146</v>
      </c>
      <c r="Y12" s="88">
        <v>-1.1963047021648439</v>
      </c>
      <c r="Z12" s="86">
        <v>-1.046640904616448</v>
      </c>
      <c r="AA12" s="87">
        <v>-0.9778828398588445</v>
      </c>
      <c r="AB12" s="88">
        <v>-1.0121945536850772</v>
      </c>
    </row>
    <row r="13" spans="1:28" x14ac:dyDescent="0.2">
      <c r="A13" s="22">
        <v>20</v>
      </c>
      <c r="B13" s="89">
        <v>-0.9416333856114224</v>
      </c>
      <c r="C13" s="90">
        <v>-0.88577608039760869</v>
      </c>
      <c r="D13" s="91">
        <v>-0.91382222014342573</v>
      </c>
      <c r="E13" s="89">
        <v>-0.89806980739238718</v>
      </c>
      <c r="F13" s="90">
        <v>-0.82207221968309652</v>
      </c>
      <c r="G13" s="91">
        <v>-0.85999289910331278</v>
      </c>
      <c r="H13" s="89">
        <v>-0.98210627496614655</v>
      </c>
      <c r="I13" s="90">
        <v>-0.90144694160929184</v>
      </c>
      <c r="J13" s="91">
        <v>-0.94156371692343144</v>
      </c>
      <c r="K13" s="89">
        <v>-1.0130422551600544</v>
      </c>
      <c r="L13" s="90">
        <v>-0.94491044364009291</v>
      </c>
      <c r="M13" s="91">
        <v>-0.97893414503700538</v>
      </c>
      <c r="N13" s="89">
        <v>-0.92315126707712025</v>
      </c>
      <c r="O13" s="90">
        <v>-0.87353503704912039</v>
      </c>
      <c r="P13" s="91">
        <v>-0.89850801280079284</v>
      </c>
      <c r="Q13" s="89">
        <v>-1.0150860472583132</v>
      </c>
      <c r="R13" s="90">
        <v>-0.90716031396523533</v>
      </c>
      <c r="S13" s="91">
        <v>-0.96027265708124088</v>
      </c>
      <c r="T13" s="89">
        <v>-0.87450042882312029</v>
      </c>
      <c r="U13" s="90">
        <v>-0.82539225007655914</v>
      </c>
      <c r="V13" s="91">
        <v>-0.85012871104987098</v>
      </c>
      <c r="W13" s="89">
        <v>-1.2020971767372759</v>
      </c>
      <c r="X13" s="90">
        <v>-1.0804886999840153</v>
      </c>
      <c r="Y13" s="91">
        <v>-1.1397670872678705</v>
      </c>
      <c r="Z13" s="89">
        <v>-1.0066773582389617</v>
      </c>
      <c r="AA13" s="90">
        <v>-0.93810586936643969</v>
      </c>
      <c r="AB13" s="91">
        <v>-0.97234684182353814</v>
      </c>
    </row>
  </sheetData>
  <mergeCells count="9">
    <mergeCell ref="B3:D3"/>
    <mergeCell ref="E3:G3"/>
    <mergeCell ref="H3:J3"/>
    <mergeCell ref="K3:M3"/>
    <mergeCell ref="Z3:AB3"/>
    <mergeCell ref="W3:Y3"/>
    <mergeCell ref="T3:V3"/>
    <mergeCell ref="Q3:S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S19" sqref="S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Introduction</vt:lpstr>
      <vt:lpstr>Method</vt:lpstr>
      <vt:lpstr>Coefficients</vt:lpstr>
      <vt:lpstr>Model LTs</vt:lpstr>
      <vt:lpstr>Charts</vt:lpstr>
      <vt:lpstr>Coeffs_111</vt:lpstr>
      <vt:lpstr>Coeffs_112</vt:lpstr>
      <vt:lpstr>Coeffs_113</vt:lpstr>
      <vt:lpstr>Coeffs_121</vt:lpstr>
      <vt:lpstr>Coeffs_122</vt:lpstr>
      <vt:lpstr>Coeffs_123</vt:lpstr>
      <vt:lpstr>Coeffs_131</vt:lpstr>
      <vt:lpstr>Coeffs_132</vt:lpstr>
      <vt:lpstr>Coeffs_133</vt:lpstr>
      <vt:lpstr>Coeffs_141</vt:lpstr>
      <vt:lpstr>Coeffs_142</vt:lpstr>
      <vt:lpstr>Coeffs_143</vt:lpstr>
      <vt:lpstr>Coeffs_211</vt:lpstr>
      <vt:lpstr>Coeffs_221</vt:lpstr>
      <vt:lpstr>Coeffs_231</vt:lpstr>
      <vt:lpstr>Coeffs_241</vt:lpstr>
      <vt:lpstr>Coeffs_251</vt:lpstr>
      <vt:lpstr>Family</vt:lpstr>
      <vt:lpstr>FamSelect</vt:lpstr>
      <vt:lpstr>Princeton</vt:lpstr>
      <vt:lpstr>Sex</vt:lpstr>
      <vt:lpstr>TypeSelect</vt:lpstr>
      <vt:lpstr>UN</vt:lpstr>
      <vt:lpstr>Variant</vt:lpstr>
    </vt:vector>
  </TitlesOfParts>
  <Company>University of Cape Town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01404747</dc:creator>
  <cp:lastModifiedBy>MPIDR_D\williams</cp:lastModifiedBy>
  <dcterms:created xsi:type="dcterms:W3CDTF">2012-05-08T12:24:09Z</dcterms:created>
  <dcterms:modified xsi:type="dcterms:W3CDTF">2019-06-29T14:01:40Z</dcterms:modified>
</cp:coreProperties>
</file>