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Proyectos\kin_indig_colombia\"/>
    </mc:Choice>
  </mc:AlternateContent>
  <xr:revisionPtr revIDLastSave="0" documentId="13_ncr:1_{A58F855F-A637-4992-BEFE-E8B92615CB40}" xr6:coauthVersionLast="47" xr6:coauthVersionMax="47" xr10:uidLastSave="{00000000-0000-0000-0000-000000000000}"/>
  <bookViews>
    <workbookView xWindow="-108" yWindow="-108" windowWidth="23256" windowHeight="12576" tabRatio="500" firstSheet="5" activeTab="7" xr2:uid="{00000000-000D-0000-FFFF-FFFF00000000}"/>
  </bookViews>
  <sheets>
    <sheet name="Estimaciones" sheetId="30" r:id="rId1"/>
    <sheet name="Gráficos" sheetId="17" r:id="rId2"/>
    <sheet name="Estimaciones Vitales" sheetId="29" r:id="rId3"/>
    <sheet name="VITAL STAT INDIG" sheetId="49" r:id="rId4"/>
    <sheet name="Resumen Gompertz NARP" sheetId="31" r:id="rId5"/>
    <sheet name="Resumen Gompertz INDIGEN" sheetId="50" r:id="rId6"/>
    <sheet name="Resumen Brass NARP" sheetId="42" r:id="rId7"/>
    <sheet name="Brass Indigena 2018" sheetId="48" r:id="rId8"/>
    <sheet name="Brass_No Etnic 2018 - Total " sheetId="44" r:id="rId9"/>
    <sheet name="Brass_No Etnic 2018 - Urban" sheetId="45" r:id="rId10"/>
    <sheet name="Brass_No Etnic 2018 - Rural" sheetId="46" r:id="rId11"/>
    <sheet name="Brass_NARP 2018 - Total" sheetId="35" r:id="rId12"/>
    <sheet name="Brass_NARP 2018 - Cabecera" sheetId="33" r:id="rId13"/>
    <sheet name="Brass_NARP 2018 - Rural" sheetId="34" r:id="rId14"/>
  </sheets>
  <externalReferences>
    <externalReference r:id="rId15"/>
  </externalReferences>
  <definedNames>
    <definedName name="_55mpios">'[1]Resultados Finales'!$F$60:$F$114</definedName>
    <definedName name="_mpios">[1]Hoja1!$O$3:$O$57</definedName>
  </definedNames>
  <calcPr calcId="191029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50" l="1"/>
  <c r="C23" i="50"/>
  <c r="C22" i="50"/>
  <c r="C21" i="50"/>
  <c r="C20" i="50"/>
  <c r="C19" i="50"/>
  <c r="C18" i="50"/>
  <c r="C17" i="50"/>
  <c r="C12" i="50"/>
  <c r="C25" i="50" l="1"/>
  <c r="C69" i="49" l="1"/>
  <c r="C68" i="49"/>
  <c r="C67" i="49"/>
  <c r="C66" i="49"/>
  <c r="C65" i="49"/>
  <c r="C64" i="49"/>
  <c r="C63" i="49"/>
  <c r="I54" i="49"/>
  <c r="G54" i="49"/>
  <c r="F54" i="49"/>
  <c r="E54" i="49"/>
  <c r="D54" i="49"/>
  <c r="C54" i="49"/>
  <c r="B54" i="49"/>
  <c r="I53" i="49"/>
  <c r="G53" i="49"/>
  <c r="F53" i="49"/>
  <c r="E53" i="49"/>
  <c r="D53" i="49"/>
  <c r="C53" i="49"/>
  <c r="B53" i="49"/>
  <c r="I52" i="49"/>
  <c r="G52" i="49"/>
  <c r="F52" i="49"/>
  <c r="E52" i="49"/>
  <c r="D52" i="49"/>
  <c r="C52" i="49"/>
  <c r="B52" i="49"/>
  <c r="I51" i="49"/>
  <c r="G51" i="49"/>
  <c r="F51" i="49"/>
  <c r="E51" i="49"/>
  <c r="D51" i="49"/>
  <c r="C51" i="49"/>
  <c r="B51" i="49"/>
  <c r="I50" i="49"/>
  <c r="G50" i="49"/>
  <c r="F50" i="49"/>
  <c r="E50" i="49"/>
  <c r="D50" i="49"/>
  <c r="C50" i="49"/>
  <c r="B50" i="49"/>
  <c r="I49" i="49"/>
  <c r="H49" i="49"/>
  <c r="G49" i="49"/>
  <c r="F49" i="49"/>
  <c r="E49" i="49"/>
  <c r="D49" i="49"/>
  <c r="C49" i="49"/>
  <c r="B49" i="49"/>
  <c r="I48" i="49"/>
  <c r="G48" i="49"/>
  <c r="F48" i="49"/>
  <c r="E48" i="49"/>
  <c r="D48" i="49"/>
  <c r="C48" i="49"/>
  <c r="B48" i="49"/>
  <c r="I47" i="49"/>
  <c r="G47" i="49"/>
  <c r="G55" i="49" s="1"/>
  <c r="F47" i="49"/>
  <c r="E47" i="49"/>
  <c r="D47" i="49"/>
  <c r="C47" i="49"/>
  <c r="C55" i="49" s="1"/>
  <c r="B47" i="49"/>
  <c r="I46" i="49"/>
  <c r="G46" i="49"/>
  <c r="F46" i="49"/>
  <c r="E46" i="49"/>
  <c r="D46" i="49"/>
  <c r="C46" i="49"/>
  <c r="B46" i="49"/>
  <c r="H27" i="49"/>
  <c r="H26" i="49"/>
  <c r="H54" i="49" s="1"/>
  <c r="H25" i="49"/>
  <c r="B69" i="49" s="1"/>
  <c r="D69" i="49" s="1"/>
  <c r="H24" i="49"/>
  <c r="B68" i="49" s="1"/>
  <c r="D68" i="49" s="1"/>
  <c r="H23" i="49"/>
  <c r="H51" i="49" s="1"/>
  <c r="H22" i="49"/>
  <c r="H50" i="49" s="1"/>
  <c r="H21" i="49"/>
  <c r="B65" i="49" s="1"/>
  <c r="D65" i="49" s="1"/>
  <c r="H20" i="49"/>
  <c r="B64" i="49" s="1"/>
  <c r="D64" i="49" s="1"/>
  <c r="H19" i="49"/>
  <c r="H47" i="49" s="1"/>
  <c r="H18" i="49"/>
  <c r="H46" i="49" s="1"/>
  <c r="H48" i="49" l="1"/>
  <c r="I55" i="49"/>
  <c r="E55" i="49"/>
  <c r="H52" i="49"/>
  <c r="H55" i="49" s="1"/>
  <c r="H53" i="49"/>
  <c r="D55" i="49"/>
  <c r="B55" i="49"/>
  <c r="F55" i="49"/>
  <c r="C70" i="49"/>
  <c r="B63" i="49"/>
  <c r="B67" i="49"/>
  <c r="D67" i="49" s="1"/>
  <c r="B66" i="49"/>
  <c r="D66" i="49" s="1"/>
  <c r="J137" i="48"/>
  <c r="I137" i="48"/>
  <c r="H137" i="48"/>
  <c r="G137" i="48"/>
  <c r="F137" i="48"/>
  <c r="E137" i="48"/>
  <c r="D137" i="48"/>
  <c r="C137" i="48"/>
  <c r="T135" i="48"/>
  <c r="S135" i="48"/>
  <c r="R135" i="48"/>
  <c r="Q135" i="48"/>
  <c r="P135" i="48"/>
  <c r="O135" i="48"/>
  <c r="N135" i="48"/>
  <c r="M135" i="48"/>
  <c r="T131" i="48"/>
  <c r="S131" i="48"/>
  <c r="R131" i="48"/>
  <c r="Q131" i="48"/>
  <c r="P131" i="48"/>
  <c r="O131" i="48"/>
  <c r="N131" i="48"/>
  <c r="M131" i="48"/>
  <c r="L131" i="48"/>
  <c r="T130" i="48"/>
  <c r="S130" i="48"/>
  <c r="R130" i="48"/>
  <c r="Q130" i="48"/>
  <c r="P130" i="48"/>
  <c r="O130" i="48"/>
  <c r="N130" i="48"/>
  <c r="M130" i="48"/>
  <c r="L130" i="48"/>
  <c r="T129" i="48"/>
  <c r="S129" i="48"/>
  <c r="R129" i="48"/>
  <c r="Q129" i="48"/>
  <c r="P129" i="48"/>
  <c r="O129" i="48"/>
  <c r="N129" i="48"/>
  <c r="M129" i="48"/>
  <c r="L129" i="48"/>
  <c r="T128" i="48"/>
  <c r="S128" i="48"/>
  <c r="R128" i="48"/>
  <c r="Q128" i="48"/>
  <c r="P128" i="48"/>
  <c r="O128" i="48"/>
  <c r="N128" i="48"/>
  <c r="M128" i="48"/>
  <c r="L128" i="48"/>
  <c r="T127" i="48"/>
  <c r="S127" i="48"/>
  <c r="R127" i="48"/>
  <c r="Q127" i="48"/>
  <c r="P127" i="48"/>
  <c r="O127" i="48"/>
  <c r="N127" i="48"/>
  <c r="M127" i="48"/>
  <c r="L127" i="48"/>
  <c r="T126" i="48"/>
  <c r="S126" i="48"/>
  <c r="R126" i="48"/>
  <c r="Q126" i="48"/>
  <c r="P126" i="48"/>
  <c r="O126" i="48"/>
  <c r="N126" i="48"/>
  <c r="M126" i="48"/>
  <c r="L126" i="48"/>
  <c r="T125" i="48"/>
  <c r="S125" i="48"/>
  <c r="R125" i="48"/>
  <c r="Q125" i="48"/>
  <c r="P125" i="48"/>
  <c r="O125" i="48"/>
  <c r="N125" i="48"/>
  <c r="M125" i="48"/>
  <c r="L125" i="48"/>
  <c r="T124" i="48"/>
  <c r="S124" i="48"/>
  <c r="R124" i="48"/>
  <c r="Q124" i="48"/>
  <c r="P124" i="48"/>
  <c r="O124" i="48"/>
  <c r="N124" i="48"/>
  <c r="M124" i="48"/>
  <c r="L124" i="48"/>
  <c r="T123" i="48"/>
  <c r="S123" i="48"/>
  <c r="R123" i="48"/>
  <c r="Q123" i="48"/>
  <c r="P123" i="48"/>
  <c r="O123" i="48"/>
  <c r="N123" i="48"/>
  <c r="M123" i="48"/>
  <c r="L123" i="48"/>
  <c r="T122" i="48"/>
  <c r="S122" i="48"/>
  <c r="R122" i="48"/>
  <c r="Q122" i="48"/>
  <c r="P122" i="48"/>
  <c r="O122" i="48"/>
  <c r="N122" i="48"/>
  <c r="M122" i="48"/>
  <c r="L122" i="48"/>
  <c r="T121" i="48"/>
  <c r="S121" i="48"/>
  <c r="R121" i="48"/>
  <c r="Q121" i="48"/>
  <c r="P121" i="48"/>
  <c r="O121" i="48"/>
  <c r="N121" i="48"/>
  <c r="M121" i="48"/>
  <c r="L121" i="48"/>
  <c r="T120" i="48"/>
  <c r="S120" i="48"/>
  <c r="R120" i="48"/>
  <c r="Q120" i="48"/>
  <c r="Q134" i="48" s="1"/>
  <c r="P120" i="48"/>
  <c r="O120" i="48"/>
  <c r="N120" i="48"/>
  <c r="M120" i="48"/>
  <c r="M134" i="48" s="1"/>
  <c r="L120" i="48"/>
  <c r="T115" i="48"/>
  <c r="S115" i="48"/>
  <c r="R115" i="48"/>
  <c r="Q115" i="48"/>
  <c r="P115" i="48"/>
  <c r="O115" i="48"/>
  <c r="N115" i="48"/>
  <c r="M115" i="48"/>
  <c r="T111" i="48"/>
  <c r="S111" i="48"/>
  <c r="R111" i="48"/>
  <c r="Q111" i="48"/>
  <c r="P111" i="48"/>
  <c r="O111" i="48"/>
  <c r="N111" i="48"/>
  <c r="M111" i="48"/>
  <c r="L111" i="48"/>
  <c r="T110" i="48"/>
  <c r="S110" i="48"/>
  <c r="R110" i="48"/>
  <c r="Q110" i="48"/>
  <c r="P110" i="48"/>
  <c r="O110" i="48"/>
  <c r="N110" i="48"/>
  <c r="M110" i="48"/>
  <c r="L110" i="48"/>
  <c r="T109" i="48"/>
  <c r="S109" i="48"/>
  <c r="R109" i="48"/>
  <c r="Q109" i="48"/>
  <c r="P109" i="48"/>
  <c r="O109" i="48"/>
  <c r="N109" i="48"/>
  <c r="M109" i="48"/>
  <c r="L109" i="48"/>
  <c r="T108" i="48"/>
  <c r="S108" i="48"/>
  <c r="R108" i="48"/>
  <c r="Q108" i="48"/>
  <c r="P108" i="48"/>
  <c r="O108" i="48"/>
  <c r="N108" i="48"/>
  <c r="M108" i="48"/>
  <c r="L108" i="48"/>
  <c r="T107" i="48"/>
  <c r="S107" i="48"/>
  <c r="R107" i="48"/>
  <c r="Q107" i="48"/>
  <c r="P107" i="48"/>
  <c r="O107" i="48"/>
  <c r="N107" i="48"/>
  <c r="M107" i="48"/>
  <c r="L107" i="48"/>
  <c r="T106" i="48"/>
  <c r="S106" i="48"/>
  <c r="S137" i="48" s="1"/>
  <c r="I140" i="48" s="1"/>
  <c r="R106" i="48"/>
  <c r="Q106" i="48"/>
  <c r="P106" i="48"/>
  <c r="O106" i="48"/>
  <c r="O137" i="48" s="1"/>
  <c r="E140" i="48" s="1"/>
  <c r="N106" i="48"/>
  <c r="M106" i="48"/>
  <c r="L106" i="48"/>
  <c r="T105" i="48"/>
  <c r="S105" i="48"/>
  <c r="R105" i="48"/>
  <c r="Q105" i="48"/>
  <c r="P105" i="48"/>
  <c r="O105" i="48"/>
  <c r="N105" i="48"/>
  <c r="M105" i="48"/>
  <c r="L105" i="48"/>
  <c r="T104" i="48"/>
  <c r="S104" i="48"/>
  <c r="R104" i="48"/>
  <c r="Q104" i="48"/>
  <c r="P104" i="48"/>
  <c r="O104" i="48"/>
  <c r="N104" i="48"/>
  <c r="M104" i="48"/>
  <c r="L104" i="48"/>
  <c r="T103" i="48"/>
  <c r="S103" i="48"/>
  <c r="R103" i="48"/>
  <c r="Q103" i="48"/>
  <c r="P103" i="48"/>
  <c r="O103" i="48"/>
  <c r="N103" i="48"/>
  <c r="M103" i="48"/>
  <c r="L103" i="48"/>
  <c r="T102" i="48"/>
  <c r="S102" i="48"/>
  <c r="R102" i="48"/>
  <c r="Q102" i="48"/>
  <c r="P102" i="48"/>
  <c r="O102" i="48"/>
  <c r="N102" i="48"/>
  <c r="M102" i="48"/>
  <c r="L102" i="48"/>
  <c r="T101" i="48"/>
  <c r="S101" i="48"/>
  <c r="R101" i="48"/>
  <c r="Q101" i="48"/>
  <c r="P101" i="48"/>
  <c r="O101" i="48"/>
  <c r="N101" i="48"/>
  <c r="M101" i="48"/>
  <c r="L101" i="48"/>
  <c r="T100" i="48"/>
  <c r="S100" i="48"/>
  <c r="R100" i="48"/>
  <c r="Q100" i="48"/>
  <c r="Q114" i="48" s="1"/>
  <c r="P100" i="48"/>
  <c r="O100" i="48"/>
  <c r="N100" i="48"/>
  <c r="M100" i="48"/>
  <c r="M114" i="48" s="1"/>
  <c r="L100" i="48"/>
  <c r="I84" i="48"/>
  <c r="I86" i="48" s="1"/>
  <c r="H84" i="48"/>
  <c r="H86" i="48" s="1"/>
  <c r="G84" i="48"/>
  <c r="G86" i="48" s="1"/>
  <c r="F84" i="48"/>
  <c r="F86" i="48" s="1"/>
  <c r="E84" i="48"/>
  <c r="E86" i="48" s="1"/>
  <c r="D84" i="48"/>
  <c r="D86" i="48" s="1"/>
  <c r="C84" i="48"/>
  <c r="C86" i="48" s="1"/>
  <c r="B84" i="48"/>
  <c r="B86" i="48" s="1"/>
  <c r="T82" i="48"/>
  <c r="R82" i="48"/>
  <c r="Q82" i="48"/>
  <c r="P82" i="48"/>
  <c r="O82" i="48"/>
  <c r="N82" i="48"/>
  <c r="M82" i="48"/>
  <c r="L82" i="48"/>
  <c r="K82" i="48"/>
  <c r="T81" i="48"/>
  <c r="R81" i="48"/>
  <c r="Q81" i="48"/>
  <c r="P81" i="48"/>
  <c r="O81" i="48"/>
  <c r="N81" i="48"/>
  <c r="M81" i="48"/>
  <c r="L81" i="48"/>
  <c r="K81" i="48"/>
  <c r="T80" i="48"/>
  <c r="V80" i="48" s="1"/>
  <c r="R80" i="48"/>
  <c r="Q80" i="48"/>
  <c r="P80" i="48"/>
  <c r="O80" i="48"/>
  <c r="S80" i="48" s="1"/>
  <c r="N80" i="48"/>
  <c r="M80" i="48"/>
  <c r="L80" i="48"/>
  <c r="K80" i="48"/>
  <c r="T79" i="48"/>
  <c r="R79" i="48"/>
  <c r="Q79" i="48"/>
  <c r="P79" i="48"/>
  <c r="O79" i="48"/>
  <c r="N79" i="48"/>
  <c r="M79" i="48"/>
  <c r="L79" i="48"/>
  <c r="S79" i="48" s="1"/>
  <c r="K79" i="48"/>
  <c r="T78" i="48"/>
  <c r="R78" i="48"/>
  <c r="Q78" i="48"/>
  <c r="P78" i="48"/>
  <c r="O78" i="48"/>
  <c r="N78" i="48"/>
  <c r="M78" i="48"/>
  <c r="L78" i="48"/>
  <c r="K78" i="48"/>
  <c r="T77" i="48"/>
  <c r="V77" i="48" s="1"/>
  <c r="R77" i="48"/>
  <c r="Q77" i="48"/>
  <c r="P77" i="48"/>
  <c r="O77" i="48"/>
  <c r="N77" i="48"/>
  <c r="M77" i="48"/>
  <c r="L77" i="48"/>
  <c r="K77" i="48"/>
  <c r="T76" i="48"/>
  <c r="V76" i="48" s="1"/>
  <c r="R76" i="48"/>
  <c r="Q76" i="48"/>
  <c r="P76" i="48"/>
  <c r="O76" i="48"/>
  <c r="N76" i="48"/>
  <c r="M76" i="48"/>
  <c r="L76" i="48"/>
  <c r="K76" i="48"/>
  <c r="T75" i="48"/>
  <c r="R75" i="48"/>
  <c r="Q75" i="48"/>
  <c r="P75" i="48"/>
  <c r="O75" i="48"/>
  <c r="N75" i="48"/>
  <c r="M75" i="48"/>
  <c r="L75" i="48"/>
  <c r="S75" i="48" s="1"/>
  <c r="K75" i="48"/>
  <c r="T74" i="48"/>
  <c r="R74" i="48"/>
  <c r="Q74" i="48"/>
  <c r="P74" i="48"/>
  <c r="O74" i="48"/>
  <c r="N74" i="48"/>
  <c r="M74" i="48"/>
  <c r="L74" i="48"/>
  <c r="K74" i="48"/>
  <c r="T73" i="48"/>
  <c r="V73" i="48" s="1"/>
  <c r="R73" i="48"/>
  <c r="Q73" i="48"/>
  <c r="P73" i="48"/>
  <c r="O73" i="48"/>
  <c r="N73" i="48"/>
  <c r="M73" i="48"/>
  <c r="L73" i="48"/>
  <c r="K73" i="48"/>
  <c r="T72" i="48"/>
  <c r="V72" i="48" s="1"/>
  <c r="R72" i="48"/>
  <c r="Q72" i="48"/>
  <c r="P72" i="48"/>
  <c r="O72" i="48"/>
  <c r="N72" i="48"/>
  <c r="M72" i="48"/>
  <c r="L72" i="48"/>
  <c r="K72" i="48"/>
  <c r="T71" i="48"/>
  <c r="R71" i="48"/>
  <c r="Q71" i="48"/>
  <c r="P71" i="48"/>
  <c r="O71" i="48"/>
  <c r="N71" i="48"/>
  <c r="M71" i="48"/>
  <c r="L71" i="48"/>
  <c r="S71" i="48" s="1"/>
  <c r="K71" i="48"/>
  <c r="T70" i="48"/>
  <c r="R70" i="48"/>
  <c r="Q70" i="48"/>
  <c r="P70" i="48"/>
  <c r="O70" i="48"/>
  <c r="N70" i="48"/>
  <c r="M70" i="48"/>
  <c r="L70" i="48"/>
  <c r="K70" i="48"/>
  <c r="T69" i="48"/>
  <c r="V69" i="48" s="1"/>
  <c r="R69" i="48"/>
  <c r="Q69" i="48"/>
  <c r="P69" i="48"/>
  <c r="O69" i="48"/>
  <c r="N69" i="48"/>
  <c r="M69" i="48"/>
  <c r="L69" i="48"/>
  <c r="K69" i="48"/>
  <c r="T68" i="48"/>
  <c r="V68" i="48" s="1"/>
  <c r="R68" i="48"/>
  <c r="Q68" i="48"/>
  <c r="P68" i="48"/>
  <c r="O68" i="48"/>
  <c r="N68" i="48"/>
  <c r="M68" i="48"/>
  <c r="L68" i="48"/>
  <c r="K68" i="48"/>
  <c r="T67" i="48"/>
  <c r="R67" i="48"/>
  <c r="Q67" i="48"/>
  <c r="P67" i="48"/>
  <c r="O67" i="48"/>
  <c r="N67" i="48"/>
  <c r="M67" i="48"/>
  <c r="L67" i="48"/>
  <c r="S67" i="48" s="1"/>
  <c r="K67" i="48"/>
  <c r="T66" i="48"/>
  <c r="R66" i="48"/>
  <c r="Q66" i="48"/>
  <c r="P66" i="48"/>
  <c r="O66" i="48"/>
  <c r="N66" i="48"/>
  <c r="M66" i="48"/>
  <c r="L66" i="48"/>
  <c r="K66" i="48"/>
  <c r="T65" i="48"/>
  <c r="V65" i="48" s="1"/>
  <c r="R65" i="48"/>
  <c r="Q65" i="48"/>
  <c r="P65" i="48"/>
  <c r="O65" i="48"/>
  <c r="N65" i="48"/>
  <c r="M65" i="48"/>
  <c r="L65" i="48"/>
  <c r="K65" i="48"/>
  <c r="T64" i="48"/>
  <c r="V64" i="48" s="1"/>
  <c r="R64" i="48"/>
  <c r="Q64" i="48"/>
  <c r="P64" i="48"/>
  <c r="O64" i="48"/>
  <c r="N64" i="48"/>
  <c r="M64" i="48"/>
  <c r="L64" i="48"/>
  <c r="K64" i="48"/>
  <c r="T63" i="48"/>
  <c r="R63" i="48"/>
  <c r="Q63" i="48"/>
  <c r="P63" i="48"/>
  <c r="O63" i="48"/>
  <c r="N63" i="48"/>
  <c r="M63" i="48"/>
  <c r="L63" i="48"/>
  <c r="S63" i="48" s="1"/>
  <c r="K63" i="48"/>
  <c r="T62" i="48"/>
  <c r="R62" i="48"/>
  <c r="Q62" i="48"/>
  <c r="P62" i="48"/>
  <c r="O62" i="48"/>
  <c r="N62" i="48"/>
  <c r="M62" i="48"/>
  <c r="L62" i="48"/>
  <c r="K62" i="48"/>
  <c r="T61" i="48"/>
  <c r="V61" i="48" s="1"/>
  <c r="R61" i="48"/>
  <c r="Q61" i="48"/>
  <c r="P61" i="48"/>
  <c r="O61" i="48"/>
  <c r="N61" i="48"/>
  <c r="M61" i="48"/>
  <c r="L61" i="48"/>
  <c r="K61" i="48"/>
  <c r="T60" i="48"/>
  <c r="V60" i="48" s="1"/>
  <c r="R60" i="48"/>
  <c r="Q60" i="48"/>
  <c r="P60" i="48"/>
  <c r="O60" i="48"/>
  <c r="N60" i="48"/>
  <c r="M60" i="48"/>
  <c r="L60" i="48"/>
  <c r="K60" i="48"/>
  <c r="T59" i="48"/>
  <c r="R59" i="48"/>
  <c r="Q59" i="48"/>
  <c r="P59" i="48"/>
  <c r="O59" i="48"/>
  <c r="N59" i="48"/>
  <c r="M59" i="48"/>
  <c r="L59" i="48"/>
  <c r="S59" i="48" s="1"/>
  <c r="K59" i="48"/>
  <c r="T58" i="48"/>
  <c r="R58" i="48"/>
  <c r="Q58" i="48"/>
  <c r="P58" i="48"/>
  <c r="O58" i="48"/>
  <c r="N58" i="48"/>
  <c r="M58" i="48"/>
  <c r="L58" i="48"/>
  <c r="K58" i="48"/>
  <c r="T57" i="48"/>
  <c r="V57" i="48" s="1"/>
  <c r="R57" i="48"/>
  <c r="Q57" i="48"/>
  <c r="P57" i="48"/>
  <c r="O57" i="48"/>
  <c r="N57" i="48"/>
  <c r="M57" i="48"/>
  <c r="L57" i="48"/>
  <c r="K57" i="48"/>
  <c r="T56" i="48"/>
  <c r="V56" i="48" s="1"/>
  <c r="R56" i="48"/>
  <c r="Q56" i="48"/>
  <c r="P56" i="48"/>
  <c r="O56" i="48"/>
  <c r="N56" i="48"/>
  <c r="M56" i="48"/>
  <c r="L56" i="48"/>
  <c r="K56" i="48"/>
  <c r="T55" i="48"/>
  <c r="R55" i="48"/>
  <c r="Q55" i="48"/>
  <c r="P55" i="48"/>
  <c r="O55" i="48"/>
  <c r="N55" i="48"/>
  <c r="M55" i="48"/>
  <c r="L55" i="48"/>
  <c r="S55" i="48" s="1"/>
  <c r="K55" i="48"/>
  <c r="T54" i="48"/>
  <c r="R54" i="48"/>
  <c r="Q54" i="48"/>
  <c r="P54" i="48"/>
  <c r="O54" i="48"/>
  <c r="N54" i="48"/>
  <c r="M54" i="48"/>
  <c r="L54" i="48"/>
  <c r="K54" i="48"/>
  <c r="T53" i="48"/>
  <c r="V53" i="48" s="1"/>
  <c r="R53" i="48"/>
  <c r="Q53" i="48"/>
  <c r="P53" i="48"/>
  <c r="O53" i="48"/>
  <c r="N53" i="48"/>
  <c r="M53" i="48"/>
  <c r="L53" i="48"/>
  <c r="K53" i="48"/>
  <c r="T52" i="48"/>
  <c r="S52" i="48"/>
  <c r="R52" i="48"/>
  <c r="Q52" i="48"/>
  <c r="P52" i="48"/>
  <c r="P83" i="48" s="1"/>
  <c r="O52" i="48"/>
  <c r="N52" i="48"/>
  <c r="M52" i="48"/>
  <c r="L52" i="48"/>
  <c r="L83" i="48" s="1"/>
  <c r="K52" i="48"/>
  <c r="K11" i="48"/>
  <c r="J11" i="48"/>
  <c r="I11" i="48"/>
  <c r="M11" i="48" s="1"/>
  <c r="K10" i="48"/>
  <c r="L10" i="48" s="1"/>
  <c r="N10" i="48" s="1"/>
  <c r="J10" i="48"/>
  <c r="I10" i="48"/>
  <c r="K9" i="48"/>
  <c r="J9" i="48"/>
  <c r="I9" i="48"/>
  <c r="K8" i="48"/>
  <c r="L8" i="48" s="1"/>
  <c r="J8" i="48"/>
  <c r="M8" i="48" s="1"/>
  <c r="I8" i="48"/>
  <c r="K7" i="48"/>
  <c r="J7" i="48"/>
  <c r="I7" i="48"/>
  <c r="K6" i="48"/>
  <c r="L6" i="48" s="1"/>
  <c r="N6" i="48" s="1"/>
  <c r="J6" i="48"/>
  <c r="I6" i="48"/>
  <c r="K5" i="48"/>
  <c r="J5" i="48"/>
  <c r="I5" i="48"/>
  <c r="M10" i="48" l="1"/>
  <c r="Q83" i="48"/>
  <c r="S56" i="48"/>
  <c r="S60" i="48"/>
  <c r="S68" i="48"/>
  <c r="S72" i="48"/>
  <c r="S76" i="48"/>
  <c r="V81" i="48"/>
  <c r="R114" i="48"/>
  <c r="P137" i="48"/>
  <c r="F140" i="48" s="1"/>
  <c r="R134" i="48"/>
  <c r="L5" i="48"/>
  <c r="C17" i="48" s="1"/>
  <c r="M9" i="48"/>
  <c r="N83" i="48"/>
  <c r="R83" i="48"/>
  <c r="S53" i="48"/>
  <c r="S83" i="48" s="1"/>
  <c r="V54" i="48"/>
  <c r="S57" i="48"/>
  <c r="V58" i="48"/>
  <c r="S61" i="48"/>
  <c r="V62" i="48"/>
  <c r="S65" i="48"/>
  <c r="V66" i="48"/>
  <c r="S69" i="48"/>
  <c r="V70" i="48"/>
  <c r="S73" i="48"/>
  <c r="V74" i="48"/>
  <c r="S77" i="48"/>
  <c r="V78" i="48"/>
  <c r="S82" i="48"/>
  <c r="V82" i="48"/>
  <c r="O114" i="48"/>
  <c r="S114" i="48"/>
  <c r="M137" i="48"/>
  <c r="C140" i="48" s="1"/>
  <c r="Q137" i="48"/>
  <c r="G140" i="48" s="1"/>
  <c r="O134" i="48"/>
  <c r="S134" i="48"/>
  <c r="M5" i="48"/>
  <c r="M83" i="48"/>
  <c r="S64" i="48"/>
  <c r="S81" i="48"/>
  <c r="N114" i="48"/>
  <c r="T137" i="48"/>
  <c r="J140" i="48" s="1"/>
  <c r="N134" i="48"/>
  <c r="M6" i="48"/>
  <c r="M7" i="48"/>
  <c r="L9" i="48"/>
  <c r="O83" i="48"/>
  <c r="S54" i="48"/>
  <c r="V55" i="48"/>
  <c r="S58" i="48"/>
  <c r="V59" i="48"/>
  <c r="S62" i="48"/>
  <c r="V63" i="48"/>
  <c r="S66" i="48"/>
  <c r="V67" i="48"/>
  <c r="S70" i="48"/>
  <c r="V71" i="48"/>
  <c r="S74" i="48"/>
  <c r="V75" i="48"/>
  <c r="S78" i="48"/>
  <c r="V79" i="48"/>
  <c r="P114" i="48"/>
  <c r="T114" i="48"/>
  <c r="N137" i="48"/>
  <c r="D140" i="48" s="1"/>
  <c r="R137" i="48"/>
  <c r="H140" i="48" s="1"/>
  <c r="P134" i="48"/>
  <c r="T134" i="48"/>
  <c r="D63" i="49"/>
  <c r="D70" i="49" s="1"/>
  <c r="B70" i="49"/>
  <c r="C21" i="48"/>
  <c r="N9" i="48"/>
  <c r="N8" i="48"/>
  <c r="C20" i="48"/>
  <c r="X15" i="48"/>
  <c r="Y22" i="48" s="1"/>
  <c r="W31" i="48" s="1"/>
  <c r="L7" i="48"/>
  <c r="L11" i="48"/>
  <c r="C18" i="48"/>
  <c r="C22" i="48"/>
  <c r="U53" i="48"/>
  <c r="U54" i="48"/>
  <c r="U55" i="48"/>
  <c r="U56" i="48"/>
  <c r="U57" i="48"/>
  <c r="U58" i="48"/>
  <c r="U59" i="48"/>
  <c r="U60" i="48"/>
  <c r="U61" i="48"/>
  <c r="U62" i="48"/>
  <c r="U63" i="48"/>
  <c r="U64" i="48"/>
  <c r="U65" i="48"/>
  <c r="U66" i="48"/>
  <c r="U67" i="48"/>
  <c r="U68" i="48"/>
  <c r="U69" i="48"/>
  <c r="U70" i="48"/>
  <c r="U71" i="48"/>
  <c r="U72" i="48"/>
  <c r="U73" i="48"/>
  <c r="U74" i="48"/>
  <c r="U75" i="48"/>
  <c r="U76" i="48"/>
  <c r="U77" i="48"/>
  <c r="U78" i="48"/>
  <c r="U79" i="48"/>
  <c r="U80" i="48"/>
  <c r="U81" i="48"/>
  <c r="U82" i="48"/>
  <c r="N5" i="48" l="1"/>
  <c r="P6" i="48"/>
  <c r="P7" i="48" s="1"/>
  <c r="Q7" i="48" s="1"/>
  <c r="R7" i="48" s="1"/>
  <c r="P8" i="48"/>
  <c r="N7" i="48"/>
  <c r="C19" i="48"/>
  <c r="Y24" i="48"/>
  <c r="O6" i="48" s="1"/>
  <c r="Q6" i="48" s="1"/>
  <c r="R6" i="48" s="1"/>
  <c r="Y23" i="48"/>
  <c r="O5" i="48" s="1"/>
  <c r="Q5" i="48" s="1"/>
  <c r="R5" i="48" s="1"/>
  <c r="Y25" i="48"/>
  <c r="O7" i="48" s="1"/>
  <c r="C23" i="48"/>
  <c r="N11" i="48"/>
  <c r="N12" i="48" s="1"/>
  <c r="L12" i="48"/>
  <c r="L13" i="48" s="1"/>
  <c r="C27" i="48" s="1"/>
  <c r="S11" i="48" l="1"/>
  <c r="D23" i="48" s="1"/>
  <c r="E23" i="48" s="1"/>
  <c r="S7" i="48"/>
  <c r="D19" i="48" s="1"/>
  <c r="E19" i="48" s="1"/>
  <c r="S8" i="48"/>
  <c r="D20" i="48" s="1"/>
  <c r="E20" i="48" s="1"/>
  <c r="S5" i="48"/>
  <c r="S9" i="48"/>
  <c r="D21" i="48" s="1"/>
  <c r="E21" i="48" s="1"/>
  <c r="S10" i="48"/>
  <c r="D22" i="48" s="1"/>
  <c r="E22" i="48" s="1"/>
  <c r="S6" i="48"/>
  <c r="D18" i="48" s="1"/>
  <c r="E18" i="48" s="1"/>
  <c r="S15" i="48"/>
  <c r="T22" i="48" s="1"/>
  <c r="R31" i="48" s="1"/>
  <c r="P9" i="48"/>
  <c r="T29" i="48" l="1"/>
  <c r="O11" i="48" s="1"/>
  <c r="T28" i="48"/>
  <c r="O10" i="48" s="1"/>
  <c r="T27" i="48"/>
  <c r="O9" i="48" s="1"/>
  <c r="Q9" i="48" s="1"/>
  <c r="R9" i="48" s="1"/>
  <c r="T26" i="48"/>
  <c r="O8" i="48" s="1"/>
  <c r="Q8" i="48" s="1"/>
  <c r="R8" i="48" s="1"/>
  <c r="S12" i="48"/>
  <c r="S13" i="48" s="1"/>
  <c r="D27" i="48" s="1"/>
  <c r="E27" i="48" s="1"/>
  <c r="D17" i="48"/>
  <c r="E17" i="48" s="1"/>
  <c r="P10" i="48"/>
  <c r="Q10" i="48" l="1"/>
  <c r="R10" i="48" s="1"/>
  <c r="P11" i="48"/>
  <c r="Q11" i="48" s="1"/>
  <c r="R11" i="48" s="1"/>
  <c r="H21" i="31" l="1"/>
  <c r="C18" i="31"/>
  <c r="I46" i="42"/>
  <c r="E44" i="42"/>
  <c r="F44" i="42"/>
  <c r="G44" i="42"/>
  <c r="H44" i="42"/>
  <c r="I44" i="42"/>
  <c r="E45" i="42"/>
  <c r="F45" i="42"/>
  <c r="G45" i="42"/>
  <c r="H45" i="42"/>
  <c r="H52" i="42" s="1"/>
  <c r="I45" i="42"/>
  <c r="E46" i="42"/>
  <c r="F46" i="42"/>
  <c r="G46" i="42"/>
  <c r="H46" i="42"/>
  <c r="E47" i="42"/>
  <c r="F47" i="42"/>
  <c r="G47" i="42"/>
  <c r="H47" i="42"/>
  <c r="I47" i="42"/>
  <c r="E48" i="42"/>
  <c r="F48" i="42"/>
  <c r="G48" i="42"/>
  <c r="H48" i="42"/>
  <c r="I48" i="42"/>
  <c r="E49" i="42"/>
  <c r="F49" i="42"/>
  <c r="G49" i="42"/>
  <c r="H49" i="42"/>
  <c r="I49" i="42"/>
  <c r="E50" i="42"/>
  <c r="F50" i="42"/>
  <c r="G50" i="42"/>
  <c r="H50" i="42"/>
  <c r="I50" i="42"/>
  <c r="E51" i="42"/>
  <c r="F51" i="42"/>
  <c r="G51" i="42"/>
  <c r="H51" i="42"/>
  <c r="I51" i="42"/>
  <c r="D45" i="42"/>
  <c r="D46" i="42"/>
  <c r="D47" i="42"/>
  <c r="D48" i="42"/>
  <c r="D49" i="42"/>
  <c r="D50" i="42"/>
  <c r="D51" i="42"/>
  <c r="D44" i="42"/>
  <c r="I39" i="42"/>
  <c r="H39" i="42"/>
  <c r="G39" i="42"/>
  <c r="F39" i="42"/>
  <c r="E39" i="42"/>
  <c r="D39" i="42"/>
  <c r="D52" i="42" l="1"/>
  <c r="E52" i="42"/>
  <c r="I52" i="42"/>
  <c r="F52" i="42"/>
  <c r="G52" i="42"/>
  <c r="H24" i="31"/>
  <c r="G24" i="31"/>
  <c r="F24" i="31"/>
  <c r="H23" i="31"/>
  <c r="G23" i="31"/>
  <c r="F23" i="31"/>
  <c r="H22" i="31"/>
  <c r="G22" i="31"/>
  <c r="F22" i="31"/>
  <c r="G21" i="31"/>
  <c r="F21" i="31"/>
  <c r="H20" i="31"/>
  <c r="G20" i="31"/>
  <c r="F20" i="31"/>
  <c r="H19" i="31"/>
  <c r="G19" i="31"/>
  <c r="F19" i="31"/>
  <c r="H18" i="31"/>
  <c r="G18" i="31"/>
  <c r="F18" i="31"/>
  <c r="H17" i="31"/>
  <c r="G17" i="31"/>
  <c r="F17" i="31"/>
  <c r="H12" i="31"/>
  <c r="G12" i="31"/>
  <c r="F12" i="31"/>
  <c r="C12" i="31"/>
  <c r="D12" i="31"/>
  <c r="E12" i="31"/>
  <c r="C17" i="31"/>
  <c r="D17" i="31"/>
  <c r="E17" i="31"/>
  <c r="D18" i="31"/>
  <c r="E18" i="31"/>
  <c r="C19" i="31"/>
  <c r="D19" i="31"/>
  <c r="E19" i="31"/>
  <c r="C20" i="31"/>
  <c r="D20" i="31"/>
  <c r="E20" i="31"/>
  <c r="C21" i="31"/>
  <c r="D21" i="31"/>
  <c r="E21" i="31"/>
  <c r="C22" i="31"/>
  <c r="D22" i="31"/>
  <c r="E22" i="31"/>
  <c r="C23" i="31"/>
  <c r="D23" i="31"/>
  <c r="E23" i="31"/>
  <c r="C24" i="31"/>
  <c r="D24" i="31"/>
  <c r="E24" i="31"/>
  <c r="C25" i="31" l="1"/>
  <c r="G25" i="31"/>
  <c r="H25" i="31"/>
  <c r="F25" i="31"/>
  <c r="E25" i="31"/>
  <c r="D25" i="31"/>
  <c r="E5" i="46"/>
  <c r="E6" i="46"/>
  <c r="E7" i="46"/>
  <c r="E8" i="46"/>
  <c r="E9" i="46"/>
  <c r="E10" i="46"/>
  <c r="E11" i="46"/>
  <c r="E4" i="46"/>
  <c r="F5" i="44" l="1"/>
  <c r="F6" i="44"/>
  <c r="F7" i="44"/>
  <c r="F8" i="44"/>
  <c r="F9" i="44"/>
  <c r="F10" i="44"/>
  <c r="F11" i="44"/>
  <c r="F4" i="44"/>
  <c r="K11" i="46"/>
  <c r="J11" i="46"/>
  <c r="I11" i="46"/>
  <c r="K10" i="46"/>
  <c r="J10" i="46"/>
  <c r="I10" i="46"/>
  <c r="K9" i="46"/>
  <c r="L9" i="46" s="1"/>
  <c r="C21" i="46" s="1"/>
  <c r="J9" i="46"/>
  <c r="I9" i="46"/>
  <c r="K8" i="46"/>
  <c r="J8" i="46"/>
  <c r="M8" i="46" s="1"/>
  <c r="I8" i="46"/>
  <c r="K7" i="46"/>
  <c r="J7" i="46"/>
  <c r="I7" i="46"/>
  <c r="K6" i="46"/>
  <c r="J6" i="46"/>
  <c r="I6" i="46"/>
  <c r="K5" i="46"/>
  <c r="J5" i="46"/>
  <c r="I5" i="46"/>
  <c r="P4" i="46"/>
  <c r="K4" i="46"/>
  <c r="L4" i="46" s="1"/>
  <c r="J4" i="46"/>
  <c r="I4" i="46"/>
  <c r="M4" i="46" s="1"/>
  <c r="K11" i="45"/>
  <c r="J11" i="45"/>
  <c r="I11" i="45"/>
  <c r="K10" i="45"/>
  <c r="J10" i="45"/>
  <c r="I10" i="45"/>
  <c r="K9" i="45"/>
  <c r="J9" i="45"/>
  <c r="I9" i="45"/>
  <c r="K8" i="45"/>
  <c r="L8" i="45" s="1"/>
  <c r="J8" i="45"/>
  <c r="I8" i="45"/>
  <c r="K7" i="45"/>
  <c r="L7" i="45" s="1"/>
  <c r="J7" i="45"/>
  <c r="M7" i="45" s="1"/>
  <c r="I7" i="45"/>
  <c r="K6" i="45"/>
  <c r="J6" i="45"/>
  <c r="I6" i="45"/>
  <c r="K5" i="45"/>
  <c r="J5" i="45"/>
  <c r="I5" i="45"/>
  <c r="P4" i="45"/>
  <c r="K4" i="45"/>
  <c r="J4" i="45"/>
  <c r="I4" i="45"/>
  <c r="K11" i="44"/>
  <c r="J11" i="44"/>
  <c r="I11" i="44"/>
  <c r="K10" i="44"/>
  <c r="L10" i="44" s="1"/>
  <c r="C22" i="44" s="1"/>
  <c r="J10" i="44"/>
  <c r="M10" i="44" s="1"/>
  <c r="I10" i="44"/>
  <c r="K9" i="44"/>
  <c r="J9" i="44"/>
  <c r="I9" i="44"/>
  <c r="K8" i="44"/>
  <c r="J8" i="44"/>
  <c r="I8" i="44"/>
  <c r="K7" i="44"/>
  <c r="J7" i="44"/>
  <c r="I7" i="44"/>
  <c r="K6" i="44"/>
  <c r="L6" i="44" s="1"/>
  <c r="C18" i="44" s="1"/>
  <c r="J6" i="44"/>
  <c r="M6" i="44" s="1"/>
  <c r="I6" i="44"/>
  <c r="K5" i="44"/>
  <c r="L5" i="44" s="1"/>
  <c r="J5" i="44"/>
  <c r="M5" i="44" s="1"/>
  <c r="I5" i="44"/>
  <c r="P4" i="44"/>
  <c r="K4" i="44"/>
  <c r="J4" i="44"/>
  <c r="I4" i="44"/>
  <c r="J40" i="29"/>
  <c r="J41" i="29"/>
  <c r="J42" i="29"/>
  <c r="J43" i="29"/>
  <c r="J44" i="29"/>
  <c r="J45" i="29"/>
  <c r="J46" i="29"/>
  <c r="J47" i="29"/>
  <c r="D40" i="29"/>
  <c r="D41" i="29"/>
  <c r="D42" i="29"/>
  <c r="D43" i="29"/>
  <c r="D44" i="29"/>
  <c r="D45" i="29"/>
  <c r="D46" i="29"/>
  <c r="D47" i="29"/>
  <c r="C40" i="29"/>
  <c r="B40" i="29"/>
  <c r="H30" i="29"/>
  <c r="H41" i="29" s="1"/>
  <c r="I30" i="29"/>
  <c r="I41" i="29" s="1"/>
  <c r="H31" i="29"/>
  <c r="H42" i="29" s="1"/>
  <c r="I31" i="29"/>
  <c r="I42" i="29" s="1"/>
  <c r="H32" i="29"/>
  <c r="H43" i="29" s="1"/>
  <c r="I32" i="29"/>
  <c r="I43" i="29" s="1"/>
  <c r="H33" i="29"/>
  <c r="H44" i="29" s="1"/>
  <c r="I33" i="29"/>
  <c r="I44" i="29" s="1"/>
  <c r="H34" i="29"/>
  <c r="H45" i="29" s="1"/>
  <c r="I34" i="29"/>
  <c r="I45" i="29" s="1"/>
  <c r="H35" i="29"/>
  <c r="H46" i="29" s="1"/>
  <c r="I35" i="29"/>
  <c r="I46" i="29" s="1"/>
  <c r="H36" i="29"/>
  <c r="H47" i="29" s="1"/>
  <c r="I36" i="29"/>
  <c r="I47" i="29" s="1"/>
  <c r="I29" i="29"/>
  <c r="I40" i="29" s="1"/>
  <c r="H29" i="29"/>
  <c r="H40" i="29" s="1"/>
  <c r="B31" i="29"/>
  <c r="B42" i="29" s="1"/>
  <c r="C31" i="29"/>
  <c r="C42" i="29" s="1"/>
  <c r="B32" i="29"/>
  <c r="B43" i="29" s="1"/>
  <c r="C32" i="29"/>
  <c r="C43" i="29" s="1"/>
  <c r="B33" i="29"/>
  <c r="B44" i="29" s="1"/>
  <c r="C33" i="29"/>
  <c r="C44" i="29" s="1"/>
  <c r="B34" i="29"/>
  <c r="B45" i="29" s="1"/>
  <c r="C34" i="29"/>
  <c r="C45" i="29" s="1"/>
  <c r="B35" i="29"/>
  <c r="B46" i="29" s="1"/>
  <c r="B59" i="29" s="1"/>
  <c r="C35" i="29"/>
  <c r="C46" i="29" s="1"/>
  <c r="B36" i="29"/>
  <c r="B47" i="29" s="1"/>
  <c r="C36" i="29"/>
  <c r="C47" i="29" s="1"/>
  <c r="C30" i="29"/>
  <c r="C41" i="29" s="1"/>
  <c r="B30" i="29"/>
  <c r="B41" i="29" s="1"/>
  <c r="M6" i="45" l="1"/>
  <c r="M10" i="45"/>
  <c r="M8" i="44"/>
  <c r="M4" i="45"/>
  <c r="M5" i="45"/>
  <c r="L6" i="45"/>
  <c r="M9" i="45"/>
  <c r="L10" i="45"/>
  <c r="C22" i="45" s="1"/>
  <c r="M6" i="46"/>
  <c r="L7" i="46"/>
  <c r="C19" i="46" s="1"/>
  <c r="L8" i="44"/>
  <c r="C20" i="44" s="1"/>
  <c r="L4" i="45"/>
  <c r="C16" i="45" s="1"/>
  <c r="L5" i="45"/>
  <c r="M8" i="45"/>
  <c r="L9" i="45"/>
  <c r="C21" i="45" s="1"/>
  <c r="C54" i="29"/>
  <c r="H58" i="29"/>
  <c r="I53" i="29"/>
  <c r="D59" i="29"/>
  <c r="D55" i="29"/>
  <c r="J60" i="29"/>
  <c r="H54" i="29"/>
  <c r="C60" i="29"/>
  <c r="C58" i="29"/>
  <c r="C56" i="29"/>
  <c r="H53" i="29"/>
  <c r="I59" i="29"/>
  <c r="I57" i="29"/>
  <c r="I55" i="29"/>
  <c r="B57" i="29"/>
  <c r="B60" i="29"/>
  <c r="H57" i="29"/>
  <c r="H55" i="29"/>
  <c r="B55" i="29"/>
  <c r="B58" i="29"/>
  <c r="B56" i="29"/>
  <c r="H59" i="29"/>
  <c r="B54" i="29"/>
  <c r="C57" i="29"/>
  <c r="H56" i="29"/>
  <c r="I58" i="29"/>
  <c r="I56" i="29"/>
  <c r="D58" i="29"/>
  <c r="D54" i="29"/>
  <c r="J59" i="29"/>
  <c r="J57" i="29"/>
  <c r="J55" i="29"/>
  <c r="J53" i="29"/>
  <c r="H60" i="29"/>
  <c r="I60" i="29"/>
  <c r="I54" i="29"/>
  <c r="C53" i="29"/>
  <c r="D57" i="29"/>
  <c r="D53" i="29"/>
  <c r="C59" i="29"/>
  <c r="C55" i="29"/>
  <c r="B53" i="29"/>
  <c r="D60" i="29"/>
  <c r="D56" i="29"/>
  <c r="J58" i="29"/>
  <c r="J56" i="29"/>
  <c r="J54" i="29"/>
  <c r="L9" i="44"/>
  <c r="N9" i="44" s="1"/>
  <c r="L10" i="46"/>
  <c r="C22" i="46" s="1"/>
  <c r="L8" i="46"/>
  <c r="N8" i="46" s="1"/>
  <c r="L6" i="46"/>
  <c r="C18" i="46" s="1"/>
  <c r="L11" i="46"/>
  <c r="N11" i="46" s="1"/>
  <c r="L7" i="44"/>
  <c r="C19" i="44" s="1"/>
  <c r="L11" i="44"/>
  <c r="C23" i="44" s="1"/>
  <c r="M5" i="46"/>
  <c r="C23" i="46"/>
  <c r="M11" i="46"/>
  <c r="N6" i="46"/>
  <c r="M10" i="46"/>
  <c r="L5" i="46"/>
  <c r="P6" i="46" s="1"/>
  <c r="P7" i="46" s="1"/>
  <c r="N7" i="46"/>
  <c r="N9" i="46"/>
  <c r="M7" i="46"/>
  <c r="M9" i="46"/>
  <c r="C16" i="46"/>
  <c r="N4" i="46"/>
  <c r="X15" i="46"/>
  <c r="Y22" i="46" s="1"/>
  <c r="W32" i="46" s="1"/>
  <c r="C20" i="46"/>
  <c r="M11" i="45"/>
  <c r="L11" i="45"/>
  <c r="N4" i="45"/>
  <c r="X15" i="45"/>
  <c r="Y22" i="45" s="1"/>
  <c r="W32" i="45" s="1"/>
  <c r="P6" i="45"/>
  <c r="N5" i="45"/>
  <c r="C17" i="45"/>
  <c r="C18" i="45"/>
  <c r="P7" i="45"/>
  <c r="N6" i="45"/>
  <c r="C19" i="45"/>
  <c r="P8" i="45"/>
  <c r="N7" i="45"/>
  <c r="C20" i="45"/>
  <c r="N8" i="45"/>
  <c r="N10" i="45"/>
  <c r="C23" i="45"/>
  <c r="L4" i="44"/>
  <c r="N4" i="44" s="1"/>
  <c r="C17" i="44"/>
  <c r="M7" i="44"/>
  <c r="M11" i="44"/>
  <c r="M4" i="44"/>
  <c r="M9" i="44"/>
  <c r="C16" i="44"/>
  <c r="X15" i="44"/>
  <c r="Y22" i="44" s="1"/>
  <c r="W32" i="44" s="1"/>
  <c r="N6" i="44"/>
  <c r="N8" i="44"/>
  <c r="N10" i="44"/>
  <c r="N11" i="44"/>
  <c r="C21" i="44"/>
  <c r="J48" i="29"/>
  <c r="I48" i="29"/>
  <c r="H48" i="29"/>
  <c r="D48" i="29"/>
  <c r="N9" i="45" l="1"/>
  <c r="L12" i="45"/>
  <c r="L13" i="45" s="1"/>
  <c r="C27" i="45" s="1"/>
  <c r="N7" i="44"/>
  <c r="I61" i="29"/>
  <c r="J61" i="29"/>
  <c r="C61" i="29"/>
  <c r="D61" i="29"/>
  <c r="B61" i="29"/>
  <c r="H61" i="29"/>
  <c r="L12" i="46"/>
  <c r="L13" i="46" s="1"/>
  <c r="C27" i="46" s="1"/>
  <c r="C17" i="46"/>
  <c r="N10" i="46"/>
  <c r="N5" i="46"/>
  <c r="N11" i="45"/>
  <c r="N12" i="45" s="1"/>
  <c r="S15" i="45" s="1"/>
  <c r="T22" i="45" s="1"/>
  <c r="R32" i="45" s="1"/>
  <c r="P8" i="46"/>
  <c r="Y23" i="46"/>
  <c r="O4" i="46" s="1"/>
  <c r="Q4" i="46" s="1"/>
  <c r="R4" i="46" s="1"/>
  <c r="Y26" i="46"/>
  <c r="O7" i="46" s="1"/>
  <c r="Q7" i="46" s="1"/>
  <c r="R7" i="46" s="1"/>
  <c r="Y25" i="46"/>
  <c r="O6" i="46" s="1"/>
  <c r="Q6" i="46" s="1"/>
  <c r="R6" i="46" s="1"/>
  <c r="Y24" i="46"/>
  <c r="O5" i="46" s="1"/>
  <c r="Q5" i="46" s="1"/>
  <c r="R5" i="46" s="1"/>
  <c r="P9" i="45"/>
  <c r="Y23" i="45"/>
  <c r="O4" i="45" s="1"/>
  <c r="Q4" i="45" s="1"/>
  <c r="R4" i="45" s="1"/>
  <c r="Y26" i="45"/>
  <c r="O7" i="45" s="1"/>
  <c r="Q7" i="45" s="1"/>
  <c r="R7" i="45" s="1"/>
  <c r="Y25" i="45"/>
  <c r="O6" i="45" s="1"/>
  <c r="Q6" i="45" s="1"/>
  <c r="R6" i="45" s="1"/>
  <c r="Y24" i="45"/>
  <c r="O5" i="45" s="1"/>
  <c r="Q5" i="45" s="1"/>
  <c r="R5" i="45" s="1"/>
  <c r="N5" i="44"/>
  <c r="N12" i="44" s="1"/>
  <c r="S15" i="44" s="1"/>
  <c r="T22" i="44" s="1"/>
  <c r="R32" i="44" s="1"/>
  <c r="P6" i="44"/>
  <c r="P7" i="44" s="1"/>
  <c r="P8" i="44" s="1"/>
  <c r="P9" i="44" s="1"/>
  <c r="L12" i="44"/>
  <c r="L13" i="44" s="1"/>
  <c r="C27" i="44" s="1"/>
  <c r="Y23" i="44"/>
  <c r="O4" i="44" s="1"/>
  <c r="Q4" i="44" s="1"/>
  <c r="R4" i="44" s="1"/>
  <c r="Y26" i="44"/>
  <c r="O7" i="44" s="1"/>
  <c r="Y25" i="44"/>
  <c r="O6" i="44" s="1"/>
  <c r="Y24" i="44"/>
  <c r="O5" i="44" s="1"/>
  <c r="Q5" i="44" s="1"/>
  <c r="R5" i="44" s="1"/>
  <c r="N12" i="46" l="1"/>
  <c r="S15" i="46" s="1"/>
  <c r="T22" i="46" s="1"/>
  <c r="R32" i="46" s="1"/>
  <c r="Q7" i="44"/>
  <c r="R7" i="44" s="1"/>
  <c r="T27" i="46"/>
  <c r="O8" i="46" s="1"/>
  <c r="T29" i="46"/>
  <c r="O10" i="46" s="1"/>
  <c r="T28" i="46"/>
  <c r="O9" i="46" s="1"/>
  <c r="T30" i="46"/>
  <c r="O11" i="46" s="1"/>
  <c r="S4" i="46"/>
  <c r="D16" i="46" s="1"/>
  <c r="E16" i="46" s="1"/>
  <c r="S11" i="46"/>
  <c r="D23" i="46" s="1"/>
  <c r="E23" i="46" s="1"/>
  <c r="S10" i="46"/>
  <c r="D22" i="46" s="1"/>
  <c r="E22" i="46" s="1"/>
  <c r="S9" i="46"/>
  <c r="D21" i="46" s="1"/>
  <c r="E21" i="46" s="1"/>
  <c r="S8" i="46"/>
  <c r="D20" i="46" s="1"/>
  <c r="E20" i="46" s="1"/>
  <c r="S7" i="46"/>
  <c r="D19" i="46" s="1"/>
  <c r="E19" i="46" s="1"/>
  <c r="S6" i="46"/>
  <c r="D18" i="46" s="1"/>
  <c r="E18" i="46" s="1"/>
  <c r="S5" i="46"/>
  <c r="Q8" i="46"/>
  <c r="R8" i="46" s="1"/>
  <c r="P9" i="46"/>
  <c r="S4" i="45"/>
  <c r="D16" i="45" s="1"/>
  <c r="E16" i="45" s="1"/>
  <c r="S11" i="45"/>
  <c r="D23" i="45" s="1"/>
  <c r="E23" i="45" s="1"/>
  <c r="S10" i="45"/>
  <c r="D22" i="45" s="1"/>
  <c r="E22" i="45" s="1"/>
  <c r="S9" i="45"/>
  <c r="D21" i="45" s="1"/>
  <c r="E21" i="45" s="1"/>
  <c r="S8" i="45"/>
  <c r="D20" i="45" s="1"/>
  <c r="E20" i="45" s="1"/>
  <c r="S7" i="45"/>
  <c r="D19" i="45" s="1"/>
  <c r="E19" i="45" s="1"/>
  <c r="S6" i="45"/>
  <c r="D18" i="45" s="1"/>
  <c r="E18" i="45" s="1"/>
  <c r="S5" i="45"/>
  <c r="P10" i="45"/>
  <c r="T28" i="45"/>
  <c r="O9" i="45" s="1"/>
  <c r="Q9" i="45" s="1"/>
  <c r="R9" i="45" s="1"/>
  <c r="T27" i="45"/>
  <c r="O8" i="45" s="1"/>
  <c r="Q8" i="45" s="1"/>
  <c r="R8" i="45" s="1"/>
  <c r="T30" i="45"/>
  <c r="O11" i="45" s="1"/>
  <c r="T29" i="45"/>
  <c r="O10" i="45" s="1"/>
  <c r="Q6" i="44"/>
  <c r="R6" i="44" s="1"/>
  <c r="S10" i="44" s="1"/>
  <c r="D22" i="44" s="1"/>
  <c r="E22" i="44" s="1"/>
  <c r="T28" i="44"/>
  <c r="O9" i="44" s="1"/>
  <c r="Q9" i="44" s="1"/>
  <c r="R9" i="44" s="1"/>
  <c r="T27" i="44"/>
  <c r="O8" i="44" s="1"/>
  <c r="Q8" i="44" s="1"/>
  <c r="R8" i="44" s="1"/>
  <c r="T30" i="44"/>
  <c r="O11" i="44" s="1"/>
  <c r="T29" i="44"/>
  <c r="O10" i="44" s="1"/>
  <c r="P10" i="44"/>
  <c r="S9" i="44" l="1"/>
  <c r="D21" i="44" s="1"/>
  <c r="E21" i="44" s="1"/>
  <c r="S11" i="44"/>
  <c r="D23" i="44" s="1"/>
  <c r="E23" i="44" s="1"/>
  <c r="S8" i="44"/>
  <c r="D20" i="44" s="1"/>
  <c r="E20" i="44" s="1"/>
  <c r="S5" i="44"/>
  <c r="S7" i="44"/>
  <c r="D19" i="44" s="1"/>
  <c r="E19" i="44" s="1"/>
  <c r="S4" i="44"/>
  <c r="D16" i="44" s="1"/>
  <c r="E16" i="44" s="1"/>
  <c r="S6" i="44"/>
  <c r="D18" i="44" s="1"/>
  <c r="E18" i="44" s="1"/>
  <c r="D17" i="46"/>
  <c r="E17" i="46" s="1"/>
  <c r="S12" i="46"/>
  <c r="S13" i="46" s="1"/>
  <c r="D27" i="46" s="1"/>
  <c r="E27" i="46" s="1"/>
  <c r="Q9" i="46"/>
  <c r="R9" i="46" s="1"/>
  <c r="P10" i="46"/>
  <c r="D17" i="45"/>
  <c r="E17" i="45" s="1"/>
  <c r="S12" i="45"/>
  <c r="S13" i="45" s="1"/>
  <c r="D27" i="45" s="1"/>
  <c r="E27" i="45" s="1"/>
  <c r="Q10" i="45"/>
  <c r="R10" i="45" s="1"/>
  <c r="P11" i="45"/>
  <c r="Q11" i="45" s="1"/>
  <c r="R11" i="45" s="1"/>
  <c r="Q10" i="44"/>
  <c r="R10" i="44" s="1"/>
  <c r="P11" i="44"/>
  <c r="Q11" i="44" s="1"/>
  <c r="R11" i="44" s="1"/>
  <c r="S12" i="44" l="1"/>
  <c r="S13" i="44" s="1"/>
  <c r="D27" i="44" s="1"/>
  <c r="E27" i="44" s="1"/>
  <c r="D17" i="44"/>
  <c r="E17" i="44" s="1"/>
  <c r="Q10" i="46"/>
  <c r="R10" i="46" s="1"/>
  <c r="P11" i="46"/>
  <c r="Q11" i="46" s="1"/>
  <c r="R11" i="46" s="1"/>
  <c r="C48" i="29" l="1"/>
  <c r="B48" i="29"/>
  <c r="F5" i="35" l="1"/>
  <c r="F6" i="35"/>
  <c r="F7" i="35"/>
  <c r="F8" i="35"/>
  <c r="F9" i="35"/>
  <c r="F10" i="35"/>
  <c r="F11" i="35"/>
  <c r="F4" i="35"/>
  <c r="K11" i="35"/>
  <c r="J11" i="35"/>
  <c r="I11" i="35"/>
  <c r="L11" i="35" s="1"/>
  <c r="K10" i="35"/>
  <c r="J10" i="35"/>
  <c r="I10" i="35"/>
  <c r="L10" i="35" s="1"/>
  <c r="K9" i="35"/>
  <c r="J9" i="35"/>
  <c r="I9" i="35"/>
  <c r="K8" i="35"/>
  <c r="L8" i="35" s="1"/>
  <c r="J8" i="35"/>
  <c r="I8" i="35"/>
  <c r="K7" i="35"/>
  <c r="J7" i="35"/>
  <c r="I7" i="35"/>
  <c r="K6" i="35"/>
  <c r="J6" i="35"/>
  <c r="I6" i="35"/>
  <c r="L6" i="35" s="1"/>
  <c r="K5" i="35"/>
  <c r="J5" i="35"/>
  <c r="I5" i="35"/>
  <c r="P4" i="35"/>
  <c r="K4" i="35"/>
  <c r="J4" i="35"/>
  <c r="I4" i="35"/>
  <c r="K11" i="34"/>
  <c r="J11" i="34"/>
  <c r="I11" i="34"/>
  <c r="K10" i="34"/>
  <c r="L10" i="34" s="1"/>
  <c r="J10" i="34"/>
  <c r="I10" i="34"/>
  <c r="M10" i="34" s="1"/>
  <c r="K9" i="34"/>
  <c r="L9" i="34" s="1"/>
  <c r="J9" i="34"/>
  <c r="I9" i="34"/>
  <c r="K8" i="34"/>
  <c r="J8" i="34"/>
  <c r="I8" i="34"/>
  <c r="K7" i="34"/>
  <c r="L7" i="34" s="1"/>
  <c r="C19" i="34" s="1"/>
  <c r="J7" i="34"/>
  <c r="I7" i="34"/>
  <c r="K6" i="34"/>
  <c r="J6" i="34"/>
  <c r="I6" i="34"/>
  <c r="K5" i="34"/>
  <c r="L5" i="34" s="1"/>
  <c r="J5" i="34"/>
  <c r="I5" i="34"/>
  <c r="P4" i="34"/>
  <c r="K4" i="34"/>
  <c r="L4" i="34" s="1"/>
  <c r="J4" i="34"/>
  <c r="I4" i="34"/>
  <c r="P4" i="33"/>
  <c r="K11" i="33"/>
  <c r="J11" i="33"/>
  <c r="I11" i="33"/>
  <c r="K10" i="33"/>
  <c r="J10" i="33"/>
  <c r="I10" i="33"/>
  <c r="K9" i="33"/>
  <c r="J9" i="33"/>
  <c r="I9" i="33"/>
  <c r="L9" i="33" s="1"/>
  <c r="N9" i="33" s="1"/>
  <c r="K8" i="33"/>
  <c r="J8" i="33"/>
  <c r="I8" i="33"/>
  <c r="M8" i="33" s="1"/>
  <c r="K7" i="33"/>
  <c r="J7" i="33"/>
  <c r="I7" i="33"/>
  <c r="K6" i="33"/>
  <c r="L6" i="33" s="1"/>
  <c r="J6" i="33"/>
  <c r="I6" i="33"/>
  <c r="K5" i="33"/>
  <c r="J5" i="33"/>
  <c r="I5" i="33"/>
  <c r="K4" i="33"/>
  <c r="J4" i="33"/>
  <c r="I4" i="33"/>
  <c r="M9" i="33" l="1"/>
  <c r="M7" i="35"/>
  <c r="L7" i="35"/>
  <c r="C19" i="35" s="1"/>
  <c r="L9" i="35"/>
  <c r="L8" i="34"/>
  <c r="L5" i="35"/>
  <c r="N5" i="35" s="1"/>
  <c r="M5" i="34"/>
  <c r="L6" i="34"/>
  <c r="L12" i="34" s="1"/>
  <c r="L13" i="34" s="1"/>
  <c r="M4" i="35"/>
  <c r="M5" i="35"/>
  <c r="X15" i="35" s="1"/>
  <c r="M11" i="35"/>
  <c r="M8" i="35"/>
  <c r="L4" i="35"/>
  <c r="M9" i="35"/>
  <c r="C18" i="35"/>
  <c r="N6" i="35"/>
  <c r="N8" i="35"/>
  <c r="C20" i="35"/>
  <c r="C23" i="35"/>
  <c r="N11" i="35"/>
  <c r="C22" i="35"/>
  <c r="N10" i="35"/>
  <c r="N4" i="35"/>
  <c r="C16" i="35"/>
  <c r="M6" i="35"/>
  <c r="M10" i="35"/>
  <c r="C17" i="35"/>
  <c r="C21" i="35"/>
  <c r="N9" i="35"/>
  <c r="N7" i="34"/>
  <c r="M11" i="34"/>
  <c r="M6" i="34"/>
  <c r="M7" i="34"/>
  <c r="M8" i="34"/>
  <c r="M9" i="34"/>
  <c r="L11" i="34"/>
  <c r="M4" i="34"/>
  <c r="C22" i="34"/>
  <c r="N10" i="34"/>
  <c r="N4" i="34"/>
  <c r="C16" i="34"/>
  <c r="P6" i="34"/>
  <c r="P7" i="34" s="1"/>
  <c r="C18" i="34"/>
  <c r="N6" i="34"/>
  <c r="N8" i="34"/>
  <c r="C20" i="34"/>
  <c r="C23" i="34"/>
  <c r="C17" i="34"/>
  <c r="C21" i="34"/>
  <c r="N5" i="34"/>
  <c r="N9" i="34"/>
  <c r="M10" i="33"/>
  <c r="M6" i="33"/>
  <c r="M4" i="33"/>
  <c r="L5" i="33"/>
  <c r="L4" i="33"/>
  <c r="L7" i="33"/>
  <c r="C19" i="33" s="1"/>
  <c r="L11" i="33"/>
  <c r="C23" i="33" s="1"/>
  <c r="M5" i="33"/>
  <c r="M11" i="33"/>
  <c r="M7" i="33"/>
  <c r="L8" i="33"/>
  <c r="N8" i="33" s="1"/>
  <c r="L10" i="33"/>
  <c r="N10" i="33" s="1"/>
  <c r="N6" i="33"/>
  <c r="C18" i="33"/>
  <c r="N7" i="33"/>
  <c r="C21" i="33"/>
  <c r="L12" i="35" l="1"/>
  <c r="L13" i="35" s="1"/>
  <c r="C27" i="35" s="1"/>
  <c r="N7" i="35"/>
  <c r="C27" i="34"/>
  <c r="X15" i="34"/>
  <c r="Y22" i="34" s="1"/>
  <c r="W32" i="34" s="1"/>
  <c r="Y24" i="34" s="1"/>
  <c r="O5" i="34" s="1"/>
  <c r="Q5" i="34" s="1"/>
  <c r="R5" i="34" s="1"/>
  <c r="Y22" i="35"/>
  <c r="W32" i="35" s="1"/>
  <c r="N12" i="35"/>
  <c r="S15" i="35" s="1"/>
  <c r="T22" i="35" s="1"/>
  <c r="R32" i="35" s="1"/>
  <c r="T28" i="35" s="1"/>
  <c r="O9" i="35" s="1"/>
  <c r="T27" i="35"/>
  <c r="O8" i="35" s="1"/>
  <c r="T29" i="35"/>
  <c r="O10" i="35" s="1"/>
  <c r="Y23" i="35"/>
  <c r="O4" i="35" s="1"/>
  <c r="Q4" i="35" s="1"/>
  <c r="R4" i="35" s="1"/>
  <c r="Y26" i="35"/>
  <c r="O7" i="35" s="1"/>
  <c r="Y25" i="35"/>
  <c r="O6" i="35" s="1"/>
  <c r="Y24" i="35"/>
  <c r="O5" i="35" s="1"/>
  <c r="Q5" i="35" s="1"/>
  <c r="R5" i="35" s="1"/>
  <c r="P6" i="35"/>
  <c r="N11" i="34"/>
  <c r="N12" i="34" s="1"/>
  <c r="S15" i="34" s="1"/>
  <c r="T22" i="34" s="1"/>
  <c r="R32" i="34" s="1"/>
  <c r="P8" i="34"/>
  <c r="Y25" i="34"/>
  <c r="O6" i="34" s="1"/>
  <c r="Q6" i="34" s="1"/>
  <c r="R6" i="34" s="1"/>
  <c r="C16" i="33"/>
  <c r="N4" i="33"/>
  <c r="L12" i="33"/>
  <c r="X15" i="33"/>
  <c r="Y22" i="33" s="1"/>
  <c r="W32" i="33" s="1"/>
  <c r="N5" i="33"/>
  <c r="C17" i="33"/>
  <c r="C22" i="33"/>
  <c r="N11" i="33"/>
  <c r="C20" i="33"/>
  <c r="Y26" i="33"/>
  <c r="O7" i="33" s="1"/>
  <c r="Y26" i="34" l="1"/>
  <c r="O7" i="34" s="1"/>
  <c r="Q7" i="34" s="1"/>
  <c r="R7" i="34" s="1"/>
  <c r="Y23" i="34"/>
  <c r="O4" i="34" s="1"/>
  <c r="Q4" i="34" s="1"/>
  <c r="R4" i="34" s="1"/>
  <c r="T30" i="35"/>
  <c r="O11" i="35" s="1"/>
  <c r="Q6" i="35"/>
  <c r="R6" i="35" s="1"/>
  <c r="P7" i="35"/>
  <c r="S9" i="34"/>
  <c r="D21" i="34" s="1"/>
  <c r="E21" i="34" s="1"/>
  <c r="S5" i="34"/>
  <c r="S10" i="34"/>
  <c r="D22" i="34" s="1"/>
  <c r="E22" i="34" s="1"/>
  <c r="S6" i="34"/>
  <c r="D18" i="34" s="1"/>
  <c r="E18" i="34" s="1"/>
  <c r="S11" i="34"/>
  <c r="D23" i="34" s="1"/>
  <c r="E23" i="34" s="1"/>
  <c r="S7" i="34"/>
  <c r="D19" i="34" s="1"/>
  <c r="E19" i="34" s="1"/>
  <c r="S8" i="34"/>
  <c r="D20" i="34" s="1"/>
  <c r="E20" i="34" s="1"/>
  <c r="S4" i="34"/>
  <c r="T28" i="34"/>
  <c r="O9" i="34" s="1"/>
  <c r="T27" i="34"/>
  <c r="O8" i="34" s="1"/>
  <c r="Q8" i="34" s="1"/>
  <c r="R8" i="34" s="1"/>
  <c r="T30" i="34"/>
  <c r="O11" i="34" s="1"/>
  <c r="T29" i="34"/>
  <c r="O10" i="34" s="1"/>
  <c r="P9" i="34"/>
  <c r="Y24" i="33"/>
  <c r="O5" i="33" s="1"/>
  <c r="Q5" i="33" s="1"/>
  <c r="R5" i="33" s="1"/>
  <c r="Y23" i="33"/>
  <c r="O4" i="33" s="1"/>
  <c r="Q4" i="33" s="1"/>
  <c r="R4" i="33" s="1"/>
  <c r="L13" i="33"/>
  <c r="C27" i="33" s="1"/>
  <c r="P6" i="33"/>
  <c r="P7" i="33" s="1"/>
  <c r="P8" i="33" s="1"/>
  <c r="P9" i="33" s="1"/>
  <c r="P10" i="33" s="1"/>
  <c r="P11" i="33" s="1"/>
  <c r="N12" i="33"/>
  <c r="S15" i="33" s="1"/>
  <c r="Y25" i="33"/>
  <c r="O6" i="33" s="1"/>
  <c r="D17" i="34" l="1"/>
  <c r="E17" i="34" s="1"/>
  <c r="S12" i="34"/>
  <c r="S13" i="34" s="1"/>
  <c r="Q7" i="35"/>
  <c r="R7" i="35" s="1"/>
  <c r="P8" i="35"/>
  <c r="S9" i="35"/>
  <c r="D21" i="35" s="1"/>
  <c r="C8" i="42" s="1"/>
  <c r="S5" i="35"/>
  <c r="S10" i="35"/>
  <c r="D22" i="35" s="1"/>
  <c r="C9" i="42" s="1"/>
  <c r="S6" i="35"/>
  <c r="D18" i="35" s="1"/>
  <c r="C5" i="42" s="1"/>
  <c r="S11" i="35"/>
  <c r="S7" i="35"/>
  <c r="D19" i="35" s="1"/>
  <c r="C6" i="42" s="1"/>
  <c r="S8" i="35"/>
  <c r="D20" i="35" s="1"/>
  <c r="C7" i="42" s="1"/>
  <c r="S4" i="35"/>
  <c r="D16" i="34"/>
  <c r="E16" i="34" s="1"/>
  <c r="D27" i="34"/>
  <c r="Q9" i="34"/>
  <c r="R9" i="34" s="1"/>
  <c r="P10" i="34"/>
  <c r="Q6" i="33"/>
  <c r="R6" i="33" s="1"/>
  <c r="Q7" i="33"/>
  <c r="R7" i="33" s="1"/>
  <c r="T22" i="33"/>
  <c r="R32" i="33" s="1"/>
  <c r="D17" i="35" l="1"/>
  <c r="C4" i="42" s="1"/>
  <c r="S12" i="35"/>
  <c r="S5" i="33"/>
  <c r="E27" i="34"/>
  <c r="S9" i="33"/>
  <c r="D21" i="33" s="1"/>
  <c r="E21" i="33" s="1"/>
  <c r="S10" i="33"/>
  <c r="D22" i="33" s="1"/>
  <c r="E22" i="33" s="1"/>
  <c r="S4" i="33"/>
  <c r="S11" i="33"/>
  <c r="D23" i="33" s="1"/>
  <c r="E23" i="33" s="1"/>
  <c r="E21" i="35"/>
  <c r="E18" i="35"/>
  <c r="E22" i="35"/>
  <c r="E20" i="35"/>
  <c r="E19" i="35"/>
  <c r="E17" i="35"/>
  <c r="D23" i="35"/>
  <c r="C10" i="42" s="1"/>
  <c r="S13" i="35"/>
  <c r="D27" i="35" s="1"/>
  <c r="D16" i="35"/>
  <c r="C3" i="42" s="1"/>
  <c r="C20" i="42" s="1"/>
  <c r="Q8" i="35"/>
  <c r="R8" i="35" s="1"/>
  <c r="P9" i="35"/>
  <c r="Q10" i="34"/>
  <c r="R10" i="34" s="1"/>
  <c r="P11" i="34"/>
  <c r="Q11" i="34" s="1"/>
  <c r="R11" i="34" s="1"/>
  <c r="S8" i="33"/>
  <c r="D20" i="33" s="1"/>
  <c r="E20" i="33" s="1"/>
  <c r="S6" i="33"/>
  <c r="D18" i="33" s="1"/>
  <c r="E18" i="33" s="1"/>
  <c r="S7" i="33"/>
  <c r="D19" i="33" s="1"/>
  <c r="E19" i="33" s="1"/>
  <c r="D16" i="33"/>
  <c r="E16" i="33" s="1"/>
  <c r="T28" i="33"/>
  <c r="O9" i="33" s="1"/>
  <c r="Q9" i="33" s="1"/>
  <c r="R9" i="33" s="1"/>
  <c r="T27" i="33"/>
  <c r="O8" i="33" s="1"/>
  <c r="Q8" i="33" s="1"/>
  <c r="R8" i="33" s="1"/>
  <c r="T30" i="33"/>
  <c r="O11" i="33" s="1"/>
  <c r="Q11" i="33" s="1"/>
  <c r="R11" i="33" s="1"/>
  <c r="T29" i="33"/>
  <c r="O10" i="33" s="1"/>
  <c r="Q10" i="33" s="1"/>
  <c r="R10" i="33" s="1"/>
  <c r="C11" i="42" l="1"/>
  <c r="C17" i="42"/>
  <c r="C19" i="42"/>
  <c r="C22" i="42"/>
  <c r="S12" i="33"/>
  <c r="S13" i="33" s="1"/>
  <c r="D27" i="33" s="1"/>
  <c r="C16" i="42"/>
  <c r="D17" i="33"/>
  <c r="E17" i="33" s="1"/>
  <c r="C23" i="42"/>
  <c r="C21" i="42"/>
  <c r="C18" i="42"/>
  <c r="E27" i="33"/>
  <c r="E16" i="35"/>
  <c r="E27" i="35"/>
  <c r="E23" i="35"/>
  <c r="Q9" i="35"/>
  <c r="R9" i="35" s="1"/>
  <c r="P10" i="35"/>
  <c r="C24" i="42" l="1"/>
  <c r="Q10" i="35"/>
  <c r="R10" i="35" s="1"/>
  <c r="P11" i="35"/>
  <c r="Q11" i="35" s="1"/>
  <c r="R11" i="35" s="1"/>
</calcChain>
</file>

<file path=xl/sharedStrings.xml><?xml version="1.0" encoding="utf-8"?>
<sst xmlns="http://schemas.openxmlformats.org/spreadsheetml/2006/main" count="1343" uniqueCount="196">
  <si>
    <t>DATOS DE ENTRADA</t>
  </si>
  <si>
    <t>Grupo Etario</t>
  </si>
  <si>
    <t>Total mujeres</t>
  </si>
  <si>
    <t>10 a 14</t>
  </si>
  <si>
    <t xml:space="preserve">15 a 19 </t>
  </si>
  <si>
    <t xml:space="preserve">20 a 24 </t>
  </si>
  <si>
    <t xml:space="preserve">25 a 29 </t>
  </si>
  <si>
    <t xml:space="preserve">30 a 34 </t>
  </si>
  <si>
    <t xml:space="preserve">35 a 39 </t>
  </si>
  <si>
    <t xml:space="preserve">40 a 44 </t>
  </si>
  <si>
    <t xml:space="preserve">45 a 49 </t>
  </si>
  <si>
    <t xml:space="preserve">Total HNV </t>
  </si>
  <si>
    <t>P/F</t>
  </si>
  <si>
    <t>P1/P2</t>
  </si>
  <si>
    <t>x</t>
  </si>
  <si>
    <t>Total</t>
  </si>
  <si>
    <t>x*f(x)</t>
  </si>
  <si>
    <t>k</t>
  </si>
  <si>
    <t>15-20</t>
  </si>
  <si>
    <t>20-25</t>
  </si>
  <si>
    <t>25-30</t>
  </si>
  <si>
    <t>30-35</t>
  </si>
  <si>
    <t>35-40</t>
  </si>
  <si>
    <t>40-45</t>
  </si>
  <si>
    <t>45-50</t>
  </si>
  <si>
    <r>
      <t>f</t>
    </r>
    <r>
      <rPr>
        <i/>
        <vertAlign val="subscript"/>
        <sz val="12"/>
        <color indexed="8"/>
        <rFont val="Calibri"/>
        <family val="2"/>
        <scheme val="minor"/>
      </rPr>
      <t>i</t>
    </r>
    <r>
      <rPr>
        <i/>
        <sz val="12"/>
        <color indexed="8"/>
        <rFont val="Calibri"/>
        <family val="2"/>
        <scheme val="minor"/>
      </rPr>
      <t>*</t>
    </r>
  </si>
  <si>
    <r>
      <t>P</t>
    </r>
    <r>
      <rPr>
        <i/>
        <vertAlign val="subscript"/>
        <sz val="12"/>
        <color indexed="8"/>
        <rFont val="Calibri"/>
        <family val="2"/>
        <scheme val="minor"/>
      </rPr>
      <t>i</t>
    </r>
  </si>
  <si>
    <r>
      <t>f</t>
    </r>
    <r>
      <rPr>
        <i/>
        <vertAlign val="subscript"/>
        <sz val="12"/>
        <color indexed="8"/>
        <rFont val="Calibri"/>
        <family val="2"/>
        <scheme val="minor"/>
      </rPr>
      <t>i</t>
    </r>
  </si>
  <si>
    <t>Limite exacto del intervalo de edad</t>
  </si>
  <si>
    <t>Total de Mujeres</t>
  </si>
  <si>
    <t>Año anterior</t>
  </si>
  <si>
    <t>Nacidos vivos</t>
  </si>
  <si>
    <t>TFT sin corrección</t>
  </si>
  <si>
    <t>RESULTADOS</t>
  </si>
  <si>
    <t>Tasas específicas de fecundidad corregidas</t>
  </si>
  <si>
    <t>TFT corregida</t>
  </si>
  <si>
    <t>% de Corrección</t>
  </si>
  <si>
    <t>Tasas específicas de fecundidad sin corrección</t>
  </si>
  <si>
    <t>25 a 29</t>
  </si>
  <si>
    <t>35 a 39</t>
  </si>
  <si>
    <r>
      <t>F</t>
    </r>
    <r>
      <rPr>
        <i/>
        <vertAlign val="subscript"/>
        <sz val="12"/>
        <color indexed="8"/>
        <rFont val="Calibri"/>
        <family val="2"/>
        <scheme val="minor"/>
      </rPr>
      <t xml:space="preserve">i </t>
    </r>
    <r>
      <rPr>
        <i/>
        <sz val="12"/>
        <color indexed="8"/>
        <rFont val="Calibri"/>
        <family val="2"/>
        <scheme val="minor"/>
      </rPr>
      <t>= ϕ</t>
    </r>
    <r>
      <rPr>
        <i/>
        <vertAlign val="subscript"/>
        <sz val="12"/>
        <color indexed="8"/>
        <rFont val="Calibri"/>
        <family val="2"/>
        <scheme val="minor"/>
      </rPr>
      <t>i</t>
    </r>
    <r>
      <rPr>
        <i/>
        <sz val="12"/>
        <color indexed="8"/>
        <rFont val="Calibri"/>
        <family val="2"/>
        <scheme val="minor"/>
      </rPr>
      <t>+k</t>
    </r>
    <r>
      <rPr>
        <i/>
        <vertAlign val="subscript"/>
        <sz val="12"/>
        <color indexed="8"/>
        <rFont val="Calibri"/>
        <family val="2"/>
        <scheme val="minor"/>
      </rPr>
      <t>i</t>
    </r>
    <r>
      <rPr>
        <i/>
        <sz val="12"/>
        <color indexed="8"/>
        <rFont val="Calibri"/>
        <family val="2"/>
        <scheme val="minor"/>
      </rPr>
      <t>f</t>
    </r>
    <r>
      <rPr>
        <i/>
        <vertAlign val="subscript"/>
        <sz val="12"/>
        <color indexed="8"/>
        <rFont val="Calibri"/>
        <family val="2"/>
        <scheme val="minor"/>
      </rPr>
      <t>i</t>
    </r>
  </si>
  <si>
    <r>
      <t>ϕ</t>
    </r>
    <r>
      <rPr>
        <i/>
        <vertAlign val="subscript"/>
        <sz val="12"/>
        <color indexed="8"/>
        <rFont val="Calibri"/>
        <family val="2"/>
        <scheme val="minor"/>
      </rPr>
      <t>i</t>
    </r>
  </si>
  <si>
    <t>TFT Corregida</t>
  </si>
  <si>
    <t>Grupo etário</t>
  </si>
  <si>
    <t>15-19</t>
  </si>
  <si>
    <t xml:space="preserve">P1/P2 </t>
  </si>
  <si>
    <t>20-24</t>
  </si>
  <si>
    <t>25-29</t>
  </si>
  <si>
    <t>30-34</t>
  </si>
  <si>
    <t>35-39</t>
  </si>
  <si>
    <t>40-44</t>
  </si>
  <si>
    <t>45-49</t>
  </si>
  <si>
    <t>f1/f2</t>
  </si>
  <si>
    <t>m barra</t>
  </si>
  <si>
    <t>Grupo etario</t>
  </si>
  <si>
    <t>Factores multiplicativos de Brass</t>
  </si>
  <si>
    <t>INTERPOLACIÓN PARA ENCONTRAR LOS MULTIPLICADORES, SEGÚN LA EDAD PROMEDIO DE LA FECUNDIDAD</t>
  </si>
  <si>
    <t>Valores extremos próximos aL valor encontrado de P1/P2 -Tabla abaJo</t>
  </si>
  <si>
    <t xml:space="preserve">Edad média calculada </t>
  </si>
  <si>
    <t>INTERPOLACIÓN PARA ENCONTRAR LOS MULTIPLICADORES, SEGÚN LA SÉRIE P1/P2.</t>
  </si>
  <si>
    <t>Valores extremos próximos al valor encontrado de P1/P2 -Tabla abajo</t>
  </si>
  <si>
    <t>Tabla 1. Factores multiplicadores K para estimación del valor de la fecundidad acumulada para grupos quinquenales cuando los grupos son 6 meses más jóvenes que los grupos convencionales</t>
  </si>
  <si>
    <t>EDAD MEDIA</t>
  </si>
  <si>
    <t>K1</t>
  </si>
  <si>
    <t>K2</t>
  </si>
  <si>
    <t>K3</t>
  </si>
  <si>
    <t>K4</t>
  </si>
  <si>
    <t>K5</t>
  </si>
  <si>
    <t>K6</t>
  </si>
  <si>
    <t>K7</t>
  </si>
  <si>
    <t>Alfa</t>
  </si>
  <si>
    <t>Alfa=(x-x1)/(x2-x1)</t>
  </si>
  <si>
    <t>X1</t>
  </si>
  <si>
    <t>X2</t>
  </si>
  <si>
    <t>X</t>
  </si>
  <si>
    <t>K=alfa*(y2-y1)+y1</t>
  </si>
  <si>
    <t>HNV UA</t>
  </si>
  <si>
    <t>15 a 19 </t>
  </si>
  <si>
    <t>20 a 24 </t>
  </si>
  <si>
    <t>30 a 34 </t>
  </si>
  <si>
    <t>40 a 44 </t>
  </si>
  <si>
    <t>45 a 49 </t>
  </si>
  <si>
    <t>Grupos de Edad</t>
  </si>
  <si>
    <t>TGF</t>
  </si>
  <si>
    <t>10-14</t>
  </si>
  <si>
    <t>TOTAL NARP</t>
  </si>
  <si>
    <t>EEVV</t>
  </si>
  <si>
    <t>Censo sin corrección</t>
  </si>
  <si>
    <t>Brass P/F</t>
  </si>
  <si>
    <t>Relacional Gompertz</t>
  </si>
  <si>
    <t>K0</t>
  </si>
  <si>
    <t>-</t>
  </si>
  <si>
    <t>TFR2 (ENDS, 2015)</t>
  </si>
  <si>
    <t>Cabecera</t>
  </si>
  <si>
    <t>Resto</t>
  </si>
  <si>
    <t>B</t>
  </si>
  <si>
    <t>R</t>
  </si>
  <si>
    <t>A</t>
  </si>
  <si>
    <t>S</t>
  </si>
  <si>
    <t>O</t>
  </si>
  <si>
    <t>Indirectos</t>
  </si>
  <si>
    <t>Directos</t>
  </si>
  <si>
    <t>Con base en la estructura poblacional</t>
  </si>
  <si>
    <t>NARP</t>
  </si>
  <si>
    <t>L</t>
  </si>
  <si>
    <t>U</t>
  </si>
  <si>
    <t>N</t>
  </si>
  <si>
    <t>Tipo  de Método</t>
  </si>
  <si>
    <t>Método</t>
  </si>
  <si>
    <t>Rural (Centro Poblado y Rural Disperso)</t>
  </si>
  <si>
    <t>Urbano (Cabecera)</t>
  </si>
  <si>
    <t>Negra, Afrocolombiana, Raizal y Palenquera</t>
  </si>
  <si>
    <t>No étnica</t>
  </si>
  <si>
    <t>Basados en las preguntas censales</t>
  </si>
  <si>
    <t>Y</t>
  </si>
  <si>
    <t>Población</t>
  </si>
  <si>
    <t>Nacimientos</t>
  </si>
  <si>
    <t>TEFS</t>
  </si>
  <si>
    <t>NI</t>
  </si>
  <si>
    <t>NO - ÉTNICA</t>
  </si>
  <si>
    <t>Corregidos</t>
  </si>
  <si>
    <t>TOTAL</t>
  </si>
  <si>
    <t>Area / Pertenencia ëtnica</t>
  </si>
  <si>
    <t>Hauer y Schmertmann (iTGF+)</t>
  </si>
  <si>
    <t>Con base en la historia de nacimientos</t>
  </si>
  <si>
    <t>Urbano NARP</t>
  </si>
  <si>
    <t>Rural NARP</t>
  </si>
  <si>
    <t>Total NARP</t>
  </si>
  <si>
    <t>Urbano No Étnico</t>
  </si>
  <si>
    <t>Rural No Étnico</t>
  </si>
  <si>
    <t>Total No Étnico</t>
  </si>
  <si>
    <t>RURAL / URBANO</t>
  </si>
  <si>
    <t>Indígenas</t>
  </si>
  <si>
    <t>Tipo de estimación</t>
  </si>
  <si>
    <t>Fuente</t>
  </si>
  <si>
    <t>Año de referencia de la TGF</t>
  </si>
  <si>
    <t>2018 </t>
  </si>
  <si>
    <t>Elaboración propia para proyección</t>
  </si>
  <si>
    <t>Censal</t>
  </si>
  <si>
    <t>P/F Brass</t>
  </si>
  <si>
    <t>Elaboración propia para contraste</t>
  </si>
  <si>
    <t>Hauer &amp; Schmertmann (TGFi)</t>
  </si>
  <si>
    <t>Hauer &amp; Schmertmann (TGFi+)</t>
  </si>
  <si>
    <t>ENDS</t>
  </si>
  <si>
    <t>Schoumaker, 2013</t>
  </si>
  <si>
    <t>Obtenida en la literatura</t>
  </si>
  <si>
    <t>Postcensales DANE</t>
  </si>
  <si>
    <t>OPS, 2013</t>
  </si>
  <si>
    <t>Del Popolo, 2017</t>
  </si>
  <si>
    <t>HNV AA</t>
  </si>
  <si>
    <t>INSUMOS EN BRUTO</t>
  </si>
  <si>
    <t>POBLACIÓN POR SEXO</t>
  </si>
  <si>
    <t>gridade</t>
  </si>
  <si>
    <t>Hombre</t>
  </si>
  <si>
    <t>Mujer</t>
  </si>
  <si>
    <t>15 a 19</t>
  </si>
  <si>
    <t>20 a 24</t>
  </si>
  <si>
    <t>30 a 34</t>
  </si>
  <si>
    <t>40 a 44</t>
  </si>
  <si>
    <t>45 a 49</t>
  </si>
  <si>
    <t>Filhos tidos por parturição e grupo etário de todas as mulheres em 2000</t>
  </si>
  <si>
    <t>GRUPOS DE IDADE</t>
  </si>
  <si>
    <t>Filhos</t>
  </si>
  <si>
    <t/>
  </si>
  <si>
    <t>Sin</t>
  </si>
  <si>
    <t>Hij ult_mes</t>
  </si>
  <si>
    <t>ULT AÑO</t>
  </si>
  <si>
    <t xml:space="preserve">. </t>
  </si>
  <si>
    <t>HNUA</t>
  </si>
  <si>
    <t>NACIDOS VIVOS POR PERTENENCIA ÉTNICA Y GRUPO DE EDAD DE LA MADRE</t>
  </si>
  <si>
    <t>Edada de la Madre</t>
  </si>
  <si>
    <t>Indígena</t>
  </si>
  <si>
    <t>Rom</t>
  </si>
  <si>
    <t>Raizal</t>
  </si>
  <si>
    <t>Palenquero</t>
  </si>
  <si>
    <t>Negro</t>
  </si>
  <si>
    <t>Sin Pertenecia</t>
  </si>
  <si>
    <t>50 a 54</t>
  </si>
  <si>
    <t>Sin información</t>
  </si>
  <si>
    <t>Distribuyendo missing</t>
  </si>
  <si>
    <t>Sin Pertenecia / Sin Información</t>
  </si>
  <si>
    <t>Mujeres por Grupo de edad quinquenal, CNPV 2018</t>
  </si>
  <si>
    <t>Grupo de edad quinquenal</t>
  </si>
  <si>
    <t>Gitano(a) o Rrom</t>
  </si>
  <si>
    <t>Raizal del Archipiélago de San Andrés, Providencia y Santa Catalina</t>
  </si>
  <si>
    <t>Palenquero(a) de San Basilio</t>
  </si>
  <si>
    <t>Negro(a), mulato(a), afrodescendiente, afrocolombiano(a)</t>
  </si>
  <si>
    <t>Ningún grupo étnico</t>
  </si>
  <si>
    <t>Sin información de pertenencia étnica</t>
  </si>
  <si>
    <t>Población total</t>
  </si>
  <si>
    <t>TEF'S Según grupo de edad quinquenal de las mujeres y pertenecia étnica de los nacidos vivos</t>
  </si>
  <si>
    <t>Ningún grupo étnico / sin Información</t>
  </si>
  <si>
    <t>Nacidos Vivos NARP</t>
  </si>
  <si>
    <t>Mujeres Narp, CNPV 2018</t>
  </si>
  <si>
    <t>TEF</t>
  </si>
  <si>
    <t>INDÍGENA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</si>
</sst>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.0000"/>
    <numFmt numFmtId="165" formatCode="0.000"/>
    <numFmt numFmtId="166" formatCode="0.0"/>
    <numFmt numFmtId="167" formatCode="0.0%"/>
    <numFmt numFmtId="168" formatCode="0.00000"/>
    <numFmt numFmtId="169" formatCode="_ * #,##0_ ;_ * \-#,##0_ ;_ * &quot;-&quot;??_ ;_ @_ "/>
    <numFmt numFmtId="170" formatCode="##\ ###\ ###\ ###\ ##0"/>
    <numFmt numFmtId="171" formatCode="#,##0.0000"/>
    <numFmt numFmtId="172" formatCode="#,##0.000"/>
  </numFmts>
  <fonts count="3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2"/>
      <color indexed="8"/>
      <name val="Calibri"/>
      <family val="2"/>
      <scheme val="minor"/>
    </font>
    <font>
      <i/>
      <vertAlign val="subscript"/>
      <sz val="12"/>
      <color indexed="8"/>
      <name val="Calibri"/>
      <family val="2"/>
      <scheme val="minor"/>
    </font>
    <font>
      <sz val="8"/>
      <name val="Courier"/>
      <family val="3"/>
    </font>
    <font>
      <b/>
      <sz val="10"/>
      <color indexed="1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8"/>
      <name val="Calibri"/>
      <family val="2"/>
    </font>
    <font>
      <i/>
      <sz val="10"/>
      <name val="Calibri"/>
      <family val="2"/>
    </font>
    <font>
      <sz val="10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0"/>
      <color rgb="FF000000"/>
      <name val="Helvetica"/>
      <family val="2"/>
    </font>
    <font>
      <b/>
      <sz val="11"/>
      <color rgb="FF000000"/>
      <name val="Verdana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8"/>
      <color theme="0"/>
      <name val="Segoe UI"/>
      <family val="2"/>
    </font>
    <font>
      <u/>
      <sz val="11"/>
      <color theme="10"/>
      <name val="Calibri"/>
      <family val="2"/>
      <scheme val="minor"/>
    </font>
    <font>
      <b/>
      <sz val="8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Segoe UI"/>
      <family val="2"/>
    </font>
    <font>
      <sz val="9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0"/>
      <name val="Arial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7FB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AD96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31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65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4" fillId="0" borderId="0" applyFont="0" applyFill="0" applyBorder="0" applyAlignment="0" applyProtection="0"/>
    <xf numFmtId="0" fontId="17" fillId="0" borderId="0"/>
    <xf numFmtId="0" fontId="18" fillId="0" borderId="0"/>
    <xf numFmtId="9" fontId="18" fillId="0" borderId="0" applyFont="0" applyFill="0" applyBorder="0" applyAlignment="0" applyProtection="0"/>
    <xf numFmtId="0" fontId="21" fillId="0" borderId="0" applyNumberFormat="0" applyFill="0" applyBorder="0" applyAlignment="0" applyProtection="0"/>
    <xf numFmtId="43" fontId="14" fillId="0" borderId="0" applyFont="0" applyFill="0" applyBorder="0" applyAlignment="0" applyProtection="0"/>
  </cellStyleXfs>
  <cellXfs count="322">
    <xf numFmtId="0" fontId="0" fillId="0" borderId="0" xfId="0"/>
    <xf numFmtId="0" fontId="0" fillId="2" borderId="0" xfId="0" applyFill="1"/>
    <xf numFmtId="0" fontId="1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9" fillId="0" borderId="0" xfId="237" applyFont="1" applyAlignment="1">
      <alignment horizontal="center" vertical="center"/>
    </xf>
    <xf numFmtId="0" fontId="10" fillId="8" borderId="22" xfId="237" applyFont="1" applyFill="1" applyBorder="1" applyAlignment="1">
      <alignment horizontal="center" vertical="center"/>
    </xf>
    <xf numFmtId="0" fontId="9" fillId="0" borderId="20" xfId="237" applyFont="1" applyBorder="1" applyAlignment="1">
      <alignment horizontal="center" vertical="center"/>
    </xf>
    <xf numFmtId="165" fontId="9" fillId="0" borderId="13" xfId="237" applyNumberFormat="1" applyFont="1" applyBorder="1" applyAlignment="1">
      <alignment horizontal="center" vertical="center"/>
    </xf>
    <xf numFmtId="0" fontId="10" fillId="0" borderId="0" xfId="237" applyFont="1" applyAlignment="1">
      <alignment horizontal="center" vertical="center"/>
    </xf>
    <xf numFmtId="0" fontId="10" fillId="8" borderId="30" xfId="237" applyFont="1" applyFill="1" applyBorder="1" applyAlignment="1">
      <alignment horizontal="center" vertical="center"/>
    </xf>
    <xf numFmtId="0" fontId="9" fillId="9" borderId="29" xfId="237" applyFont="1" applyFill="1" applyBorder="1" applyAlignment="1">
      <alignment horizontal="center" vertical="center"/>
    </xf>
    <xf numFmtId="165" fontId="9" fillId="9" borderId="29" xfId="237" applyNumberFormat="1" applyFont="1" applyFill="1" applyBorder="1" applyAlignment="1">
      <alignment horizontal="center" vertical="center"/>
    </xf>
    <xf numFmtId="0" fontId="9" fillId="0" borderId="6" xfId="237" applyFont="1" applyBorder="1" applyAlignment="1">
      <alignment horizontal="center" vertical="center"/>
    </xf>
    <xf numFmtId="165" fontId="9" fillId="0" borderId="32" xfId="237" applyNumberFormat="1" applyFont="1" applyBorder="1" applyAlignment="1">
      <alignment horizontal="center" vertical="center"/>
    </xf>
    <xf numFmtId="0" fontId="10" fillId="0" borderId="20" xfId="237" applyFont="1" applyBorder="1" applyAlignment="1">
      <alignment horizontal="center" vertical="center"/>
    </xf>
    <xf numFmtId="0" fontId="10" fillId="0" borderId="6" xfId="237" applyFont="1" applyBorder="1" applyAlignment="1">
      <alignment horizontal="center" vertical="center"/>
    </xf>
    <xf numFmtId="0" fontId="9" fillId="9" borderId="5" xfId="237" applyFont="1" applyFill="1" applyBorder="1" applyAlignment="1">
      <alignment horizontal="center" vertical="center"/>
    </xf>
    <xf numFmtId="165" fontId="9" fillId="9" borderId="5" xfId="237" applyNumberFormat="1" applyFont="1" applyFill="1" applyBorder="1" applyAlignment="1">
      <alignment horizontal="center" vertical="center"/>
    </xf>
    <xf numFmtId="165" fontId="9" fillId="2" borderId="14" xfId="237" applyNumberFormat="1" applyFont="1" applyFill="1" applyBorder="1" applyAlignment="1">
      <alignment horizontal="center" vertical="center"/>
    </xf>
    <xf numFmtId="165" fontId="10" fillId="0" borderId="14" xfId="237" applyNumberFormat="1" applyFont="1" applyBorder="1" applyAlignment="1">
      <alignment horizontal="center" vertical="center"/>
    </xf>
    <xf numFmtId="165" fontId="10" fillId="13" borderId="14" xfId="237" applyNumberFormat="1" applyFont="1" applyFill="1" applyBorder="1" applyAlignment="1">
      <alignment horizontal="center" vertical="center"/>
    </xf>
    <xf numFmtId="165" fontId="11" fillId="13" borderId="14" xfId="237" applyNumberFormat="1" applyFont="1" applyFill="1" applyBorder="1" applyAlignment="1">
      <alignment horizontal="center" vertical="center"/>
    </xf>
    <xf numFmtId="165" fontId="9" fillId="13" borderId="14" xfId="237" applyNumberFormat="1" applyFont="1" applyFill="1" applyBorder="1" applyAlignment="1">
      <alignment horizontal="center" vertical="center"/>
    </xf>
    <xf numFmtId="165" fontId="13" fillId="13" borderId="14" xfId="237" applyNumberFormat="1" applyFont="1" applyFill="1" applyBorder="1" applyAlignment="1">
      <alignment horizontal="center" vertical="center"/>
    </xf>
    <xf numFmtId="165" fontId="10" fillId="7" borderId="36" xfId="237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right"/>
    </xf>
    <xf numFmtId="165" fontId="4" fillId="0" borderId="29" xfId="0" applyNumberFormat="1" applyFont="1" applyBorder="1" applyAlignment="1">
      <alignment horizontal="right"/>
    </xf>
    <xf numFmtId="0" fontId="10" fillId="9" borderId="4" xfId="237" applyFont="1" applyFill="1" applyBorder="1" applyAlignment="1">
      <alignment horizontal="center" vertical="center" wrapText="1"/>
    </xf>
    <xf numFmtId="165" fontId="4" fillId="0" borderId="30" xfId="0" applyNumberFormat="1" applyFont="1" applyBorder="1" applyAlignment="1">
      <alignment horizontal="right"/>
    </xf>
    <xf numFmtId="49" fontId="4" fillId="0" borderId="41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165" fontId="4" fillId="0" borderId="21" xfId="0" applyNumberFormat="1" applyFont="1" applyBorder="1" applyAlignment="1">
      <alignment horizontal="right"/>
    </xf>
    <xf numFmtId="0" fontId="4" fillId="0" borderId="6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right"/>
    </xf>
    <xf numFmtId="165" fontId="4" fillId="0" borderId="14" xfId="0" applyNumberFormat="1" applyFont="1" applyBorder="1" applyAlignment="1">
      <alignment horizontal="right"/>
    </xf>
    <xf numFmtId="165" fontId="4" fillId="0" borderId="4" xfId="0" applyNumberFormat="1" applyFont="1" applyBorder="1" applyAlignment="1">
      <alignment horizontal="right"/>
    </xf>
    <xf numFmtId="0" fontId="1" fillId="12" borderId="8" xfId="0" applyFont="1" applyFill="1" applyBorder="1" applyAlignment="1">
      <alignment vertical="center"/>
    </xf>
    <xf numFmtId="0" fontId="1" fillId="7" borderId="8" xfId="0" applyFont="1" applyFill="1" applyBorder="1" applyAlignment="1">
      <alignment vertic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2" fontId="4" fillId="2" borderId="6" xfId="0" applyNumberFormat="1" applyFont="1" applyFill="1" applyBorder="1" applyAlignment="1">
      <alignment vertical="center"/>
    </xf>
    <xf numFmtId="165" fontId="4" fillId="0" borderId="5" xfId="0" applyNumberFormat="1" applyFont="1" applyBorder="1" applyAlignment="1">
      <alignment horizontal="right"/>
    </xf>
    <xf numFmtId="165" fontId="9" fillId="0" borderId="14" xfId="237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20" xfId="0" applyBorder="1" applyAlignment="1">
      <alignment horizontal="center"/>
    </xf>
    <xf numFmtId="1" fontId="0" fillId="0" borderId="21" xfId="0" applyNumberFormat="1" applyBorder="1"/>
    <xf numFmtId="0" fontId="4" fillId="0" borderId="0" xfId="0" applyFont="1" applyAlignment="1">
      <alignment horizontal="center"/>
    </xf>
    <xf numFmtId="3" fontId="0" fillId="0" borderId="0" xfId="0" applyNumberFormat="1"/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0" fillId="0" borderId="6" xfId="0" applyBorder="1" applyAlignment="1">
      <alignment horizontal="center"/>
    </xf>
    <xf numFmtId="1" fontId="4" fillId="0" borderId="14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1" xfId="0" applyNumberFormat="1" applyBorder="1" applyAlignment="1">
      <alignment horizontal="right"/>
    </xf>
    <xf numFmtId="2" fontId="0" fillId="12" borderId="31" xfId="0" applyNumberFormat="1" applyFill="1" applyBorder="1" applyAlignment="1">
      <alignment vertical="center"/>
    </xf>
    <xf numFmtId="165" fontId="0" fillId="7" borderId="31" xfId="0" applyNumberFormat="1" applyFill="1" applyBorder="1" applyAlignment="1">
      <alignment vertical="center"/>
    </xf>
    <xf numFmtId="164" fontId="0" fillId="0" borderId="0" xfId="0" applyNumberFormat="1"/>
    <xf numFmtId="166" fontId="0" fillId="0" borderId="21" xfId="0" applyNumberFormat="1" applyBorder="1"/>
    <xf numFmtId="165" fontId="9" fillId="0" borderId="0" xfId="237" applyNumberFormat="1" applyFont="1" applyAlignment="1">
      <alignment horizontal="center" vertical="center"/>
    </xf>
    <xf numFmtId="165" fontId="10" fillId="0" borderId="0" xfId="237" applyNumberFormat="1" applyFont="1" applyAlignment="1">
      <alignment horizontal="center" vertical="center"/>
    </xf>
    <xf numFmtId="165" fontId="11" fillId="0" borderId="0" xfId="237" applyNumberFormat="1" applyFont="1" applyAlignment="1">
      <alignment horizontal="center" vertical="center"/>
    </xf>
    <xf numFmtId="165" fontId="13" fillId="0" borderId="0" xfId="237" applyNumberFormat="1" applyFont="1" applyAlignment="1">
      <alignment horizontal="center" vertical="center"/>
    </xf>
    <xf numFmtId="165" fontId="9" fillId="0" borderId="21" xfId="237" applyNumberFormat="1" applyFont="1" applyBorder="1" applyAlignment="1">
      <alignment horizontal="center" vertical="center"/>
    </xf>
    <xf numFmtId="165" fontId="9" fillId="11" borderId="0" xfId="237" applyNumberFormat="1" applyFont="1" applyFill="1" applyAlignment="1">
      <alignment horizontal="center" vertical="center"/>
    </xf>
    <xf numFmtId="165" fontId="0" fillId="0" borderId="0" xfId="0" applyNumberFormat="1"/>
    <xf numFmtId="164" fontId="0" fillId="0" borderId="14" xfId="0" applyNumberFormat="1" applyBorder="1"/>
    <xf numFmtId="166" fontId="0" fillId="0" borderId="4" xfId="0" applyNumberFormat="1" applyBorder="1"/>
    <xf numFmtId="165" fontId="11" fillId="0" borderId="14" xfId="237" applyNumberFormat="1" applyFont="1" applyBorder="1" applyAlignment="1">
      <alignment horizontal="center" vertical="center"/>
    </xf>
    <xf numFmtId="165" fontId="13" fillId="0" borderId="14" xfId="237" applyNumberFormat="1" applyFont="1" applyBorder="1" applyAlignment="1">
      <alignment horizontal="center" vertical="center"/>
    </xf>
    <xf numFmtId="165" fontId="9" fillId="0" borderId="4" xfId="237" applyNumberFormat="1" applyFont="1" applyBorder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2" fontId="0" fillId="0" borderId="14" xfId="0" applyNumberFormat="1" applyBorder="1" applyAlignment="1">
      <alignment vertical="center" wrapText="1"/>
    </xf>
    <xf numFmtId="165" fontId="9" fillId="2" borderId="0" xfId="237" applyNumberFormat="1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0" fillId="0" borderId="39" xfId="0" applyBorder="1"/>
    <xf numFmtId="0" fontId="0" fillId="0" borderId="37" xfId="0" applyBorder="1"/>
    <xf numFmtId="0" fontId="0" fillId="0" borderId="38" xfId="0" applyBorder="1"/>
    <xf numFmtId="0" fontId="0" fillId="0" borderId="7" xfId="0" applyBorder="1"/>
    <xf numFmtId="3" fontId="0" fillId="0" borderId="21" xfId="0" applyNumberFormat="1" applyBorder="1"/>
    <xf numFmtId="3" fontId="0" fillId="0" borderId="14" xfId="0" applyNumberFormat="1" applyBorder="1"/>
    <xf numFmtId="3" fontId="0" fillId="0" borderId="4" xfId="0" applyNumberFormat="1" applyBorder="1"/>
    <xf numFmtId="0" fontId="16" fillId="0" borderId="0" xfId="0" applyFont="1"/>
    <xf numFmtId="0" fontId="0" fillId="0" borderId="0" xfId="0" applyAlignment="1">
      <alignment vertical="center"/>
    </xf>
    <xf numFmtId="0" fontId="15" fillId="0" borderId="0" xfId="0" applyFont="1" applyAlignment="1">
      <alignment vertical="center" wrapText="1"/>
    </xf>
    <xf numFmtId="2" fontId="1" fillId="0" borderId="0" xfId="0" applyNumberFormat="1" applyFont="1"/>
    <xf numFmtId="167" fontId="0" fillId="0" borderId="0" xfId="1652" applyNumberFormat="1" applyFont="1"/>
    <xf numFmtId="0" fontId="18" fillId="2" borderId="0" xfId="1654" applyFill="1"/>
    <xf numFmtId="0" fontId="18" fillId="0" borderId="0" xfId="1654"/>
    <xf numFmtId="165" fontId="13" fillId="11" borderId="0" xfId="237" applyNumberFormat="1" applyFont="1" applyFill="1" applyAlignment="1">
      <alignment horizontal="center" vertical="center"/>
    </xf>
    <xf numFmtId="0" fontId="20" fillId="15" borderId="44" xfId="0" applyFont="1" applyFill="1" applyBorder="1" applyAlignment="1">
      <alignment horizontal="center" vertical="center" wrapText="1"/>
    </xf>
    <xf numFmtId="0" fontId="20" fillId="15" borderId="45" xfId="0" applyFont="1" applyFill="1" applyBorder="1" applyAlignment="1">
      <alignment horizontal="center" vertical="center" wrapText="1"/>
    </xf>
    <xf numFmtId="0" fontId="18" fillId="11" borderId="0" xfId="1654" applyFill="1"/>
    <xf numFmtId="0" fontId="12" fillId="9" borderId="6" xfId="237" applyFont="1" applyFill="1" applyBorder="1" applyAlignment="1">
      <alignment horizontal="center" vertical="center" wrapText="1"/>
    </xf>
    <xf numFmtId="0" fontId="12" fillId="9" borderId="14" xfId="237" applyFont="1" applyFill="1" applyBorder="1" applyAlignment="1">
      <alignment horizontal="center" vertical="center" wrapText="1"/>
    </xf>
    <xf numFmtId="0" fontId="12" fillId="9" borderId="4" xfId="237" applyFont="1" applyFill="1" applyBorder="1" applyAlignment="1">
      <alignment horizontal="center" vertical="center" wrapText="1"/>
    </xf>
    <xf numFmtId="17" fontId="9" fillId="2" borderId="20" xfId="237" applyNumberFormat="1" applyFont="1" applyFill="1" applyBorder="1" applyAlignment="1">
      <alignment horizontal="center" vertical="center"/>
    </xf>
    <xf numFmtId="165" fontId="9" fillId="2" borderId="13" xfId="237" applyNumberFormat="1" applyFont="1" applyFill="1" applyBorder="1" applyAlignment="1">
      <alignment horizontal="center" vertical="center"/>
    </xf>
    <xf numFmtId="165" fontId="9" fillId="2" borderId="21" xfId="237" applyNumberFormat="1" applyFont="1" applyFill="1" applyBorder="1" applyAlignment="1">
      <alignment horizontal="center" vertical="center"/>
    </xf>
    <xf numFmtId="2" fontId="10" fillId="10" borderId="3" xfId="237" applyNumberFormat="1" applyFont="1" applyFill="1" applyBorder="1" applyAlignment="1">
      <alignment horizontal="center" vertical="center"/>
    </xf>
    <xf numFmtId="2" fontId="10" fillId="0" borderId="1" xfId="237" applyNumberFormat="1" applyFont="1" applyBorder="1" applyAlignment="1">
      <alignment horizontal="center" vertical="center"/>
    </xf>
    <xf numFmtId="0" fontId="9" fillId="0" borderId="29" xfId="237" applyFont="1" applyBorder="1" applyAlignment="1">
      <alignment horizontal="center" vertical="center"/>
    </xf>
    <xf numFmtId="165" fontId="10" fillId="2" borderId="0" xfId="237" applyNumberFormat="1" applyFont="1" applyFill="1" applyAlignment="1">
      <alignment horizontal="center" vertical="center"/>
    </xf>
    <xf numFmtId="167" fontId="1" fillId="0" borderId="0" xfId="1652" applyNumberFormat="1" applyFont="1"/>
    <xf numFmtId="0" fontId="0" fillId="11" borderId="0" xfId="0" applyFill="1"/>
    <xf numFmtId="168" fontId="0" fillId="0" borderId="0" xfId="0" applyNumberFormat="1"/>
    <xf numFmtId="0" fontId="18" fillId="0" borderId="0" xfId="1654" applyAlignment="1">
      <alignment vertical="center"/>
    </xf>
    <xf numFmtId="2" fontId="18" fillId="16" borderId="0" xfId="1654" applyNumberFormat="1" applyFill="1" applyAlignment="1">
      <alignment horizontal="center" vertical="center"/>
    </xf>
    <xf numFmtId="2" fontId="18" fillId="17" borderId="0" xfId="1654" applyNumberFormat="1" applyFill="1" applyAlignment="1">
      <alignment horizontal="center" vertical="center"/>
    </xf>
    <xf numFmtId="2" fontId="18" fillId="17" borderId="49" xfId="1654" applyNumberFormat="1" applyFill="1" applyBorder="1" applyAlignment="1">
      <alignment horizontal="center" vertical="center"/>
    </xf>
    <xf numFmtId="2" fontId="18" fillId="16" borderId="49" xfId="1654" applyNumberFormat="1" applyFill="1" applyBorder="1" applyAlignment="1">
      <alignment horizontal="center" vertical="center"/>
    </xf>
    <xf numFmtId="2" fontId="18" fillId="17" borderId="13" xfId="1654" applyNumberFormat="1" applyFill="1" applyBorder="1" applyAlignment="1">
      <alignment horizontal="center" vertical="center"/>
    </xf>
    <xf numFmtId="2" fontId="18" fillId="16" borderId="13" xfId="1654" applyNumberFormat="1" applyFill="1" applyBorder="1" applyAlignment="1">
      <alignment horizontal="center" vertical="center"/>
    </xf>
    <xf numFmtId="2" fontId="18" fillId="13" borderId="9" xfId="1654" applyNumberFormat="1" applyFill="1" applyBorder="1" applyAlignment="1">
      <alignment horizontal="center" vertical="center"/>
    </xf>
    <xf numFmtId="2" fontId="18" fillId="13" borderId="50" xfId="1654" applyNumberFormat="1" applyFill="1" applyBorder="1" applyAlignment="1">
      <alignment horizontal="center" vertical="center"/>
    </xf>
    <xf numFmtId="2" fontId="18" fillId="13" borderId="52" xfId="1654" applyNumberFormat="1" applyFill="1" applyBorder="1" applyAlignment="1">
      <alignment horizontal="center" vertical="center"/>
    </xf>
    <xf numFmtId="0" fontId="19" fillId="0" borderId="0" xfId="1654" applyFont="1"/>
    <xf numFmtId="0" fontId="20" fillId="0" borderId="44" xfId="0" applyFont="1" applyBorder="1" applyAlignment="1">
      <alignment horizontal="center" vertical="center" wrapText="1"/>
    </xf>
    <xf numFmtId="0" fontId="23" fillId="22" borderId="54" xfId="0" applyFont="1" applyFill="1" applyBorder="1"/>
    <xf numFmtId="0" fontId="24" fillId="0" borderId="44" xfId="0" applyFont="1" applyBorder="1" applyAlignment="1">
      <alignment horizontal="center" vertical="center" wrapText="1"/>
    </xf>
    <xf numFmtId="1" fontId="0" fillId="0" borderId="0" xfId="0" applyNumberFormat="1"/>
    <xf numFmtId="0" fontId="23" fillId="22" borderId="0" xfId="0" applyFont="1" applyFill="1"/>
    <xf numFmtId="2" fontId="18" fillId="20" borderId="51" xfId="1654" applyNumberFormat="1" applyFill="1" applyBorder="1" applyAlignment="1">
      <alignment horizontal="center" vertical="center"/>
    </xf>
    <xf numFmtId="2" fontId="18" fillId="20" borderId="10" xfId="1654" applyNumberFormat="1" applyFill="1" applyBorder="1" applyAlignment="1">
      <alignment horizontal="center" vertical="center"/>
    </xf>
    <xf numFmtId="2" fontId="18" fillId="20" borderId="48" xfId="1654" applyNumberFormat="1" applyFill="1" applyBorder="1" applyAlignment="1">
      <alignment horizontal="center" vertical="center"/>
    </xf>
    <xf numFmtId="2" fontId="18" fillId="16" borderId="48" xfId="1654" applyNumberFormat="1" applyFill="1" applyBorder="1" applyAlignment="1">
      <alignment horizontal="center" vertical="center"/>
    </xf>
    <xf numFmtId="2" fontId="18" fillId="19" borderId="52" xfId="1654" applyNumberFormat="1" applyFill="1" applyBorder="1" applyAlignment="1">
      <alignment horizontal="center" vertical="center"/>
    </xf>
    <xf numFmtId="2" fontId="18" fillId="19" borderId="9" xfId="1654" applyNumberFormat="1" applyFill="1" applyBorder="1" applyAlignment="1">
      <alignment horizontal="center" vertical="center"/>
    </xf>
    <xf numFmtId="2" fontId="18" fillId="19" borderId="50" xfId="1654" applyNumberFormat="1" applyFill="1" applyBorder="1" applyAlignment="1">
      <alignment horizontal="center" vertical="center"/>
    </xf>
    <xf numFmtId="0" fontId="18" fillId="16" borderId="51" xfId="1654" applyFill="1" applyBorder="1" applyAlignment="1">
      <alignment horizontal="center" vertical="center"/>
    </xf>
    <xf numFmtId="0" fontId="18" fillId="16" borderId="48" xfId="1654" applyFill="1" applyBorder="1" applyAlignment="1">
      <alignment horizontal="center" vertical="center"/>
    </xf>
    <xf numFmtId="0" fontId="25" fillId="21" borderId="51" xfId="1654" applyFont="1" applyFill="1" applyBorder="1" applyAlignment="1">
      <alignment horizontal="center" vertical="center" wrapText="1"/>
    </xf>
    <xf numFmtId="0" fontId="25" fillId="21" borderId="13" xfId="1654" applyFont="1" applyFill="1" applyBorder="1" applyAlignment="1">
      <alignment horizontal="center" vertical="center" wrapText="1"/>
    </xf>
    <xf numFmtId="0" fontId="25" fillId="21" borderId="11" xfId="1654" applyFont="1" applyFill="1" applyBorder="1" applyAlignment="1">
      <alignment horizontal="center" vertical="center" wrapText="1"/>
    </xf>
    <xf numFmtId="0" fontId="25" fillId="21" borderId="10" xfId="1654" applyFont="1" applyFill="1" applyBorder="1" applyAlignment="1">
      <alignment horizontal="center" vertical="center" wrapText="1"/>
    </xf>
    <xf numFmtId="0" fontId="25" fillId="21" borderId="52" xfId="1654" applyFont="1" applyFill="1" applyBorder="1" applyAlignment="1">
      <alignment horizontal="center" vertical="center" wrapText="1"/>
    </xf>
    <xf numFmtId="0" fontId="25" fillId="21" borderId="48" xfId="1654" applyFont="1" applyFill="1" applyBorder="1" applyAlignment="1">
      <alignment horizontal="center" vertical="center" wrapText="1"/>
    </xf>
    <xf numFmtId="0" fontId="18" fillId="17" borderId="0" xfId="1654" applyFill="1"/>
    <xf numFmtId="9" fontId="1" fillId="0" borderId="0" xfId="1652" applyFont="1"/>
    <xf numFmtId="168" fontId="18" fillId="2" borderId="0" xfId="1654" applyNumberFormat="1" applyFill="1"/>
    <xf numFmtId="2" fontId="18" fillId="2" borderId="0" xfId="1654" applyNumberFormat="1" applyFill="1"/>
    <xf numFmtId="167" fontId="18" fillId="2" borderId="0" xfId="1652" applyNumberFormat="1" applyFont="1" applyFill="1"/>
    <xf numFmtId="0" fontId="26" fillId="23" borderId="0" xfId="0" applyFont="1" applyFill="1" applyAlignment="1">
      <alignment vertical="center" wrapText="1"/>
    </xf>
    <xf numFmtId="0" fontId="26" fillId="0" borderId="0" xfId="0" applyFont="1" applyAlignment="1">
      <alignment vertical="center" wrapText="1"/>
    </xf>
    <xf numFmtId="0" fontId="28" fillId="14" borderId="9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0" fontId="30" fillId="0" borderId="10" xfId="0" applyFont="1" applyBorder="1" applyAlignment="1">
      <alignment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9" xfId="0" applyFont="1" applyBorder="1" applyAlignment="1">
      <alignment vertical="center" wrapText="1"/>
    </xf>
    <xf numFmtId="0" fontId="30" fillId="0" borderId="9" xfId="0" applyFont="1" applyBorder="1" applyAlignment="1">
      <alignment horizontal="center" vertical="center" wrapText="1"/>
    </xf>
    <xf numFmtId="2" fontId="30" fillId="0" borderId="0" xfId="0" applyNumberFormat="1" applyFont="1" applyAlignment="1">
      <alignment vertical="center" wrapText="1"/>
    </xf>
    <xf numFmtId="2" fontId="29" fillId="0" borderId="9" xfId="0" applyNumberFormat="1" applyFont="1" applyBorder="1" applyAlignment="1">
      <alignment vertical="center" wrapText="1"/>
    </xf>
    <xf numFmtId="0" fontId="31" fillId="0" borderId="0" xfId="0" applyFont="1" applyAlignment="1">
      <alignment vertical="center" wrapText="1"/>
    </xf>
    <xf numFmtId="1" fontId="4" fillId="0" borderId="10" xfId="0" applyNumberFormat="1" applyFont="1" applyBorder="1" applyAlignment="1">
      <alignment horizontal="right"/>
    </xf>
    <xf numFmtId="0" fontId="5" fillId="0" borderId="10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0" fillId="0" borderId="14" xfId="0" applyBorder="1"/>
    <xf numFmtId="1" fontId="0" fillId="0" borderId="4" xfId="0" applyNumberFormat="1" applyBorder="1"/>
    <xf numFmtId="0" fontId="0" fillId="0" borderId="21" xfId="0" applyBorder="1"/>
    <xf numFmtId="2" fontId="10" fillId="10" borderId="31" xfId="237" applyNumberFormat="1" applyFont="1" applyFill="1" applyBorder="1" applyAlignment="1">
      <alignment horizontal="center" vertical="center"/>
    </xf>
    <xf numFmtId="165" fontId="9" fillId="9" borderId="1" xfId="237" applyNumberFormat="1" applyFont="1" applyFill="1" applyBorder="1" applyAlignment="1">
      <alignment horizontal="center" vertical="center"/>
    </xf>
    <xf numFmtId="165" fontId="13" fillId="2" borderId="0" xfId="237" applyNumberFormat="1" applyFont="1" applyFill="1" applyAlignment="1">
      <alignment horizontal="center" vertical="center"/>
    </xf>
    <xf numFmtId="0" fontId="0" fillId="24" borderId="0" xfId="0" applyFill="1"/>
    <xf numFmtId="0" fontId="9" fillId="0" borderId="0" xfId="237" applyFont="1" applyAlignment="1">
      <alignment vertical="center"/>
    </xf>
    <xf numFmtId="3" fontId="9" fillId="0" borderId="0" xfId="237" applyNumberFormat="1" applyFont="1" applyAlignment="1">
      <alignment horizontal="center" vertical="center"/>
    </xf>
    <xf numFmtId="3" fontId="9" fillId="0" borderId="0" xfId="237" applyNumberFormat="1" applyFont="1" applyAlignment="1">
      <alignment vertical="center"/>
    </xf>
    <xf numFmtId="4" fontId="9" fillId="0" borderId="0" xfId="237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9" fillId="25" borderId="35" xfId="237" applyFont="1" applyFill="1" applyBorder="1" applyAlignment="1">
      <alignment horizontal="center" vertical="center"/>
    </xf>
    <xf numFmtId="0" fontId="9" fillId="0" borderId="2" xfId="237" applyFont="1" applyBorder="1" applyAlignment="1">
      <alignment horizontal="center" vertical="center"/>
    </xf>
    <xf numFmtId="0" fontId="9" fillId="0" borderId="24" xfId="237" applyFont="1" applyBorder="1" applyAlignment="1">
      <alignment horizontal="center" vertical="center"/>
    </xf>
    <xf numFmtId="0" fontId="9" fillId="0" borderId="25" xfId="237" applyFont="1" applyBorder="1" applyAlignment="1">
      <alignment horizontal="center" vertical="center"/>
    </xf>
    <xf numFmtId="0" fontId="9" fillId="25" borderId="56" xfId="237" applyFont="1" applyFill="1" applyBorder="1" applyAlignment="1">
      <alignment horizontal="center" vertical="center"/>
    </xf>
    <xf numFmtId="0" fontId="9" fillId="25" borderId="53" xfId="237" applyFont="1" applyFill="1" applyBorder="1" applyAlignment="1">
      <alignment horizontal="center" vertical="center"/>
    </xf>
    <xf numFmtId="0" fontId="9" fillId="25" borderId="57" xfId="237" applyFont="1" applyFill="1" applyBorder="1" applyAlignment="1">
      <alignment horizontal="center" vertical="center"/>
    </xf>
    <xf numFmtId="0" fontId="9" fillId="0" borderId="56" xfId="237" applyFont="1" applyBorder="1" applyAlignment="1">
      <alignment horizontal="center" vertical="center"/>
    </xf>
    <xf numFmtId="0" fontId="9" fillId="0" borderId="53" xfId="237" applyFont="1" applyBorder="1" applyAlignment="1">
      <alignment horizontal="center" vertical="center"/>
    </xf>
    <xf numFmtId="0" fontId="9" fillId="0" borderId="57" xfId="237" applyFont="1" applyBorder="1" applyAlignment="1">
      <alignment horizontal="center" vertical="center"/>
    </xf>
    <xf numFmtId="3" fontId="9" fillId="0" borderId="21" xfId="237" applyNumberFormat="1" applyFont="1" applyBorder="1" applyAlignment="1">
      <alignment horizontal="center" vertical="center"/>
    </xf>
    <xf numFmtId="3" fontId="9" fillId="0" borderId="14" xfId="237" applyNumberFormat="1" applyFont="1" applyBorder="1" applyAlignment="1">
      <alignment horizontal="center" vertical="center"/>
    </xf>
    <xf numFmtId="169" fontId="32" fillId="0" borderId="53" xfId="1657" applyNumberFormat="1" applyFont="1" applyBorder="1" applyProtection="1"/>
    <xf numFmtId="3" fontId="0" fillId="0" borderId="10" xfId="0" applyNumberFormat="1" applyBorder="1"/>
    <xf numFmtId="3" fontId="0" fillId="0" borderId="48" xfId="0" applyNumberFormat="1" applyBorder="1"/>
    <xf numFmtId="3" fontId="0" fillId="0" borderId="49" xfId="0" applyNumberFormat="1" applyBorder="1"/>
    <xf numFmtId="170" fontId="0" fillId="0" borderId="0" xfId="0" applyNumberFormat="1"/>
    <xf numFmtId="0" fontId="0" fillId="0" borderId="9" xfId="0" applyBorder="1"/>
    <xf numFmtId="0" fontId="0" fillId="0" borderId="49" xfId="0" applyBorder="1"/>
    <xf numFmtId="170" fontId="0" fillId="0" borderId="49" xfId="0" applyNumberFormat="1" applyBorder="1"/>
    <xf numFmtId="0" fontId="0" fillId="0" borderId="50" xfId="0" applyBorder="1"/>
    <xf numFmtId="0" fontId="33" fillId="14" borderId="44" xfId="0" applyFont="1" applyFill="1" applyBorder="1" applyAlignment="1">
      <alignment vertical="center" wrapText="1"/>
    </xf>
    <xf numFmtId="0" fontId="33" fillId="14" borderId="46" xfId="0" applyFont="1" applyFill="1" applyBorder="1" applyAlignment="1">
      <alignment vertical="center" wrapText="1"/>
    </xf>
    <xf numFmtId="0" fontId="34" fillId="0" borderId="0" xfId="0" applyFont="1"/>
    <xf numFmtId="3" fontId="34" fillId="0" borderId="0" xfId="0" applyNumberFormat="1" applyFont="1" applyAlignment="1">
      <alignment vertical="center"/>
    </xf>
    <xf numFmtId="3" fontId="34" fillId="0" borderId="0" xfId="0" applyNumberFormat="1" applyFont="1"/>
    <xf numFmtId="0" fontId="34" fillId="21" borderId="0" xfId="0" applyFont="1" applyFill="1"/>
    <xf numFmtId="3" fontId="34" fillId="21" borderId="0" xfId="0" applyNumberFormat="1" applyFont="1" applyFill="1" applyAlignment="1">
      <alignment vertical="center"/>
    </xf>
    <xf numFmtId="3" fontId="34" fillId="21" borderId="0" xfId="0" applyNumberFormat="1" applyFont="1" applyFill="1"/>
    <xf numFmtId="171" fontId="34" fillId="0" borderId="0" xfId="0" applyNumberFormat="1" applyFont="1" applyAlignment="1">
      <alignment vertical="center"/>
    </xf>
    <xf numFmtId="172" fontId="34" fillId="0" borderId="0" xfId="0" applyNumberFormat="1" applyFont="1"/>
    <xf numFmtId="0" fontId="1" fillId="14" borderId="0" xfId="0" applyFont="1" applyFill="1" applyAlignment="1">
      <alignment horizontal="center" vertical="center"/>
    </xf>
    <xf numFmtId="2" fontId="0" fillId="0" borderId="0" xfId="0" applyNumberFormat="1"/>
    <xf numFmtId="0" fontId="29" fillId="0" borderId="0" xfId="0" applyFont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7" fillId="14" borderId="10" xfId="0" applyFont="1" applyFill="1" applyBorder="1" applyAlignment="1">
      <alignment horizontal="center" vertical="center" wrapText="1"/>
    </xf>
    <xf numFmtId="0" fontId="27" fillId="14" borderId="9" xfId="0" applyFont="1" applyFill="1" applyBorder="1" applyAlignment="1">
      <alignment horizontal="center" vertical="center" wrapText="1"/>
    </xf>
    <xf numFmtId="0" fontId="28" fillId="14" borderId="10" xfId="0" applyFont="1" applyFill="1" applyBorder="1" applyAlignment="1">
      <alignment horizontal="center" vertical="center" wrapText="1"/>
    </xf>
    <xf numFmtId="0" fontId="28" fillId="14" borderId="9" xfId="0" applyFont="1" applyFill="1" applyBorder="1" applyAlignment="1">
      <alignment horizontal="center" vertical="center" wrapText="1"/>
    </xf>
    <xf numFmtId="0" fontId="27" fillId="14" borderId="53" xfId="0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18" fillId="14" borderId="46" xfId="1654" applyFill="1" applyBorder="1" applyAlignment="1">
      <alignment horizontal="center" vertical="center"/>
    </xf>
    <xf numFmtId="0" fontId="18" fillId="14" borderId="53" xfId="1654" applyFill="1" applyBorder="1" applyAlignment="1">
      <alignment horizontal="center" vertical="center"/>
    </xf>
    <xf numFmtId="0" fontId="18" fillId="14" borderId="47" xfId="1654" applyFill="1" applyBorder="1" applyAlignment="1">
      <alignment horizontal="center" vertical="center"/>
    </xf>
    <xf numFmtId="0" fontId="22" fillId="14" borderId="44" xfId="1654" applyFont="1" applyFill="1" applyBorder="1" applyAlignment="1">
      <alignment horizontal="center" vertical="center" wrapText="1"/>
    </xf>
    <xf numFmtId="0" fontId="25" fillId="21" borderId="10" xfId="1654" applyFont="1" applyFill="1" applyBorder="1" applyAlignment="1">
      <alignment horizontal="center" vertical="center" wrapText="1"/>
    </xf>
    <xf numFmtId="0" fontId="25" fillId="21" borderId="9" xfId="1654" applyFont="1" applyFill="1" applyBorder="1" applyAlignment="1">
      <alignment horizontal="center" vertical="center" wrapText="1"/>
    </xf>
    <xf numFmtId="0" fontId="25" fillId="21" borderId="51" xfId="1654" applyFont="1" applyFill="1" applyBorder="1" applyAlignment="1">
      <alignment horizontal="center" vertical="center"/>
    </xf>
    <xf numFmtId="0" fontId="25" fillId="21" borderId="48" xfId="1654" applyFont="1" applyFill="1" applyBorder="1" applyAlignment="1">
      <alignment horizontal="center" vertical="center"/>
    </xf>
    <xf numFmtId="0" fontId="25" fillId="21" borderId="52" xfId="1654" applyFont="1" applyFill="1" applyBorder="1" applyAlignment="1">
      <alignment horizontal="center" vertical="center"/>
    </xf>
    <xf numFmtId="0" fontId="25" fillId="21" borderId="50" xfId="1654" applyFont="1" applyFill="1" applyBorder="1" applyAlignment="1">
      <alignment horizontal="center" vertical="center"/>
    </xf>
    <xf numFmtId="0" fontId="25" fillId="21" borderId="44" xfId="1654" applyFont="1" applyFill="1" applyBorder="1" applyAlignment="1">
      <alignment horizontal="center" vertical="center"/>
    </xf>
    <xf numFmtId="0" fontId="25" fillId="21" borderId="45" xfId="1654" applyFont="1" applyFill="1" applyBorder="1" applyAlignment="1">
      <alignment horizontal="center" vertical="center"/>
    </xf>
    <xf numFmtId="0" fontId="25" fillId="21" borderId="12" xfId="1654" applyFont="1" applyFill="1" applyBorder="1" applyAlignment="1">
      <alignment horizontal="center" vertical="center"/>
    </xf>
    <xf numFmtId="0" fontId="22" fillId="14" borderId="51" xfId="1654" applyFont="1" applyFill="1" applyBorder="1" applyAlignment="1">
      <alignment horizontal="center" vertical="center"/>
    </xf>
    <xf numFmtId="0" fontId="22" fillId="14" borderId="48" xfId="1654" applyFont="1" applyFill="1" applyBorder="1" applyAlignment="1">
      <alignment horizontal="center" vertical="center"/>
    </xf>
    <xf numFmtId="0" fontId="22" fillId="14" borderId="13" xfId="1654" applyFont="1" applyFill="1" applyBorder="1" applyAlignment="1">
      <alignment horizontal="center" vertical="center"/>
    </xf>
    <xf numFmtId="0" fontId="22" fillId="14" borderId="49" xfId="1654" applyFont="1" applyFill="1" applyBorder="1" applyAlignment="1">
      <alignment horizontal="center" vertical="center"/>
    </xf>
    <xf numFmtId="0" fontId="22" fillId="14" borderId="52" xfId="1654" applyFont="1" applyFill="1" applyBorder="1" applyAlignment="1">
      <alignment horizontal="center" vertical="center"/>
    </xf>
    <xf numFmtId="0" fontId="22" fillId="14" borderId="50" xfId="1654" applyFont="1" applyFill="1" applyBorder="1" applyAlignment="1">
      <alignment horizontal="center" vertical="center"/>
    </xf>
    <xf numFmtId="0" fontId="22" fillId="14" borderId="45" xfId="1654" applyFont="1" applyFill="1" applyBorder="1" applyAlignment="1">
      <alignment horizontal="center" vertical="center" wrapText="1"/>
    </xf>
    <xf numFmtId="0" fontId="22" fillId="14" borderId="12" xfId="1654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33" fillId="11" borderId="46" xfId="0" applyFont="1" applyFill="1" applyBorder="1" applyAlignment="1">
      <alignment horizontal="center" vertical="center" wrapText="1"/>
    </xf>
    <xf numFmtId="0" fontId="33" fillId="11" borderId="53" xfId="0" applyFont="1" applyFill="1" applyBorder="1" applyAlignment="1">
      <alignment horizontal="center" vertical="center" wrapText="1"/>
    </xf>
    <xf numFmtId="0" fontId="0" fillId="17" borderId="0" xfId="0" applyFill="1" applyAlignment="1">
      <alignment horizontal="center"/>
    </xf>
    <xf numFmtId="0" fontId="9" fillId="25" borderId="24" xfId="237" applyFont="1" applyFill="1" applyBorder="1" applyAlignment="1">
      <alignment horizontal="center" vertical="center"/>
    </xf>
    <xf numFmtId="0" fontId="9" fillId="25" borderId="25" xfId="237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0" fillId="2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11" fillId="25" borderId="33" xfId="0" applyFont="1" applyFill="1" applyBorder="1" applyAlignment="1">
      <alignment horizontal="center" vertical="center"/>
    </xf>
    <xf numFmtId="0" fontId="11" fillId="25" borderId="34" xfId="0" applyFont="1" applyFill="1" applyBorder="1" applyAlignment="1">
      <alignment horizontal="center" vertical="center"/>
    </xf>
    <xf numFmtId="0" fontId="11" fillId="25" borderId="55" xfId="0" applyFont="1" applyFill="1" applyBorder="1" applyAlignment="1">
      <alignment horizontal="center" vertical="center"/>
    </xf>
    <xf numFmtId="0" fontId="8" fillId="0" borderId="2" xfId="237" applyFont="1" applyBorder="1" applyAlignment="1">
      <alignment horizontal="center" vertical="center" wrapText="1"/>
    </xf>
    <xf numFmtId="0" fontId="8" fillId="0" borderId="7" xfId="237" applyFont="1" applyBorder="1" applyAlignment="1">
      <alignment horizontal="center" vertical="center" wrapText="1"/>
    </xf>
    <xf numFmtId="0" fontId="8" fillId="0" borderId="3" xfId="237" applyFont="1" applyBorder="1" applyAlignment="1">
      <alignment horizontal="center" vertical="center" wrapText="1"/>
    </xf>
    <xf numFmtId="0" fontId="8" fillId="0" borderId="6" xfId="237" applyFont="1" applyBorder="1" applyAlignment="1">
      <alignment horizontal="center" vertical="center" wrapText="1"/>
    </xf>
    <xf numFmtId="0" fontId="8" fillId="0" borderId="14" xfId="237" applyFont="1" applyBorder="1" applyAlignment="1">
      <alignment horizontal="center" vertical="center" wrapText="1"/>
    </xf>
    <xf numFmtId="0" fontId="8" fillId="0" borderId="4" xfId="237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0" fillId="8" borderId="23" xfId="237" applyFont="1" applyFill="1" applyBorder="1" applyAlignment="1">
      <alignment horizontal="center" vertical="center"/>
    </xf>
    <xf numFmtId="0" fontId="10" fillId="8" borderId="24" xfId="237" applyFont="1" applyFill="1" applyBorder="1" applyAlignment="1">
      <alignment horizontal="center" vertical="center"/>
    </xf>
    <xf numFmtId="0" fontId="10" fillId="8" borderId="25" xfId="237" applyFont="1" applyFill="1" applyBorder="1" applyAlignment="1">
      <alignment horizontal="center" vertical="center"/>
    </xf>
    <xf numFmtId="0" fontId="12" fillId="9" borderId="20" xfId="237" applyFont="1" applyFill="1" applyBorder="1" applyAlignment="1">
      <alignment horizontal="center" vertical="center" wrapText="1"/>
    </xf>
    <xf numFmtId="0" fontId="12" fillId="9" borderId="0" xfId="237" applyFont="1" applyFill="1" applyAlignment="1">
      <alignment horizontal="center" vertical="center" wrapText="1"/>
    </xf>
    <xf numFmtId="0" fontId="12" fillId="9" borderId="21" xfId="237" applyFont="1" applyFill="1" applyBorder="1" applyAlignment="1">
      <alignment horizontal="center" vertical="center" wrapText="1"/>
    </xf>
    <xf numFmtId="0" fontId="12" fillId="9" borderId="6" xfId="237" applyFont="1" applyFill="1" applyBorder="1" applyAlignment="1">
      <alignment horizontal="center" vertical="center" wrapText="1"/>
    </xf>
    <xf numFmtId="0" fontId="12" fillId="9" borderId="14" xfId="237" applyFont="1" applyFill="1" applyBorder="1" applyAlignment="1">
      <alignment horizontal="center" vertical="center" wrapText="1"/>
    </xf>
    <xf numFmtId="0" fontId="12" fillId="9" borderId="4" xfId="237" applyFont="1" applyFill="1" applyBorder="1" applyAlignment="1">
      <alignment horizontal="center" vertical="center" wrapText="1"/>
    </xf>
    <xf numFmtId="0" fontId="10" fillId="9" borderId="29" xfId="237" applyFont="1" applyFill="1" applyBorder="1" applyAlignment="1">
      <alignment horizontal="center" vertical="center" wrapText="1"/>
    </xf>
    <xf numFmtId="0" fontId="10" fillId="9" borderId="5" xfId="237" applyFont="1" applyFill="1" applyBorder="1" applyAlignment="1">
      <alignment horizontal="center" vertical="center" wrapText="1"/>
    </xf>
    <xf numFmtId="0" fontId="12" fillId="9" borderId="2" xfId="237" applyFont="1" applyFill="1" applyBorder="1" applyAlignment="1">
      <alignment horizontal="center" vertical="center" wrapText="1"/>
    </xf>
    <xf numFmtId="0" fontId="12" fillId="9" borderId="7" xfId="237" applyFont="1" applyFill="1" applyBorder="1" applyAlignment="1">
      <alignment horizontal="center" vertical="center" wrapText="1"/>
    </xf>
    <xf numFmtId="0" fontId="10" fillId="9" borderId="1" xfId="237" applyFont="1" applyFill="1" applyBorder="1" applyAlignment="1">
      <alignment horizontal="center" vertical="center"/>
    </xf>
    <xf numFmtId="0" fontId="10" fillId="9" borderId="5" xfId="237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2" fontId="4" fillId="5" borderId="3" xfId="0" applyNumberFormat="1" applyFont="1" applyFill="1" applyBorder="1" applyAlignment="1">
      <alignment horizontal="right" vertical="center"/>
    </xf>
    <xf numFmtId="2" fontId="4" fillId="5" borderId="4" xfId="0" applyNumberFormat="1" applyFont="1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6" borderId="6" xfId="0" applyFill="1" applyBorder="1" applyAlignment="1">
      <alignment horizontal="right" vertical="center"/>
    </xf>
    <xf numFmtId="2" fontId="4" fillId="6" borderId="3" xfId="0" applyNumberFormat="1" applyFont="1" applyFill="1" applyBorder="1" applyAlignment="1">
      <alignment horizontal="right" vertical="center"/>
    </xf>
    <xf numFmtId="2" fontId="4" fillId="6" borderId="4" xfId="0" applyNumberFormat="1" applyFont="1" applyFill="1" applyBorder="1" applyAlignment="1">
      <alignment horizontal="right" vertical="center"/>
    </xf>
    <xf numFmtId="0" fontId="0" fillId="6" borderId="35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5" fillId="4" borderId="16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34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0" fillId="3" borderId="35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4" fillId="4" borderId="33" xfId="0" applyFont="1" applyFill="1" applyBorder="1" applyAlignment="1">
      <alignment horizontal="center" vertical="center" wrapText="1"/>
    </xf>
    <xf numFmtId="0" fontId="4" fillId="4" borderId="40" xfId="0" applyFont="1" applyFill="1" applyBorder="1" applyAlignment="1">
      <alignment horizontal="center" vertical="center" wrapText="1"/>
    </xf>
    <xf numFmtId="0" fontId="4" fillId="4" borderId="34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/>
    </xf>
  </cellXfs>
  <cellStyles count="1658">
    <cellStyle name="Comma" xfId="165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Hipervínculo 2" xfId="1656" xr:uid="{5346002F-943E-E847-BC25-6F12DEEC7B2E}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Normal" xfId="0" builtinId="0"/>
    <cellStyle name="Normal 2" xfId="237" xr:uid="{00000000-0005-0000-0000-000073060000}"/>
    <cellStyle name="Normal 3" xfId="1653" xr:uid="{F26CD499-7B6C-CA4C-9F62-95EF535D9E55}"/>
    <cellStyle name="Normal 4" xfId="1654" xr:uid="{F23445F5-9A34-9E46-BD6B-68F16D7DA5DA}"/>
    <cellStyle name="Percent" xfId="1652" builtinId="5"/>
    <cellStyle name="Porcentaje 2" xfId="1655" xr:uid="{6F78E55D-99F3-904F-900A-2421CF7E52A5}"/>
  </cellStyles>
  <dxfs count="0"/>
  <tableStyles count="0" defaultTableStyle="TableStyleMedium9" defaultPivotStyle="PivotStyleMedium4"/>
  <colors>
    <mruColors>
      <color rgb="FFB6004B"/>
      <color rgb="FFFAD968"/>
      <color rgb="FFFFFFFF"/>
      <color rgb="FFFFFF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baseline="0">
                <a:effectLst/>
              </a:rPr>
              <a:t>Estimación TEF NARP por área y pertenencia étnica, Modelo Relacional de Gompertz, 2018 </a:t>
            </a:r>
            <a:endParaRPr lang="es-CO" sz="1400">
              <a:effectLst/>
            </a:endParaRPr>
          </a:p>
          <a:p>
            <a:pPr>
              <a:defRPr/>
            </a:pPr>
            <a:r>
              <a:rPr lang="es-MX" sz="1400" baseline="0"/>
              <a:t> </a:t>
            </a:r>
            <a:endParaRPr lang="es-MX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15768100766455E-2"/>
          <c:y val="0.16762452398597055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'Resumen Gompertz NARP'!$C$3</c:f>
              <c:strCache>
                <c:ptCount val="1"/>
                <c:pt idx="0">
                  <c:v>Urbano NARP</c:v>
                </c:pt>
              </c:strCache>
            </c:strRef>
          </c:tx>
          <c:spPr>
            <a:ln w="28575" cap="rnd">
              <a:solidFill>
                <a:srgbClr val="B6004B"/>
              </a:solidFill>
              <a:round/>
            </a:ln>
            <a:effectLst/>
          </c:spPr>
          <c:marker>
            <c:symbol val="none"/>
          </c:marker>
          <c:cat>
            <c:strRef>
              <c:f>'Resumen Gompertz NARP'!$B$4:$B$11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NARP'!$C$4:$C$11</c:f>
              <c:numCache>
                <c:formatCode>0.000</c:formatCode>
                <c:ptCount val="8"/>
                <c:pt idx="0">
                  <c:v>2.2801003121323111E-3</c:v>
                </c:pt>
                <c:pt idx="1">
                  <c:v>7.4050386049120773E-2</c:v>
                </c:pt>
                <c:pt idx="2">
                  <c:v>0.11410920398674378</c:v>
                </c:pt>
                <c:pt idx="3">
                  <c:v>9.8064273205657512E-2</c:v>
                </c:pt>
                <c:pt idx="4">
                  <c:v>7.3327699198543206E-2</c:v>
                </c:pt>
                <c:pt idx="5">
                  <c:v>4.8676482719125502E-2</c:v>
                </c:pt>
                <c:pt idx="6">
                  <c:v>2.0662900249983983E-2</c:v>
                </c:pt>
                <c:pt idx="7">
                  <c:v>2.4300201314658488E-3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1-EC47-B2F6-9B7E6F8E4AAB}"/>
            </c:ext>
          </c:extLst>
        </c:ser>
        <c:ser>
          <c:idx val="1"/>
          <c:order val="1"/>
          <c:tx>
            <c:strRef>
              <c:f>'Resumen Gompertz NARP'!$D$3</c:f>
              <c:strCache>
                <c:ptCount val="1"/>
                <c:pt idx="0">
                  <c:v>Rural NARP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'Resumen Gompertz NARP'!$B$4:$B$11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NARP'!$D$4:$D$11</c:f>
              <c:numCache>
                <c:formatCode>0.000</c:formatCode>
                <c:ptCount val="8"/>
                <c:pt idx="0">
                  <c:v>4.2148358933351993E-3</c:v>
                </c:pt>
                <c:pt idx="1">
                  <c:v>0.11565164023985888</c:v>
                </c:pt>
                <c:pt idx="2">
                  <c:v>0.15844640086795</c:v>
                </c:pt>
                <c:pt idx="3">
                  <c:v>0.12584098002433269</c:v>
                </c:pt>
                <c:pt idx="4">
                  <c:v>8.8578130398466737E-2</c:v>
                </c:pt>
                <c:pt idx="5">
                  <c:v>5.5573715667116906E-2</c:v>
                </c:pt>
                <c:pt idx="6">
                  <c:v>2.210481191052871E-2</c:v>
                </c:pt>
                <c:pt idx="7">
                  <c:v>2.3667041954131387E-3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1-EC47-B2F6-9B7E6F8E4AAB}"/>
            </c:ext>
          </c:extLst>
        </c:ser>
        <c:ser>
          <c:idx val="2"/>
          <c:order val="2"/>
          <c:tx>
            <c:strRef>
              <c:f>'Resumen Gompertz NARP'!$E$3</c:f>
              <c:strCache>
                <c:ptCount val="1"/>
                <c:pt idx="0">
                  <c:v>Total NARP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'Resumen Gompertz NARP'!$B$4:$B$11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NARP'!$E$4:$E$11</c:f>
              <c:numCache>
                <c:formatCode>0.000</c:formatCode>
                <c:ptCount val="8"/>
                <c:pt idx="0">
                  <c:v>3.3026266461493995E-3</c:v>
                </c:pt>
                <c:pt idx="1">
                  <c:v>8.4328715439605892E-2</c:v>
                </c:pt>
                <c:pt idx="2">
                  <c:v>0.12040996366477334</c:v>
                </c:pt>
                <c:pt idx="3">
                  <c:v>0.10124416470530244</c:v>
                </c:pt>
                <c:pt idx="4">
                  <c:v>7.5445857868542812E-2</c:v>
                </c:pt>
                <c:pt idx="5">
                  <c:v>5.0416268189411403E-2</c:v>
                </c:pt>
                <c:pt idx="6">
                  <c:v>2.1771108575477795E-2</c:v>
                </c:pt>
                <c:pt idx="7">
                  <c:v>2.6454740345920767E-3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41-EC47-B2F6-9B7E6F8E4AAB}"/>
            </c:ext>
          </c:extLst>
        </c:ser>
        <c:ser>
          <c:idx val="3"/>
          <c:order val="3"/>
          <c:tx>
            <c:strRef>
              <c:f>'Resumen Gompertz NARP'!$F$3</c:f>
              <c:strCache>
                <c:ptCount val="1"/>
                <c:pt idx="0">
                  <c:v>Urbano No Étnico</c:v>
                </c:pt>
              </c:strCache>
            </c:strRef>
          </c:tx>
          <c:spPr>
            <a:ln w="28575" cap="rnd">
              <a:solidFill>
                <a:srgbClr val="B6004B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Gompertz NARP'!$B$4:$B$11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NARP'!$F$4:$F$11</c:f>
              <c:numCache>
                <c:formatCode>0.000</c:formatCode>
                <c:ptCount val="8"/>
                <c:pt idx="0">
                  <c:v>1.5752090412822438E-3</c:v>
                </c:pt>
                <c:pt idx="1">
                  <c:v>5.6721254338856296E-2</c:v>
                </c:pt>
                <c:pt idx="2">
                  <c:v>9.5079409128241504E-2</c:v>
                </c:pt>
                <c:pt idx="3">
                  <c:v>8.6890099158902265E-2</c:v>
                </c:pt>
                <c:pt idx="4">
                  <c:v>6.8253285473775099E-2</c:v>
                </c:pt>
                <c:pt idx="5">
                  <c:v>4.7497839089285995E-2</c:v>
                </c:pt>
                <c:pt idx="6">
                  <c:v>2.1300474375187495E-2</c:v>
                </c:pt>
                <c:pt idx="7">
                  <c:v>2.7101241507520245E-3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41-EC47-B2F6-9B7E6F8E4AAB}"/>
            </c:ext>
          </c:extLst>
        </c:ser>
        <c:ser>
          <c:idx val="4"/>
          <c:order val="4"/>
          <c:tx>
            <c:strRef>
              <c:f>'Resumen Gompertz NARP'!$G$3</c:f>
              <c:strCache>
                <c:ptCount val="1"/>
                <c:pt idx="0">
                  <c:v>Rural No Étnico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Gompertz NARP'!$B$4:$B$11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NARP'!$G$4:$G$11</c:f>
              <c:numCache>
                <c:formatCode>0.000</c:formatCode>
                <c:ptCount val="8"/>
                <c:pt idx="0">
                  <c:v>2.8001117575187293E-3</c:v>
                </c:pt>
                <c:pt idx="1">
                  <c:v>9.7147329436205548E-2</c:v>
                </c:pt>
                <c:pt idx="2">
                  <c:v>0.14100961068463785</c:v>
                </c:pt>
                <c:pt idx="3">
                  <c:v>0.11258500050694172</c:v>
                </c:pt>
                <c:pt idx="4">
                  <c:v>7.8404612105204219E-2</c:v>
                </c:pt>
                <c:pt idx="5">
                  <c:v>4.8190583327881155E-2</c:v>
                </c:pt>
                <c:pt idx="6">
                  <c:v>1.853335584471081E-2</c:v>
                </c:pt>
                <c:pt idx="7">
                  <c:v>1.874123334482114E-3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41-EC47-B2F6-9B7E6F8E4AAB}"/>
            </c:ext>
          </c:extLst>
        </c:ser>
        <c:ser>
          <c:idx val="5"/>
          <c:order val="5"/>
          <c:tx>
            <c:strRef>
              <c:f>'Resumen Gompertz NARP'!$H$3</c:f>
              <c:strCache>
                <c:ptCount val="1"/>
                <c:pt idx="0">
                  <c:v>Total No Étnico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Gompertz NARP'!$B$4:$B$11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NARP'!$H$4:$H$11</c:f>
              <c:numCache>
                <c:formatCode>0.000</c:formatCode>
                <c:ptCount val="8"/>
                <c:pt idx="0">
                  <c:v>1.9531600959469078E-3</c:v>
                </c:pt>
                <c:pt idx="1">
                  <c:v>6.3912371185715133E-2</c:v>
                </c:pt>
                <c:pt idx="2">
                  <c:v>0.10172649572290246</c:v>
                </c:pt>
                <c:pt idx="3">
                  <c:v>9.0147079694241003E-2</c:v>
                </c:pt>
                <c:pt idx="4">
                  <c:v>6.9294716721872401E-2</c:v>
                </c:pt>
                <c:pt idx="5">
                  <c:v>4.7335282173269898E-2</c:v>
                </c:pt>
                <c:pt idx="6">
                  <c:v>2.0818206357304005E-2</c:v>
                </c:pt>
                <c:pt idx="7">
                  <c:v>2.5808208477505977E-3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41-EC47-B2F6-9B7E6F8E4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147839"/>
        <c:axId val="2096127967"/>
      </c:lineChart>
      <c:catAx>
        <c:axId val="209614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27967"/>
        <c:crosses val="autoZero"/>
        <c:auto val="1"/>
        <c:lblAlgn val="ctr"/>
        <c:lblOffset val="100"/>
        <c:noMultiLvlLbl val="0"/>
      </c:catAx>
      <c:valAx>
        <c:axId val="2096127967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4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baseline="0">
                <a:effectLst/>
              </a:rPr>
              <a:t>Estimación TEF (%) NARP por área y pertenencia étnica, Estadísticas Vitales, 2018 </a:t>
            </a:r>
            <a:endParaRPr lang="es-CO" sz="1400">
              <a:effectLst/>
            </a:endParaRPr>
          </a:p>
          <a:p>
            <a:pPr>
              <a:defRPr/>
            </a:pPr>
            <a:r>
              <a:rPr lang="es-MX" sz="1400" baseline="0"/>
              <a:t> </a:t>
            </a:r>
            <a:endParaRPr lang="es-MX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15768100766455E-2"/>
          <c:y val="0.16762452398597055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'Resumen Gompertz NARP'!$C$16</c:f>
              <c:strCache>
                <c:ptCount val="1"/>
                <c:pt idx="0">
                  <c:v>Urbano NARP</c:v>
                </c:pt>
              </c:strCache>
            </c:strRef>
          </c:tx>
          <c:spPr>
            <a:ln w="28575" cap="rnd">
              <a:solidFill>
                <a:srgbClr val="B6004B"/>
              </a:solidFill>
              <a:round/>
            </a:ln>
            <a:effectLst/>
          </c:spPr>
          <c:marker>
            <c:symbol val="none"/>
          </c:marker>
          <c:cat>
            <c:strRef>
              <c:f>'Resumen Gompertz NARP'!$B$17:$B$24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NARP'!$C$17:$C$24</c:f>
              <c:numCache>
                <c:formatCode>0.0%</c:formatCode>
                <c:ptCount val="8"/>
                <c:pt idx="0">
                  <c:v>5.2585210039739795E-3</c:v>
                </c:pt>
                <c:pt idx="1">
                  <c:v>0.17077999082747691</c:v>
                </c:pt>
                <c:pt idx="2">
                  <c:v>0.26316633646257914</c:v>
                </c:pt>
                <c:pt idx="3">
                  <c:v>0.22616243576982983</c:v>
                </c:pt>
                <c:pt idx="4">
                  <c:v>0.16911328170821716</c:v>
                </c:pt>
                <c:pt idx="5">
                  <c:v>0.1122609849295282</c:v>
                </c:pt>
                <c:pt idx="6">
                  <c:v>4.7654173103439668E-2</c:v>
                </c:pt>
                <c:pt idx="7">
                  <c:v>5.6042761949550886E-3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F-6842-83C6-A527F13E9343}"/>
            </c:ext>
          </c:extLst>
        </c:ser>
        <c:ser>
          <c:idx val="1"/>
          <c:order val="1"/>
          <c:tx>
            <c:strRef>
              <c:f>'Resumen Gompertz NARP'!$D$16</c:f>
              <c:strCache>
                <c:ptCount val="1"/>
                <c:pt idx="0">
                  <c:v>Rural NARP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'Resumen Gompertz NARP'!$B$17:$B$24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NARP'!$D$17:$D$24</c:f>
              <c:numCache>
                <c:formatCode>0.0%</c:formatCode>
                <c:ptCount val="8"/>
                <c:pt idx="0">
                  <c:v>7.3585955447811532E-3</c:v>
                </c:pt>
                <c:pt idx="1">
                  <c:v>0.20191382681384434</c:v>
                </c:pt>
                <c:pt idx="2">
                  <c:v>0.27662832172355234</c:v>
                </c:pt>
                <c:pt idx="3">
                  <c:v>0.21970318617202311</c:v>
                </c:pt>
                <c:pt idx="4">
                  <c:v>0.1546467412280253</c:v>
                </c:pt>
                <c:pt idx="5">
                  <c:v>9.7025010430805483E-2</c:v>
                </c:pt>
                <c:pt idx="6">
                  <c:v>3.8592337770552869E-2</c:v>
                </c:pt>
                <c:pt idx="7">
                  <c:v>4.1319803164153587E-3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F-6842-83C6-A527F13E9343}"/>
            </c:ext>
          </c:extLst>
        </c:ser>
        <c:ser>
          <c:idx val="2"/>
          <c:order val="2"/>
          <c:tx>
            <c:strRef>
              <c:f>'Resumen Gompertz NARP'!$E$16</c:f>
              <c:strCache>
                <c:ptCount val="1"/>
                <c:pt idx="0">
                  <c:v>Total NARP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'Resumen Gompertz NARP'!$B$17:$B$24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NARP'!$E$17:$E$24</c:f>
              <c:numCache>
                <c:formatCode>0.0%</c:formatCode>
                <c:ptCount val="8"/>
                <c:pt idx="0">
                  <c:v>7.1864318329721739E-3</c:v>
                </c:pt>
                <c:pt idx="1">
                  <c:v>0.18349714636239917</c:v>
                </c:pt>
                <c:pt idx="2">
                  <c:v>0.2620090275406825</c:v>
                </c:pt>
                <c:pt idx="3">
                  <c:v>0.22030473501725326</c:v>
                </c:pt>
                <c:pt idx="4">
                  <c:v>0.16416827354207195</c:v>
                </c:pt>
                <c:pt idx="5">
                  <c:v>0.10970452110851731</c:v>
                </c:pt>
                <c:pt idx="6">
                  <c:v>4.7373380181596689E-2</c:v>
                </c:pt>
                <c:pt idx="7">
                  <c:v>5.756484414506784E-3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F-6842-83C6-A527F13E9343}"/>
            </c:ext>
          </c:extLst>
        </c:ser>
        <c:ser>
          <c:idx val="3"/>
          <c:order val="3"/>
          <c:tx>
            <c:strRef>
              <c:f>'Resumen Gompertz NARP'!$F$16</c:f>
              <c:strCache>
                <c:ptCount val="1"/>
                <c:pt idx="0">
                  <c:v>Urbano No Étnico</c:v>
                </c:pt>
              </c:strCache>
            </c:strRef>
          </c:tx>
          <c:spPr>
            <a:ln w="28575" cap="rnd">
              <a:solidFill>
                <a:srgbClr val="B6004B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Gompertz NARP'!$B$17:$B$24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NARP'!$F$17:$F$24</c:f>
              <c:numCache>
                <c:formatCode>0.0%</c:formatCode>
                <c:ptCount val="8"/>
                <c:pt idx="0">
                  <c:v>4.1449848603598415E-3</c:v>
                </c:pt>
                <c:pt idx="1">
                  <c:v>0.14925558089978791</c:v>
                </c:pt>
                <c:pt idx="2">
                  <c:v>0.25019073725460261</c:v>
                </c:pt>
                <c:pt idx="3">
                  <c:v>0.22864149207500808</c:v>
                </c:pt>
                <c:pt idx="4">
                  <c:v>0.17960081966538485</c:v>
                </c:pt>
                <c:pt idx="5">
                  <c:v>0.1249852043539801</c:v>
                </c:pt>
                <c:pt idx="6">
                  <c:v>5.6049794973094751E-2</c:v>
                </c:pt>
                <c:pt idx="7">
                  <c:v>7.1313859177817678E-3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EF-6842-83C6-A527F13E9343}"/>
            </c:ext>
          </c:extLst>
        </c:ser>
        <c:ser>
          <c:idx val="4"/>
          <c:order val="4"/>
          <c:tx>
            <c:strRef>
              <c:f>'Resumen Gompertz NARP'!$G$16</c:f>
              <c:strCache>
                <c:ptCount val="1"/>
                <c:pt idx="0">
                  <c:v>Rural No Étnico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Gompertz NARP'!$B$17:$B$24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NARP'!$G$17:$G$24</c:f>
              <c:numCache>
                <c:formatCode>0.0%</c:formatCode>
                <c:ptCount val="8"/>
                <c:pt idx="0">
                  <c:v>5.594128968882844E-3</c:v>
                </c:pt>
                <c:pt idx="1">
                  <c:v>0.1940832141393726</c:v>
                </c:pt>
                <c:pt idx="2">
                  <c:v>0.28171230876900033</c:v>
                </c:pt>
                <c:pt idx="3">
                  <c:v>0.22492495562236844</c:v>
                </c:pt>
                <c:pt idx="4">
                  <c:v>0.15663857369050446</c:v>
                </c:pt>
                <c:pt idx="5">
                  <c:v>9.6276278079968525E-2</c:v>
                </c:pt>
                <c:pt idx="6">
                  <c:v>3.7026373159256817E-2</c:v>
                </c:pt>
                <c:pt idx="7">
                  <c:v>3.7441675706458228E-3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EF-6842-83C6-A527F13E9343}"/>
            </c:ext>
          </c:extLst>
        </c:ser>
        <c:ser>
          <c:idx val="5"/>
          <c:order val="5"/>
          <c:tx>
            <c:strRef>
              <c:f>'Resumen Gompertz NARP'!$H$16</c:f>
              <c:strCache>
                <c:ptCount val="1"/>
                <c:pt idx="0">
                  <c:v>Total No Étnico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Gompertz NARP'!$B$17:$B$24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NARP'!$H$17:$H$24</c:f>
              <c:numCache>
                <c:formatCode>0.0%</c:formatCode>
                <c:ptCount val="8"/>
                <c:pt idx="0">
                  <c:v>4.9102980729073794E-3</c:v>
                </c:pt>
                <c:pt idx="1">
                  <c:v>0.16067745481765611</c:v>
                </c:pt>
                <c:pt idx="2">
                  <c:v>0.25574320146532764</c:v>
                </c:pt>
                <c:pt idx="3">
                  <c:v>0.22663223184797851</c:v>
                </c:pt>
                <c:pt idx="4">
                  <c:v>0.17420881917880526</c:v>
                </c:pt>
                <c:pt idx="5">
                  <c:v>0.11900219819064554</c:v>
                </c:pt>
                <c:pt idx="6">
                  <c:v>5.2337542001696068E-2</c:v>
                </c:pt>
                <c:pt idx="7">
                  <c:v>6.4882544249836166E-3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EF-6842-83C6-A527F13E9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147839"/>
        <c:axId val="2096127967"/>
      </c:lineChart>
      <c:catAx>
        <c:axId val="209614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27967"/>
        <c:crosses val="autoZero"/>
        <c:auto val="1"/>
        <c:lblAlgn val="ctr"/>
        <c:lblOffset val="100"/>
        <c:noMultiLvlLbl val="0"/>
      </c:catAx>
      <c:valAx>
        <c:axId val="2096127967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4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baseline="0">
                <a:effectLst/>
              </a:rPr>
              <a:t>Estimación TEF INDIGENA por área y pertenencia étnica, Modelo Relacional de Gompertz, 2018 </a:t>
            </a:r>
            <a:endParaRPr lang="es-CO" sz="1400">
              <a:effectLst/>
            </a:endParaRPr>
          </a:p>
          <a:p>
            <a:pPr>
              <a:defRPr/>
            </a:pPr>
            <a:r>
              <a:rPr lang="es-MX" sz="1400" baseline="0"/>
              <a:t> </a:t>
            </a:r>
            <a:endParaRPr lang="es-MX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15768100766455E-2"/>
          <c:y val="0.16762452398597055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'Resumen Gompertz INDIGEN'!#REF!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rgbClr val="B6004B"/>
              </a:solidFill>
              <a:round/>
            </a:ln>
            <a:effectLst/>
          </c:spPr>
          <c:marker>
            <c:symbol val="none"/>
          </c:marker>
          <c:cat>
            <c:strRef>
              <c:f>'Resumen Gompertz INDIGEN'!$B$4:$B$11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INDIGEN'!#REF!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9-ED4D-884F-414BAB890965}"/>
            </c:ext>
          </c:extLst>
        </c:ser>
        <c:ser>
          <c:idx val="1"/>
          <c:order val="1"/>
          <c:tx>
            <c:strRef>
              <c:f>'Resumen Gompertz INDIGEN'!#REF!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'Resumen Gompertz INDIGEN'!$B$4:$B$11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INDIGEN'!#REF!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9-ED4D-884F-414BAB890965}"/>
            </c:ext>
          </c:extLst>
        </c:ser>
        <c:ser>
          <c:idx val="2"/>
          <c:order val="2"/>
          <c:tx>
            <c:strRef>
              <c:f>'Resumen Gompertz INDIGEN'!#REF!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'Resumen Gompertz INDIGEN'!$B$4:$B$11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INDIGEN'!#REF!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9-ED4D-884F-414BAB890965}"/>
            </c:ext>
          </c:extLst>
        </c:ser>
        <c:ser>
          <c:idx val="3"/>
          <c:order val="3"/>
          <c:tx>
            <c:strRef>
              <c:f>'Resumen Gompertz INDIGEN'!#REF!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rgbClr val="B6004B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Gompertz INDIGEN'!$B$4:$B$11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INDIGEN'!#REF!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9-ED4D-884F-414BAB890965}"/>
            </c:ext>
          </c:extLst>
        </c:ser>
        <c:ser>
          <c:idx val="4"/>
          <c:order val="4"/>
          <c:tx>
            <c:strRef>
              <c:f>'Resumen Gompertz INDIGEN'!#REF!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Gompertz INDIGEN'!$B$4:$B$11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INDIGEN'!#REF!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9-ED4D-884F-414BAB890965}"/>
            </c:ext>
          </c:extLst>
        </c:ser>
        <c:ser>
          <c:idx val="5"/>
          <c:order val="5"/>
          <c:tx>
            <c:strRef>
              <c:f>'Resumen Gompertz INDIGEN'!$C$3</c:f>
              <c:strCache>
                <c:ptCount val="1"/>
                <c:pt idx="0">
                  <c:v>Total No Étnico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Gompertz INDIGEN'!$B$4:$B$11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INDIGEN'!$C$4:$C$11</c:f>
              <c:numCache>
                <c:formatCode>0.000</c:formatCode>
                <c:ptCount val="8"/>
                <c:pt idx="0">
                  <c:v>4.3684883812236536E-3</c:v>
                </c:pt>
                <c:pt idx="1">
                  <c:v>9.8678771461823619E-2</c:v>
                </c:pt>
                <c:pt idx="2">
                  <c:v>0.14423026077935347</c:v>
                </c:pt>
                <c:pt idx="3">
                  <c:v>0.12770250630147301</c:v>
                </c:pt>
                <c:pt idx="4">
                  <c:v>0.10070421363729025</c:v>
                </c:pt>
                <c:pt idx="5">
                  <c:v>7.1853501413260371E-2</c:v>
                </c:pt>
                <c:pt idx="6">
                  <c:v>3.3858432839351416E-2</c:v>
                </c:pt>
                <c:pt idx="7">
                  <c:v>4.7074158483503045E-3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9-ED4D-884F-414BAB89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147839"/>
        <c:axId val="2096127967"/>
      </c:lineChart>
      <c:catAx>
        <c:axId val="209614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27967"/>
        <c:crosses val="autoZero"/>
        <c:auto val="1"/>
        <c:lblAlgn val="ctr"/>
        <c:lblOffset val="100"/>
        <c:noMultiLvlLbl val="0"/>
      </c:catAx>
      <c:valAx>
        <c:axId val="2096127967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4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baseline="0">
                <a:effectLst/>
              </a:rPr>
              <a:t>Estimación TEF (%) INDÍGENA por área y pertenencia étnica, Estadísticas Vitales, 2018 </a:t>
            </a:r>
            <a:endParaRPr lang="es-CO" sz="1400">
              <a:effectLst/>
            </a:endParaRPr>
          </a:p>
          <a:p>
            <a:pPr>
              <a:defRPr/>
            </a:pPr>
            <a:r>
              <a:rPr lang="es-MX" sz="1400" baseline="0"/>
              <a:t> </a:t>
            </a:r>
            <a:endParaRPr lang="es-MX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15768100766455E-2"/>
          <c:y val="0.16762452398597055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'Resumen Gompertz INDIGEN'!#REF!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rgbClr val="B6004B"/>
              </a:solidFill>
              <a:round/>
            </a:ln>
            <a:effectLst/>
          </c:spPr>
          <c:marker>
            <c:symbol val="none"/>
          </c:marker>
          <c:cat>
            <c:strRef>
              <c:f>'Resumen Gompertz INDIGEN'!$B$17:$B$24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INDIGEN'!#REF!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0-FF49-931D-6722C2C6085B}"/>
            </c:ext>
          </c:extLst>
        </c:ser>
        <c:ser>
          <c:idx val="1"/>
          <c:order val="1"/>
          <c:tx>
            <c:strRef>
              <c:f>'Resumen Gompertz INDIGEN'!#REF!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'Resumen Gompertz INDIGEN'!$B$17:$B$24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INDIGEN'!#REF!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0-FF49-931D-6722C2C6085B}"/>
            </c:ext>
          </c:extLst>
        </c:ser>
        <c:ser>
          <c:idx val="2"/>
          <c:order val="2"/>
          <c:tx>
            <c:strRef>
              <c:f>'Resumen Gompertz INDIGEN'!#REF!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'Resumen Gompertz INDIGEN'!$B$17:$B$24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INDIGEN'!#REF!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0-FF49-931D-6722C2C6085B}"/>
            </c:ext>
          </c:extLst>
        </c:ser>
        <c:ser>
          <c:idx val="3"/>
          <c:order val="3"/>
          <c:tx>
            <c:strRef>
              <c:f>'Resumen Gompertz INDIGEN'!#REF!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rgbClr val="B6004B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Gompertz INDIGEN'!$B$17:$B$24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INDIGEN'!#REF!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0-FF49-931D-6722C2C6085B}"/>
            </c:ext>
          </c:extLst>
        </c:ser>
        <c:ser>
          <c:idx val="4"/>
          <c:order val="4"/>
          <c:tx>
            <c:strRef>
              <c:f>'Resumen Gompertz INDIGEN'!#REF!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Gompertz INDIGEN'!$B$17:$B$24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INDIGEN'!#REF!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0-FF49-931D-6722C2C6085B}"/>
            </c:ext>
          </c:extLst>
        </c:ser>
        <c:ser>
          <c:idx val="5"/>
          <c:order val="5"/>
          <c:tx>
            <c:strRef>
              <c:f>'Resumen Gompertz INDIGEN'!$C$16</c:f>
              <c:strCache>
                <c:ptCount val="1"/>
                <c:pt idx="0">
                  <c:v>Total No Étnico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Gompertz INDIGEN'!$B$17:$B$24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INDIGEN'!$C$17:$C$24</c:f>
              <c:numCache>
                <c:formatCode>0.0%</c:formatCode>
                <c:ptCount val="8"/>
                <c:pt idx="0">
                  <c:v>7.4534407412323398E-3</c:v>
                </c:pt>
                <c:pt idx="1">
                  <c:v>0.16836404525409132</c:v>
                </c:pt>
                <c:pt idx="2">
                  <c:v>0.24608322330258262</c:v>
                </c:pt>
                <c:pt idx="3">
                  <c:v>0.21788384909433231</c:v>
                </c:pt>
                <c:pt idx="4">
                  <c:v>0.17181982032139378</c:v>
                </c:pt>
                <c:pt idx="5">
                  <c:v>0.12259522473166709</c:v>
                </c:pt>
                <c:pt idx="6">
                  <c:v>5.7768683520777034E-2</c:v>
                </c:pt>
                <c:pt idx="7">
                  <c:v>8.0317130339234016E-3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40-FF49-931D-6722C2C6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147839"/>
        <c:axId val="2096127967"/>
      </c:lineChart>
      <c:catAx>
        <c:axId val="209614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27967"/>
        <c:crosses val="autoZero"/>
        <c:auto val="1"/>
        <c:lblAlgn val="ctr"/>
        <c:lblOffset val="100"/>
        <c:noMultiLvlLbl val="0"/>
      </c:catAx>
      <c:valAx>
        <c:axId val="2096127967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4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aseline="0"/>
              <a:t> Estimación TEF NARP por regiones, Método P/F de Brass, </a:t>
            </a:r>
          </a:p>
          <a:p>
            <a:pPr>
              <a:defRPr/>
            </a:pPr>
            <a:r>
              <a:rPr lang="es-MX" baseline="0"/>
              <a:t>CNPV - 2018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15768100766455E-2"/>
          <c:y val="0.16762452398597055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'Resumen Brass NARP'!#REF!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'Resumen Brass NARP'!$B$3:$B$10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1-1F42-83DF-3532BF79E555}"/>
            </c:ext>
          </c:extLst>
        </c:ser>
        <c:ser>
          <c:idx val="1"/>
          <c:order val="1"/>
          <c:tx>
            <c:strRef>
              <c:f>'Resumen Brass NARP'!#REF!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'Resumen Brass NARP'!$B$3:$B$10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1-1F42-83DF-3532BF79E555}"/>
            </c:ext>
          </c:extLst>
        </c:ser>
        <c:ser>
          <c:idx val="2"/>
          <c:order val="2"/>
          <c:tx>
            <c:strRef>
              <c:f>'Resumen Brass NARP'!#REF!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Brass NARP'!$B$3:$B$10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1-1F42-83DF-3532BF79E555}"/>
            </c:ext>
          </c:extLst>
        </c:ser>
        <c:ser>
          <c:idx val="3"/>
          <c:order val="3"/>
          <c:tx>
            <c:strRef>
              <c:f>'Resumen Brass NARP'!#REF!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'Resumen Brass NARP'!$B$3:$B$10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51-1F42-83DF-3532BF79E555}"/>
            </c:ext>
          </c:extLst>
        </c:ser>
        <c:ser>
          <c:idx val="4"/>
          <c:order val="4"/>
          <c:tx>
            <c:strRef>
              <c:f>'Resumen Brass NARP'!#REF!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'Resumen Brass NARP'!$B$3:$B$10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51-1F42-83DF-3532BF79E555}"/>
            </c:ext>
          </c:extLst>
        </c:ser>
        <c:ser>
          <c:idx val="5"/>
          <c:order val="5"/>
          <c:tx>
            <c:strRef>
              <c:f>'Resumen Brass NARP'!#REF!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Brass NARP'!$B$3:$B$10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51-1F42-83DF-3532BF79E555}"/>
            </c:ext>
          </c:extLst>
        </c:ser>
        <c:ser>
          <c:idx val="6"/>
          <c:order val="6"/>
          <c:tx>
            <c:strRef>
              <c:f>'Resumen Brass NARP'!$C$2</c:f>
              <c:strCache>
                <c:ptCount val="1"/>
                <c:pt idx="0">
                  <c:v>TOTAL NARP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Brass NARP'!$B$3:$B$10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NARP'!$C$3:$C$10</c:f>
              <c:numCache>
                <c:formatCode>0.000</c:formatCode>
                <c:ptCount val="8"/>
                <c:pt idx="0">
                  <c:v>2.5854211061866039E-3</c:v>
                </c:pt>
                <c:pt idx="1">
                  <c:v>7.4411513327979906E-2</c:v>
                </c:pt>
                <c:pt idx="2">
                  <c:v>0.1203424826365853</c:v>
                </c:pt>
                <c:pt idx="3">
                  <c:v>0.10540906349557194</c:v>
                </c:pt>
                <c:pt idx="4">
                  <c:v>7.4585615971006283E-2</c:v>
                </c:pt>
                <c:pt idx="5">
                  <c:v>4.4210594844407626E-2</c:v>
                </c:pt>
                <c:pt idx="6">
                  <c:v>1.5869403246935501E-2</c:v>
                </c:pt>
                <c:pt idx="7">
                  <c:v>2.5197391924336203E-3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51-1F42-83DF-3532BF79E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147839"/>
        <c:axId val="2096127967"/>
      </c:lineChart>
      <c:catAx>
        <c:axId val="209614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27967"/>
        <c:crosses val="autoZero"/>
        <c:auto val="1"/>
        <c:lblAlgn val="ctr"/>
        <c:lblOffset val="100"/>
        <c:noMultiLvlLbl val="0"/>
      </c:catAx>
      <c:valAx>
        <c:axId val="2096127967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4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aseline="0"/>
              <a:t> Estimación TEF NARP por regiones (%), Método P/F de Brass, CNPV - 2018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15768100766455E-2"/>
          <c:y val="0.16762452398597055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'Resumen Brass NARP'!#REF!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'Resumen Brass NARP'!$B$16:$B$23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A-E846-95AF-F25CA873FFFD}"/>
            </c:ext>
          </c:extLst>
        </c:ser>
        <c:ser>
          <c:idx val="1"/>
          <c:order val="1"/>
          <c:tx>
            <c:strRef>
              <c:f>'Resumen Brass NARP'!#REF!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'Resumen Brass NARP'!$B$16:$B$23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A-E846-95AF-F25CA873FFFD}"/>
            </c:ext>
          </c:extLst>
        </c:ser>
        <c:ser>
          <c:idx val="2"/>
          <c:order val="2"/>
          <c:tx>
            <c:strRef>
              <c:f>'Resumen Brass NARP'!#REF!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Brass NARP'!$B$16:$B$23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EA-E846-95AF-F25CA873FFFD}"/>
            </c:ext>
          </c:extLst>
        </c:ser>
        <c:ser>
          <c:idx val="3"/>
          <c:order val="3"/>
          <c:tx>
            <c:strRef>
              <c:f>'Resumen Brass NARP'!#REF!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'Resumen Brass NARP'!$B$16:$B$23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EA-E846-95AF-F25CA873FFFD}"/>
            </c:ext>
          </c:extLst>
        </c:ser>
        <c:ser>
          <c:idx val="4"/>
          <c:order val="4"/>
          <c:tx>
            <c:strRef>
              <c:f>'Resumen Brass NARP'!#REF!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'Resumen Brass NARP'!$B$16:$B$23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EA-E846-95AF-F25CA873FFFD}"/>
            </c:ext>
          </c:extLst>
        </c:ser>
        <c:ser>
          <c:idx val="5"/>
          <c:order val="5"/>
          <c:tx>
            <c:strRef>
              <c:f>'Resumen Brass NARP'!#REF!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Brass NARP'!$B$16:$B$23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EA-E846-95AF-F25CA873FFFD}"/>
            </c:ext>
          </c:extLst>
        </c:ser>
        <c:ser>
          <c:idx val="6"/>
          <c:order val="6"/>
          <c:tx>
            <c:strRef>
              <c:f>'Resumen Brass NARP'!$C$15</c:f>
              <c:strCache>
                <c:ptCount val="1"/>
                <c:pt idx="0">
                  <c:v>TOTAL NARP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Brass NARP'!$B$16:$B$23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NARP'!$C$16:$C$23</c:f>
              <c:numCache>
                <c:formatCode>0.0%</c:formatCode>
                <c:ptCount val="8"/>
                <c:pt idx="0">
                  <c:v>5.876840805196926E-3</c:v>
                </c:pt>
                <c:pt idx="1">
                  <c:v>0.16914251100368505</c:v>
                </c:pt>
                <c:pt idx="2">
                  <c:v>0.27354677768548474</c:v>
                </c:pt>
                <c:pt idx="3">
                  <c:v>0.2396020842044059</c:v>
                </c:pt>
                <c:pt idx="4">
                  <c:v>0.16953825834031108</c:v>
                </c:pt>
                <c:pt idx="5">
                  <c:v>0.10049373666128456</c:v>
                </c:pt>
                <c:pt idx="6">
                  <c:v>3.607225002246265E-2</c:v>
                </c:pt>
                <c:pt idx="7">
                  <c:v>5.7275412771690534E-3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EA-E846-95AF-F25CA873F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147839"/>
        <c:axId val="2096127967"/>
      </c:lineChart>
      <c:catAx>
        <c:axId val="209614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27967"/>
        <c:crosses val="autoZero"/>
        <c:auto val="1"/>
        <c:lblAlgn val="ctr"/>
        <c:lblOffset val="100"/>
        <c:noMultiLvlLbl val="0"/>
      </c:catAx>
      <c:valAx>
        <c:axId val="2096127967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4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baseline="0">
                <a:effectLst/>
              </a:rPr>
              <a:t>Estimación TEF NARP por área y pertenencia étnica, Método P/F de Brass, 2018 </a:t>
            </a:r>
            <a:endParaRPr lang="es-CO" sz="1400">
              <a:effectLst/>
            </a:endParaRPr>
          </a:p>
          <a:p>
            <a:pPr>
              <a:defRPr/>
            </a:pPr>
            <a:r>
              <a:rPr lang="es-MX" sz="1400" baseline="0"/>
              <a:t> </a:t>
            </a:r>
            <a:endParaRPr lang="es-MX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15768100766455E-2"/>
          <c:y val="0.16762452398597055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'Resumen Brass NARP'!$D$30</c:f>
              <c:strCache>
                <c:ptCount val="1"/>
                <c:pt idx="0">
                  <c:v>Urbano NARP</c:v>
                </c:pt>
              </c:strCache>
            </c:strRef>
          </c:tx>
          <c:spPr>
            <a:ln w="28575" cap="rnd">
              <a:solidFill>
                <a:srgbClr val="B6004B"/>
              </a:solidFill>
              <a:round/>
            </a:ln>
            <a:effectLst/>
          </c:spPr>
          <c:marker>
            <c:symbol val="none"/>
          </c:marker>
          <c:cat>
            <c:strRef>
              <c:f>'Resumen Brass NARP'!$C$31:$C$38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NARP'!$D$31:$D$38</c:f>
              <c:numCache>
                <c:formatCode>0.000</c:formatCode>
                <c:ptCount val="8"/>
                <c:pt idx="0">
                  <c:v>1.5721117881520971E-3</c:v>
                </c:pt>
                <c:pt idx="1">
                  <c:v>6.2706396693201466E-2</c:v>
                </c:pt>
                <c:pt idx="2">
                  <c:v>0.10567391733884154</c:v>
                </c:pt>
                <c:pt idx="3">
                  <c:v>9.9702176569546969E-2</c:v>
                </c:pt>
                <c:pt idx="4">
                  <c:v>7.2697595796584247E-2</c:v>
                </c:pt>
                <c:pt idx="5">
                  <c:v>4.2447963995168383E-2</c:v>
                </c:pt>
                <c:pt idx="6">
                  <c:v>1.3937351889842901E-2</c:v>
                </c:pt>
                <c:pt idx="7">
                  <c:v>1.7251785713359399E-3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1-A04D-BE89-789FE2BC8935}"/>
            </c:ext>
          </c:extLst>
        </c:ser>
        <c:ser>
          <c:idx val="1"/>
          <c:order val="1"/>
          <c:tx>
            <c:strRef>
              <c:f>'Resumen Brass NARP'!$E$30</c:f>
              <c:strCache>
                <c:ptCount val="1"/>
                <c:pt idx="0">
                  <c:v>Rural NARP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'Resumen Brass NARP'!$C$31:$C$38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NARP'!$E$31:$E$38</c:f>
              <c:numCache>
                <c:formatCode>0.000</c:formatCode>
                <c:ptCount val="8"/>
                <c:pt idx="0">
                  <c:v>4.4954628008994791E-3</c:v>
                </c:pt>
                <c:pt idx="1">
                  <c:v>0.10024855277753036</c:v>
                </c:pt>
                <c:pt idx="2">
                  <c:v>0.15749513210998173</c:v>
                </c:pt>
                <c:pt idx="3">
                  <c:v>0.12303152648420972</c:v>
                </c:pt>
                <c:pt idx="4">
                  <c:v>8.1921054376193458E-2</c:v>
                </c:pt>
                <c:pt idx="5">
                  <c:v>5.0266287154224341E-2</c:v>
                </c:pt>
                <c:pt idx="6">
                  <c:v>2.0925368195792941E-2</c:v>
                </c:pt>
                <c:pt idx="7">
                  <c:v>4.460295092647875E-3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1-A04D-BE89-789FE2BC8935}"/>
            </c:ext>
          </c:extLst>
        </c:ser>
        <c:ser>
          <c:idx val="2"/>
          <c:order val="2"/>
          <c:tx>
            <c:strRef>
              <c:f>'Resumen Brass NARP'!$F$30</c:f>
              <c:strCache>
                <c:ptCount val="1"/>
                <c:pt idx="0">
                  <c:v>Total NARP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'Resumen Brass NARP'!$C$31:$C$38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NARP'!$F$31:$F$38</c:f>
              <c:numCache>
                <c:formatCode>0.000</c:formatCode>
                <c:ptCount val="8"/>
                <c:pt idx="0">
                  <c:v>2.5854211061866039E-3</c:v>
                </c:pt>
                <c:pt idx="1">
                  <c:v>7.4411513327979906E-2</c:v>
                </c:pt>
                <c:pt idx="2">
                  <c:v>0.1203424826365853</c:v>
                </c:pt>
                <c:pt idx="3">
                  <c:v>0.10540906349557194</c:v>
                </c:pt>
                <c:pt idx="4">
                  <c:v>7.4585615971006283E-2</c:v>
                </c:pt>
                <c:pt idx="5">
                  <c:v>4.4210594844407626E-2</c:v>
                </c:pt>
                <c:pt idx="6">
                  <c:v>1.5869403246935501E-2</c:v>
                </c:pt>
                <c:pt idx="7">
                  <c:v>2.5197391924336203E-3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1-A04D-BE89-789FE2BC8935}"/>
            </c:ext>
          </c:extLst>
        </c:ser>
        <c:ser>
          <c:idx val="3"/>
          <c:order val="3"/>
          <c:tx>
            <c:strRef>
              <c:f>'Resumen Brass NARP'!$G$30</c:f>
              <c:strCache>
                <c:ptCount val="1"/>
                <c:pt idx="0">
                  <c:v>Urbano No Étnico</c:v>
                </c:pt>
              </c:strCache>
            </c:strRef>
          </c:tx>
          <c:spPr>
            <a:ln w="28575" cap="rnd">
              <a:solidFill>
                <a:srgbClr val="B6004B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Brass NARP'!$C$31:$C$38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NARP'!$G$31:$G$38</c:f>
              <c:numCache>
                <c:formatCode>0.000</c:formatCode>
                <c:ptCount val="8"/>
                <c:pt idx="0">
                  <c:v>1.0769110143072297E-3</c:v>
                </c:pt>
                <c:pt idx="1">
                  <c:v>4.8180476429907193E-2</c:v>
                </c:pt>
                <c:pt idx="2">
                  <c:v>8.8704586185628098E-2</c:v>
                </c:pt>
                <c:pt idx="3">
                  <c:v>8.6565493082222944E-2</c:v>
                </c:pt>
                <c:pt idx="4">
                  <c:v>6.9192346698687207E-2</c:v>
                </c:pt>
                <c:pt idx="5">
                  <c:v>4.0727295705078229E-2</c:v>
                </c:pt>
                <c:pt idx="6">
                  <c:v>1.2209981373923342E-2</c:v>
                </c:pt>
                <c:pt idx="7">
                  <c:v>1.3325083678032113E-3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31-A04D-BE89-789FE2BC8935}"/>
            </c:ext>
          </c:extLst>
        </c:ser>
        <c:ser>
          <c:idx val="4"/>
          <c:order val="4"/>
          <c:tx>
            <c:strRef>
              <c:f>'Resumen Brass NARP'!$H$30</c:f>
              <c:strCache>
                <c:ptCount val="1"/>
                <c:pt idx="0">
                  <c:v>Rural No Étnico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Brass NARP'!$C$31:$C$38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NARP'!$H$31:$H$38</c:f>
              <c:numCache>
                <c:formatCode>0.000</c:formatCode>
                <c:ptCount val="8"/>
                <c:pt idx="0">
                  <c:v>2.1702270439418326E-3</c:v>
                </c:pt>
                <c:pt idx="1">
                  <c:v>8.5177318639826041E-2</c:v>
                </c:pt>
                <c:pt idx="2">
                  <c:v>0.13893055730625314</c:v>
                </c:pt>
                <c:pt idx="3">
                  <c:v>0.10971515498341672</c:v>
                </c:pt>
                <c:pt idx="4">
                  <c:v>7.3899456453063311E-2</c:v>
                </c:pt>
                <c:pt idx="5">
                  <c:v>4.2033390260645412E-2</c:v>
                </c:pt>
                <c:pt idx="6">
                  <c:v>1.5354964663842258E-2</c:v>
                </c:pt>
                <c:pt idx="7">
                  <c:v>2.1260203947710563E-3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31-A04D-BE89-789FE2BC8935}"/>
            </c:ext>
          </c:extLst>
        </c:ser>
        <c:ser>
          <c:idx val="5"/>
          <c:order val="5"/>
          <c:tx>
            <c:strRef>
              <c:f>'Resumen Brass NARP'!$I$30</c:f>
              <c:strCache>
                <c:ptCount val="1"/>
                <c:pt idx="0">
                  <c:v>Total No Étnico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Brass NARP'!$C$31:$C$38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NARP'!$I$31:$I$38</c:f>
              <c:numCache>
                <c:formatCode>0.000</c:formatCode>
                <c:ptCount val="8"/>
                <c:pt idx="0">
                  <c:v>1.3039749203087678E-3</c:v>
                </c:pt>
                <c:pt idx="1">
                  <c:v>5.4888123308796159E-2</c:v>
                </c:pt>
                <c:pt idx="2">
                  <c:v>9.5640629305709032E-2</c:v>
                </c:pt>
                <c:pt idx="3">
                  <c:v>8.9002742918972227E-2</c:v>
                </c:pt>
                <c:pt idx="4">
                  <c:v>6.9029751777531387E-2</c:v>
                </c:pt>
                <c:pt idx="5">
                  <c:v>4.0400339267055732E-2</c:v>
                </c:pt>
                <c:pt idx="6">
                  <c:v>1.2570885283617401E-2</c:v>
                </c:pt>
                <c:pt idx="7">
                  <c:v>1.4459758682960457E-3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31-A04D-BE89-789FE2BC8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147839"/>
        <c:axId val="2096127967"/>
      </c:lineChart>
      <c:catAx>
        <c:axId val="209614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27967"/>
        <c:crosses val="autoZero"/>
        <c:auto val="1"/>
        <c:lblAlgn val="ctr"/>
        <c:lblOffset val="100"/>
        <c:noMultiLvlLbl val="0"/>
      </c:catAx>
      <c:valAx>
        <c:axId val="2096127967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4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baseline="0">
                <a:effectLst/>
              </a:rPr>
              <a:t>Estimación TEF (%) NARP por área y pertenencia étnica, Método P/F de Brass, 2018 </a:t>
            </a:r>
            <a:endParaRPr lang="es-CO" sz="1400">
              <a:effectLst/>
            </a:endParaRPr>
          </a:p>
          <a:p>
            <a:pPr>
              <a:defRPr/>
            </a:pPr>
            <a:r>
              <a:rPr lang="es-MX" sz="1400" baseline="0"/>
              <a:t> </a:t>
            </a:r>
            <a:endParaRPr lang="es-MX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15768100766455E-2"/>
          <c:y val="0.16762452398597055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'Resumen Brass NARP'!$D$43</c:f>
              <c:strCache>
                <c:ptCount val="1"/>
                <c:pt idx="0">
                  <c:v>Urbano NARP</c:v>
                </c:pt>
              </c:strCache>
            </c:strRef>
          </c:tx>
          <c:spPr>
            <a:ln w="28575" cap="rnd">
              <a:solidFill>
                <a:srgbClr val="B6004B"/>
              </a:solidFill>
              <a:round/>
            </a:ln>
            <a:effectLst/>
          </c:spPr>
          <c:marker>
            <c:symbol val="none"/>
          </c:marker>
          <c:cat>
            <c:strRef>
              <c:f>'Resumen Brass NARP'!$C$44:$C$51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NARP'!$D$44:$D$51</c:f>
              <c:numCache>
                <c:formatCode>0.0%</c:formatCode>
                <c:ptCount val="8"/>
                <c:pt idx="0">
                  <c:v>3.925738444641752E-3</c:v>
                </c:pt>
                <c:pt idx="1">
                  <c:v>0.15658486507044839</c:v>
                </c:pt>
                <c:pt idx="2">
                  <c:v>0.26387955552487058</c:v>
                </c:pt>
                <c:pt idx="3">
                  <c:v>0.24896745290206007</c:v>
                </c:pt>
                <c:pt idx="4">
                  <c:v>0.18153400337207232</c:v>
                </c:pt>
                <c:pt idx="5">
                  <c:v>0.10599729956129529</c:v>
                </c:pt>
                <c:pt idx="6">
                  <c:v>3.4803121853547989E-2</c:v>
                </c:pt>
                <c:pt idx="7">
                  <c:v>4.3079632710637779E-3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9-1045-A0B3-30A0BE620010}"/>
            </c:ext>
          </c:extLst>
        </c:ser>
        <c:ser>
          <c:idx val="1"/>
          <c:order val="1"/>
          <c:tx>
            <c:strRef>
              <c:f>'Resumen Brass NARP'!$E$43</c:f>
              <c:strCache>
                <c:ptCount val="1"/>
                <c:pt idx="0">
                  <c:v>Rural NARP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'Resumen Brass NARP'!$C$44:$C$51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NARP'!$E$44:$E$51</c:f>
              <c:numCache>
                <c:formatCode>0.0%</c:formatCode>
                <c:ptCount val="8"/>
                <c:pt idx="0">
                  <c:v>8.2813210780152361E-3</c:v>
                </c:pt>
                <c:pt idx="1">
                  <c:v>0.18467296692811597</c:v>
                </c:pt>
                <c:pt idx="2">
                  <c:v>0.29012980753977546</c:v>
                </c:pt>
                <c:pt idx="3">
                  <c:v>0.2266426436295314</c:v>
                </c:pt>
                <c:pt idx="4">
                  <c:v>0.15091094830171034</c:v>
                </c:pt>
                <c:pt idx="5">
                  <c:v>9.2598088730832001E-2</c:v>
                </c:pt>
                <c:pt idx="6">
                  <c:v>3.8547686941237037E-2</c:v>
                </c:pt>
                <c:pt idx="7">
                  <c:v>8.2165368507825642E-3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9-1045-A0B3-30A0BE620010}"/>
            </c:ext>
          </c:extLst>
        </c:ser>
        <c:ser>
          <c:idx val="2"/>
          <c:order val="2"/>
          <c:tx>
            <c:strRef>
              <c:f>'Resumen Brass NARP'!$F$43</c:f>
              <c:strCache>
                <c:ptCount val="1"/>
                <c:pt idx="0">
                  <c:v>Total NARP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'Resumen Brass NARP'!$C$44:$C$51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NARP'!$F$44:$F$51</c:f>
              <c:numCache>
                <c:formatCode>0.0%</c:formatCode>
                <c:ptCount val="8"/>
                <c:pt idx="0">
                  <c:v>5.876840805196926E-3</c:v>
                </c:pt>
                <c:pt idx="1">
                  <c:v>0.16914251100368505</c:v>
                </c:pt>
                <c:pt idx="2">
                  <c:v>0.27354677768548474</c:v>
                </c:pt>
                <c:pt idx="3">
                  <c:v>0.2396020842044059</c:v>
                </c:pt>
                <c:pt idx="4">
                  <c:v>0.16953825834031108</c:v>
                </c:pt>
                <c:pt idx="5">
                  <c:v>0.10049373666128456</c:v>
                </c:pt>
                <c:pt idx="6">
                  <c:v>3.607225002246265E-2</c:v>
                </c:pt>
                <c:pt idx="7">
                  <c:v>5.7275412771690534E-3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9-1045-A0B3-30A0BE620010}"/>
            </c:ext>
          </c:extLst>
        </c:ser>
        <c:ser>
          <c:idx val="3"/>
          <c:order val="3"/>
          <c:tx>
            <c:strRef>
              <c:f>'Resumen Brass NARP'!$G$43</c:f>
              <c:strCache>
                <c:ptCount val="1"/>
                <c:pt idx="0">
                  <c:v>Urbano No Étnico</c:v>
                </c:pt>
              </c:strCache>
            </c:strRef>
          </c:tx>
          <c:spPr>
            <a:ln w="28575" cap="rnd">
              <a:solidFill>
                <a:srgbClr val="B6004B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Brass NARP'!$C$44:$C$51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NARP'!$G$44:$G$51</c:f>
              <c:numCache>
                <c:formatCode>0.0%</c:formatCode>
                <c:ptCount val="8"/>
                <c:pt idx="0">
                  <c:v>3.0946643745752922E-3</c:v>
                </c:pt>
                <c:pt idx="1">
                  <c:v>0.13845378306731779</c:v>
                </c:pt>
                <c:pt idx="2">
                  <c:v>0.25490585487854639</c:v>
                </c:pt>
                <c:pt idx="3">
                  <c:v>0.24875885189217048</c:v>
                </c:pt>
                <c:pt idx="4">
                  <c:v>0.19883452530145795</c:v>
                </c:pt>
                <c:pt idx="5">
                  <c:v>0.11703595693315286</c:v>
                </c:pt>
                <c:pt idx="6">
                  <c:v>3.5087202071580462E-2</c:v>
                </c:pt>
                <c:pt idx="7">
                  <c:v>3.8291614811988878E-3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A9-1045-A0B3-30A0BE620010}"/>
            </c:ext>
          </c:extLst>
        </c:ser>
        <c:ser>
          <c:idx val="4"/>
          <c:order val="4"/>
          <c:tx>
            <c:strRef>
              <c:f>'Resumen Brass NARP'!$H$43</c:f>
              <c:strCache>
                <c:ptCount val="1"/>
                <c:pt idx="0">
                  <c:v>Rural No Étnico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Brass NARP'!$C$44:$C$51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NARP'!$H$44:$H$51</c:f>
              <c:numCache>
                <c:formatCode>0.0%</c:formatCode>
                <c:ptCount val="8"/>
                <c:pt idx="0">
                  <c:v>4.6233367397950278E-3</c:v>
                </c:pt>
                <c:pt idx="1">
                  <c:v>0.1814572478782964</c:v>
                </c:pt>
                <c:pt idx="2">
                  <c:v>0.29597030028136284</c:v>
                </c:pt>
                <c:pt idx="3">
                  <c:v>0.2337313546815849</c:v>
                </c:pt>
                <c:pt idx="4">
                  <c:v>0.15743148765198398</c:v>
                </c:pt>
                <c:pt idx="5">
                  <c:v>8.9545708147296066E-2</c:v>
                </c:pt>
                <c:pt idx="6">
                  <c:v>3.2711403383700093E-2</c:v>
                </c:pt>
                <c:pt idx="7">
                  <c:v>4.529161235980802E-3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A9-1045-A0B3-30A0BE620010}"/>
            </c:ext>
          </c:extLst>
        </c:ser>
        <c:ser>
          <c:idx val="5"/>
          <c:order val="5"/>
          <c:tx>
            <c:strRef>
              <c:f>'Resumen Brass NARP'!$I$43</c:f>
              <c:strCache>
                <c:ptCount val="1"/>
                <c:pt idx="0">
                  <c:v>Total No Étnico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Brass NARP'!$C$44:$C$51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NARP'!$I$44:$I$51</c:f>
              <c:numCache>
                <c:formatCode>0.0%</c:formatCode>
                <c:ptCount val="8"/>
                <c:pt idx="0">
                  <c:v>3.5795713414385395E-3</c:v>
                </c:pt>
                <c:pt idx="1">
                  <c:v>0.15067464114646312</c:v>
                </c:pt>
                <c:pt idx="2">
                  <c:v>0.26254527629933055</c:v>
                </c:pt>
                <c:pt idx="3">
                  <c:v>0.24432346274477093</c:v>
                </c:pt>
                <c:pt idx="4">
                  <c:v>0.18949514850405055</c:v>
                </c:pt>
                <c:pt idx="5">
                  <c:v>0.11090389421792195</c:v>
                </c:pt>
                <c:pt idx="6">
                  <c:v>3.4508624358429517E-2</c:v>
                </c:pt>
                <c:pt idx="7">
                  <c:v>3.9693813875949519E-3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A9-1045-A0B3-30A0BE620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147839"/>
        <c:axId val="2096127967"/>
      </c:lineChart>
      <c:catAx>
        <c:axId val="209614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27967"/>
        <c:crosses val="autoZero"/>
        <c:auto val="1"/>
        <c:lblAlgn val="ctr"/>
        <c:lblOffset val="100"/>
        <c:noMultiLvlLbl val="0"/>
      </c:catAx>
      <c:valAx>
        <c:axId val="2096127967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4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baseline="0">
                <a:effectLst/>
              </a:rPr>
              <a:t>Estimación TEF NARP por área y pertenencia étnica, Método P/F de Brass, 2018 </a:t>
            </a:r>
            <a:endParaRPr lang="es-CO" sz="1400">
              <a:effectLst/>
            </a:endParaRPr>
          </a:p>
          <a:p>
            <a:pPr>
              <a:defRPr/>
            </a:pPr>
            <a:r>
              <a:rPr lang="es-MX" sz="1400" baseline="0"/>
              <a:t> </a:t>
            </a:r>
            <a:endParaRPr lang="es-MX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15768100766455E-2"/>
          <c:y val="0.16762452398597055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'Resumen Brass NARP'!$D$30</c:f>
              <c:strCache>
                <c:ptCount val="1"/>
                <c:pt idx="0">
                  <c:v>Urbano NARP</c:v>
                </c:pt>
              </c:strCache>
            </c:strRef>
          </c:tx>
          <c:spPr>
            <a:ln w="28575" cap="rnd">
              <a:solidFill>
                <a:srgbClr val="B6004B"/>
              </a:solidFill>
              <a:round/>
            </a:ln>
            <a:effectLst/>
          </c:spPr>
          <c:marker>
            <c:symbol val="none"/>
          </c:marker>
          <c:cat>
            <c:strRef>
              <c:f>'Resumen Brass NARP'!$C$31:$C$38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NARP'!$D$31:$D$38</c:f>
              <c:numCache>
                <c:formatCode>0.000</c:formatCode>
                <c:ptCount val="8"/>
                <c:pt idx="0">
                  <c:v>1.5721117881520971E-3</c:v>
                </c:pt>
                <c:pt idx="1">
                  <c:v>6.2706396693201466E-2</c:v>
                </c:pt>
                <c:pt idx="2">
                  <c:v>0.10567391733884154</c:v>
                </c:pt>
                <c:pt idx="3">
                  <c:v>9.9702176569546969E-2</c:v>
                </c:pt>
                <c:pt idx="4">
                  <c:v>7.2697595796584247E-2</c:v>
                </c:pt>
                <c:pt idx="5">
                  <c:v>4.2447963995168383E-2</c:v>
                </c:pt>
                <c:pt idx="6">
                  <c:v>1.3937351889842901E-2</c:v>
                </c:pt>
                <c:pt idx="7">
                  <c:v>1.7251785713359399E-3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4-494C-BE04-37C14CA7D02D}"/>
            </c:ext>
          </c:extLst>
        </c:ser>
        <c:ser>
          <c:idx val="1"/>
          <c:order val="1"/>
          <c:tx>
            <c:strRef>
              <c:f>'Resumen Brass NARP'!$E$30</c:f>
              <c:strCache>
                <c:ptCount val="1"/>
                <c:pt idx="0">
                  <c:v>Rural NARP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'Resumen Brass NARP'!$C$31:$C$38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NARP'!$E$31:$E$38</c:f>
              <c:numCache>
                <c:formatCode>0.000</c:formatCode>
                <c:ptCount val="8"/>
                <c:pt idx="0">
                  <c:v>4.4954628008994791E-3</c:v>
                </c:pt>
                <c:pt idx="1">
                  <c:v>0.10024855277753036</c:v>
                </c:pt>
                <c:pt idx="2">
                  <c:v>0.15749513210998173</c:v>
                </c:pt>
                <c:pt idx="3">
                  <c:v>0.12303152648420972</c:v>
                </c:pt>
                <c:pt idx="4">
                  <c:v>8.1921054376193458E-2</c:v>
                </c:pt>
                <c:pt idx="5">
                  <c:v>5.0266287154224341E-2</c:v>
                </c:pt>
                <c:pt idx="6">
                  <c:v>2.0925368195792941E-2</c:v>
                </c:pt>
                <c:pt idx="7">
                  <c:v>4.460295092647875E-3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4-494C-BE04-37C14CA7D02D}"/>
            </c:ext>
          </c:extLst>
        </c:ser>
        <c:ser>
          <c:idx val="2"/>
          <c:order val="2"/>
          <c:tx>
            <c:strRef>
              <c:f>'Resumen Brass NARP'!$F$30</c:f>
              <c:strCache>
                <c:ptCount val="1"/>
                <c:pt idx="0">
                  <c:v>Total NARP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'Resumen Brass NARP'!$C$31:$C$38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NARP'!$F$31:$F$38</c:f>
              <c:numCache>
                <c:formatCode>0.000</c:formatCode>
                <c:ptCount val="8"/>
                <c:pt idx="0">
                  <c:v>2.5854211061866039E-3</c:v>
                </c:pt>
                <c:pt idx="1">
                  <c:v>7.4411513327979906E-2</c:v>
                </c:pt>
                <c:pt idx="2">
                  <c:v>0.1203424826365853</c:v>
                </c:pt>
                <c:pt idx="3">
                  <c:v>0.10540906349557194</c:v>
                </c:pt>
                <c:pt idx="4">
                  <c:v>7.4585615971006283E-2</c:v>
                </c:pt>
                <c:pt idx="5">
                  <c:v>4.4210594844407626E-2</c:v>
                </c:pt>
                <c:pt idx="6">
                  <c:v>1.5869403246935501E-2</c:v>
                </c:pt>
                <c:pt idx="7">
                  <c:v>2.5197391924336203E-3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4-494C-BE04-37C14CA7D02D}"/>
            </c:ext>
          </c:extLst>
        </c:ser>
        <c:ser>
          <c:idx val="3"/>
          <c:order val="3"/>
          <c:tx>
            <c:strRef>
              <c:f>'Resumen Brass NARP'!$G$30</c:f>
              <c:strCache>
                <c:ptCount val="1"/>
                <c:pt idx="0">
                  <c:v>Urbano No Étnico</c:v>
                </c:pt>
              </c:strCache>
            </c:strRef>
          </c:tx>
          <c:spPr>
            <a:ln w="28575" cap="rnd">
              <a:solidFill>
                <a:srgbClr val="B6004B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Brass NARP'!$C$31:$C$38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NARP'!$G$31:$G$38</c:f>
              <c:numCache>
                <c:formatCode>0.000</c:formatCode>
                <c:ptCount val="8"/>
                <c:pt idx="0">
                  <c:v>1.0769110143072297E-3</c:v>
                </c:pt>
                <c:pt idx="1">
                  <c:v>4.8180476429907193E-2</c:v>
                </c:pt>
                <c:pt idx="2">
                  <c:v>8.8704586185628098E-2</c:v>
                </c:pt>
                <c:pt idx="3">
                  <c:v>8.6565493082222944E-2</c:v>
                </c:pt>
                <c:pt idx="4">
                  <c:v>6.9192346698687207E-2</c:v>
                </c:pt>
                <c:pt idx="5">
                  <c:v>4.0727295705078229E-2</c:v>
                </c:pt>
                <c:pt idx="6">
                  <c:v>1.2209981373923342E-2</c:v>
                </c:pt>
                <c:pt idx="7">
                  <c:v>1.3325083678032113E-3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94-494C-BE04-37C14CA7D02D}"/>
            </c:ext>
          </c:extLst>
        </c:ser>
        <c:ser>
          <c:idx val="4"/>
          <c:order val="4"/>
          <c:tx>
            <c:strRef>
              <c:f>'Resumen Brass NARP'!$H$30</c:f>
              <c:strCache>
                <c:ptCount val="1"/>
                <c:pt idx="0">
                  <c:v>Rural No Étnico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Brass NARP'!$C$31:$C$38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NARP'!$H$31:$H$38</c:f>
              <c:numCache>
                <c:formatCode>0.000</c:formatCode>
                <c:ptCount val="8"/>
                <c:pt idx="0">
                  <c:v>2.1702270439418326E-3</c:v>
                </c:pt>
                <c:pt idx="1">
                  <c:v>8.5177318639826041E-2</c:v>
                </c:pt>
                <c:pt idx="2">
                  <c:v>0.13893055730625314</c:v>
                </c:pt>
                <c:pt idx="3">
                  <c:v>0.10971515498341672</c:v>
                </c:pt>
                <c:pt idx="4">
                  <c:v>7.3899456453063311E-2</c:v>
                </c:pt>
                <c:pt idx="5">
                  <c:v>4.2033390260645412E-2</c:v>
                </c:pt>
                <c:pt idx="6">
                  <c:v>1.5354964663842258E-2</c:v>
                </c:pt>
                <c:pt idx="7">
                  <c:v>2.1260203947710563E-3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94-494C-BE04-37C14CA7D02D}"/>
            </c:ext>
          </c:extLst>
        </c:ser>
        <c:ser>
          <c:idx val="5"/>
          <c:order val="5"/>
          <c:tx>
            <c:strRef>
              <c:f>'Resumen Brass NARP'!$I$30</c:f>
              <c:strCache>
                <c:ptCount val="1"/>
                <c:pt idx="0">
                  <c:v>Total No Étnico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Brass NARP'!$C$31:$C$38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NARP'!$I$31:$I$38</c:f>
              <c:numCache>
                <c:formatCode>0.000</c:formatCode>
                <c:ptCount val="8"/>
                <c:pt idx="0">
                  <c:v>1.3039749203087678E-3</c:v>
                </c:pt>
                <c:pt idx="1">
                  <c:v>5.4888123308796159E-2</c:v>
                </c:pt>
                <c:pt idx="2">
                  <c:v>9.5640629305709032E-2</c:v>
                </c:pt>
                <c:pt idx="3">
                  <c:v>8.9002742918972227E-2</c:v>
                </c:pt>
                <c:pt idx="4">
                  <c:v>6.9029751777531387E-2</c:v>
                </c:pt>
                <c:pt idx="5">
                  <c:v>4.0400339267055732E-2</c:v>
                </c:pt>
                <c:pt idx="6">
                  <c:v>1.2570885283617401E-2</c:v>
                </c:pt>
                <c:pt idx="7">
                  <c:v>1.4459758682960457E-3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94-494C-BE04-37C14CA7D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147839"/>
        <c:axId val="2096127967"/>
      </c:lineChart>
      <c:catAx>
        <c:axId val="209614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27967"/>
        <c:crosses val="autoZero"/>
        <c:auto val="1"/>
        <c:lblAlgn val="ctr"/>
        <c:lblOffset val="100"/>
        <c:noMultiLvlLbl val="0"/>
      </c:catAx>
      <c:valAx>
        <c:axId val="2096127967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4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baseline="0">
                <a:effectLst/>
              </a:rPr>
              <a:t>Estimación TEF NARP por área y pertenencia étnica, Estadísticas Vitales, 2018 </a:t>
            </a:r>
            <a:endParaRPr lang="es-CO" sz="1400">
              <a:effectLst/>
            </a:endParaRPr>
          </a:p>
          <a:p>
            <a:pPr>
              <a:defRPr/>
            </a:pPr>
            <a:r>
              <a:rPr lang="es-MX" sz="1400" baseline="0"/>
              <a:t> </a:t>
            </a:r>
            <a:endParaRPr lang="es-MX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15768100766455E-2"/>
          <c:y val="0.16762452398597055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'Estimaciones Vitales'!$O$6</c:f>
              <c:strCache>
                <c:ptCount val="1"/>
                <c:pt idx="0">
                  <c:v>Urbano NARP</c:v>
                </c:pt>
              </c:strCache>
            </c:strRef>
          </c:tx>
          <c:spPr>
            <a:ln w="28575" cap="rnd">
              <a:solidFill>
                <a:srgbClr val="B6004B"/>
              </a:solidFill>
              <a:round/>
            </a:ln>
            <a:effectLst/>
          </c:spPr>
          <c:marker>
            <c:symbol val="none"/>
          </c:marker>
          <c:cat>
            <c:strRef>
              <c:f>'Estimaciones Vitales'!$N$7:$N$14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'Estimaciones Vitales'!$O$7:$O$14</c:f>
              <c:numCache>
                <c:formatCode>0.00000</c:formatCode>
                <c:ptCount val="8"/>
                <c:pt idx="0">
                  <c:v>2.8078796121616288E-3</c:v>
                </c:pt>
                <c:pt idx="1">
                  <c:v>4.8095785925911391E-2</c:v>
                </c:pt>
                <c:pt idx="2">
                  <c:v>7.1222974897236432E-2</c:v>
                </c:pt>
                <c:pt idx="3">
                  <c:v>5.9728871860856729E-2</c:v>
                </c:pt>
                <c:pt idx="4">
                  <c:v>4.0307814602819216E-2</c:v>
                </c:pt>
                <c:pt idx="5">
                  <c:v>2.2397809530248069E-2</c:v>
                </c:pt>
                <c:pt idx="6">
                  <c:v>6.4033512866546981E-3</c:v>
                </c:pt>
                <c:pt idx="7">
                  <c:v>5.5645648510286498E-4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3-2F45-9C2F-F91307573D09}"/>
            </c:ext>
          </c:extLst>
        </c:ser>
        <c:ser>
          <c:idx val="1"/>
          <c:order val="1"/>
          <c:tx>
            <c:strRef>
              <c:f>'Estimaciones Vitales'!$P$6</c:f>
              <c:strCache>
                <c:ptCount val="1"/>
                <c:pt idx="0">
                  <c:v>Rural NARP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'Estimaciones Vitales'!$N$7:$N$14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'Estimaciones Vitales'!$P$7:$P$14</c:f>
              <c:numCache>
                <c:formatCode>0.00000</c:formatCode>
                <c:ptCount val="8"/>
                <c:pt idx="0">
                  <c:v>2.2426972171865362E-3</c:v>
                </c:pt>
                <c:pt idx="1">
                  <c:v>3.4207774780026255E-2</c:v>
                </c:pt>
                <c:pt idx="2">
                  <c:v>4.6726587346613918E-2</c:v>
                </c:pt>
                <c:pt idx="3">
                  <c:v>3.5918047548242349E-2</c:v>
                </c:pt>
                <c:pt idx="4">
                  <c:v>2.3368511201723903E-2</c:v>
                </c:pt>
                <c:pt idx="5">
                  <c:v>1.2982374807758226E-2</c:v>
                </c:pt>
                <c:pt idx="6">
                  <c:v>5.2434456928838954E-3</c:v>
                </c:pt>
                <c:pt idx="7">
                  <c:v>6.5445026178010475E-4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3-2F45-9C2F-F91307573D09}"/>
            </c:ext>
          </c:extLst>
        </c:ser>
        <c:ser>
          <c:idx val="2"/>
          <c:order val="2"/>
          <c:tx>
            <c:strRef>
              <c:f>'Estimaciones Vitales'!$Q$6</c:f>
              <c:strCache>
                <c:ptCount val="1"/>
                <c:pt idx="0">
                  <c:v>Total NARP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'Estimaciones Vitales'!$N$7:$N$14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'Estimaciones Vitales'!$Q$7:$Q$14</c:f>
              <c:numCache>
                <c:formatCode>0.00000</c:formatCode>
                <c:ptCount val="8"/>
                <c:pt idx="0">
                  <c:v>2.5988567794911492E-3</c:v>
                </c:pt>
                <c:pt idx="1">
                  <c:v>4.3414882352132242E-2</c:v>
                </c:pt>
                <c:pt idx="2">
                  <c:v>6.3713111143738066E-2</c:v>
                </c:pt>
                <c:pt idx="3">
                  <c:v>5.2710121819995445E-2</c:v>
                </c:pt>
                <c:pt idx="4">
                  <c:v>3.5268128537301678E-2</c:v>
                </c:pt>
                <c:pt idx="5">
                  <c:v>1.9669293490639093E-2</c:v>
                </c:pt>
                <c:pt idx="6">
                  <c:v>6.0606060606060606E-3</c:v>
                </c:pt>
                <c:pt idx="7">
                  <c:v>5.8509800391565582E-4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3-2F45-9C2F-F91307573D09}"/>
            </c:ext>
          </c:extLst>
        </c:ser>
        <c:ser>
          <c:idx val="3"/>
          <c:order val="3"/>
          <c:tx>
            <c:strRef>
              <c:f>'Estimaciones Vitales'!$R$6</c:f>
              <c:strCache>
                <c:ptCount val="1"/>
                <c:pt idx="0">
                  <c:v>Urbano No Étnico</c:v>
                </c:pt>
              </c:strCache>
            </c:strRef>
          </c:tx>
          <c:spPr>
            <a:ln w="28575" cap="rnd">
              <a:solidFill>
                <a:srgbClr val="B6004B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'Estimaciones Vitales'!$N$7:$N$14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'Estimaciones Vitales'!$R$7:$R$14</c:f>
              <c:numCache>
                <c:formatCode>0.00000</c:formatCode>
                <c:ptCount val="8"/>
                <c:pt idx="0">
                  <c:v>2.7360319621590277E-3</c:v>
                </c:pt>
                <c:pt idx="1">
                  <c:v>6.3751571494287437E-2</c:v>
                </c:pt>
                <c:pt idx="2">
                  <c:v>9.5972242217985212E-2</c:v>
                </c:pt>
                <c:pt idx="3">
                  <c:v>8.7734995871399782E-2</c:v>
                </c:pt>
                <c:pt idx="4">
                  <c:v>6.5334373392951159E-2</c:v>
                </c:pt>
                <c:pt idx="5">
                  <c:v>3.6182774566426566E-2</c:v>
                </c:pt>
                <c:pt idx="6">
                  <c:v>9.7162523330190983E-3</c:v>
                </c:pt>
                <c:pt idx="7">
                  <c:v>5.9731479931462029E-4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3-2F45-9C2F-F91307573D09}"/>
            </c:ext>
          </c:extLst>
        </c:ser>
        <c:ser>
          <c:idx val="4"/>
          <c:order val="4"/>
          <c:tx>
            <c:strRef>
              <c:f>'Estimaciones Vitales'!$S$6</c:f>
              <c:strCache>
                <c:ptCount val="1"/>
                <c:pt idx="0">
                  <c:v>Rural No Étnico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'Estimaciones Vitales'!$N$7:$N$14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'Estimaciones Vitales'!$S$7:$S$14</c:f>
              <c:numCache>
                <c:formatCode>0.00000</c:formatCode>
                <c:ptCount val="8"/>
                <c:pt idx="0">
                  <c:v>4.6891850260569684E-3</c:v>
                </c:pt>
                <c:pt idx="1">
                  <c:v>9.1651278240330009E-2</c:v>
                </c:pt>
                <c:pt idx="2">
                  <c:v>0.12471155848608666</c:v>
                </c:pt>
                <c:pt idx="3">
                  <c:v>9.5858260016020075E-2</c:v>
                </c:pt>
                <c:pt idx="4">
                  <c:v>6.3473369662116919E-2</c:v>
                </c:pt>
                <c:pt idx="5">
                  <c:v>3.4607157099818819E-2</c:v>
                </c:pt>
                <c:pt idx="6">
                  <c:v>1.1204364695238814E-2</c:v>
                </c:pt>
                <c:pt idx="7">
                  <c:v>1.0638879799160371E-3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3-2F45-9C2F-F91307573D09}"/>
            </c:ext>
          </c:extLst>
        </c:ser>
        <c:ser>
          <c:idx val="5"/>
          <c:order val="5"/>
          <c:tx>
            <c:strRef>
              <c:f>'Estimaciones Vitales'!$T$6</c:f>
              <c:strCache>
                <c:ptCount val="1"/>
                <c:pt idx="0">
                  <c:v>Total No Étnico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'Estimaciones Vitales'!$N$7:$N$14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'Estimaciones Vitales'!$T$7:$T$14</c:f>
              <c:numCache>
                <c:formatCode>0.00000</c:formatCode>
                <c:ptCount val="8"/>
                <c:pt idx="0">
                  <c:v>3.1740856652848525E-3</c:v>
                </c:pt>
                <c:pt idx="1">
                  <c:v>6.9369539819704382E-2</c:v>
                </c:pt>
                <c:pt idx="2">
                  <c:v>0.10067621868208544</c:v>
                </c:pt>
                <c:pt idx="3">
                  <c:v>8.9007411086326219E-2</c:v>
                </c:pt>
                <c:pt idx="4">
                  <c:v>6.503407824780591E-2</c:v>
                </c:pt>
                <c:pt idx="5">
                  <c:v>3.5926295861123038E-2</c:v>
                </c:pt>
                <c:pt idx="6">
                  <c:v>9.9662548728325379E-3</c:v>
                </c:pt>
                <c:pt idx="7">
                  <c:v>6.7532817103827501E-4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3-2F45-9C2F-F91307573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147839"/>
        <c:axId val="2096127967"/>
      </c:lineChart>
      <c:catAx>
        <c:axId val="209614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27967"/>
        <c:crosses val="autoZero"/>
        <c:auto val="1"/>
        <c:lblAlgn val="ctr"/>
        <c:lblOffset val="100"/>
        <c:noMultiLvlLbl val="0"/>
      </c:catAx>
      <c:valAx>
        <c:axId val="2096127967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4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baseline="0">
                <a:effectLst/>
              </a:rPr>
              <a:t>Estimación TEF (%) NARP por área y pertenencia étnica, Estadísticas Vitales, 2018 </a:t>
            </a:r>
            <a:endParaRPr lang="es-CO" sz="1400">
              <a:effectLst/>
            </a:endParaRPr>
          </a:p>
          <a:p>
            <a:pPr>
              <a:defRPr/>
            </a:pPr>
            <a:r>
              <a:rPr lang="es-MX" sz="1400" baseline="0"/>
              <a:t> </a:t>
            </a:r>
            <a:endParaRPr lang="es-MX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15768100766455E-2"/>
          <c:y val="0.16762452398597055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'Resumen Gompertz NARP'!$C$16</c:f>
              <c:strCache>
                <c:ptCount val="1"/>
                <c:pt idx="0">
                  <c:v>Urbano NARP</c:v>
                </c:pt>
              </c:strCache>
            </c:strRef>
          </c:tx>
          <c:spPr>
            <a:ln w="28575" cap="rnd">
              <a:solidFill>
                <a:srgbClr val="B6004B"/>
              </a:solidFill>
              <a:round/>
            </a:ln>
            <a:effectLst/>
          </c:spPr>
          <c:marker>
            <c:symbol val="none"/>
          </c:marker>
          <c:cat>
            <c:strRef>
              <c:f>'Resumen Gompertz NARP'!$B$17:$B$24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NARP'!$C$17:$C$24</c:f>
              <c:numCache>
                <c:formatCode>0.0%</c:formatCode>
                <c:ptCount val="8"/>
                <c:pt idx="0">
                  <c:v>5.2585210039739795E-3</c:v>
                </c:pt>
                <c:pt idx="1">
                  <c:v>0.17077999082747691</c:v>
                </c:pt>
                <c:pt idx="2">
                  <c:v>0.26316633646257914</c:v>
                </c:pt>
                <c:pt idx="3">
                  <c:v>0.22616243576982983</c:v>
                </c:pt>
                <c:pt idx="4">
                  <c:v>0.16911328170821716</c:v>
                </c:pt>
                <c:pt idx="5">
                  <c:v>0.1122609849295282</c:v>
                </c:pt>
                <c:pt idx="6">
                  <c:v>4.7654173103439668E-2</c:v>
                </c:pt>
                <c:pt idx="7">
                  <c:v>5.6042761949550886E-3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2-5049-B677-2790F03022A8}"/>
            </c:ext>
          </c:extLst>
        </c:ser>
        <c:ser>
          <c:idx val="1"/>
          <c:order val="1"/>
          <c:tx>
            <c:strRef>
              <c:f>'Resumen Gompertz NARP'!$D$16</c:f>
              <c:strCache>
                <c:ptCount val="1"/>
                <c:pt idx="0">
                  <c:v>Rural NARP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'Resumen Gompertz NARP'!$B$17:$B$24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NARP'!$D$17:$D$24</c:f>
              <c:numCache>
                <c:formatCode>0.0%</c:formatCode>
                <c:ptCount val="8"/>
                <c:pt idx="0">
                  <c:v>7.3585955447811532E-3</c:v>
                </c:pt>
                <c:pt idx="1">
                  <c:v>0.20191382681384434</c:v>
                </c:pt>
                <c:pt idx="2">
                  <c:v>0.27662832172355234</c:v>
                </c:pt>
                <c:pt idx="3">
                  <c:v>0.21970318617202311</c:v>
                </c:pt>
                <c:pt idx="4">
                  <c:v>0.1546467412280253</c:v>
                </c:pt>
                <c:pt idx="5">
                  <c:v>9.7025010430805483E-2</c:v>
                </c:pt>
                <c:pt idx="6">
                  <c:v>3.8592337770552869E-2</c:v>
                </c:pt>
                <c:pt idx="7">
                  <c:v>4.1319803164153587E-3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2-5049-B677-2790F03022A8}"/>
            </c:ext>
          </c:extLst>
        </c:ser>
        <c:ser>
          <c:idx val="2"/>
          <c:order val="2"/>
          <c:tx>
            <c:strRef>
              <c:f>'Resumen Gompertz NARP'!$E$16</c:f>
              <c:strCache>
                <c:ptCount val="1"/>
                <c:pt idx="0">
                  <c:v>Total NARP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'Resumen Gompertz NARP'!$B$17:$B$24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NARP'!$E$17:$E$24</c:f>
              <c:numCache>
                <c:formatCode>0.0%</c:formatCode>
                <c:ptCount val="8"/>
                <c:pt idx="0">
                  <c:v>7.1864318329721739E-3</c:v>
                </c:pt>
                <c:pt idx="1">
                  <c:v>0.18349714636239917</c:v>
                </c:pt>
                <c:pt idx="2">
                  <c:v>0.2620090275406825</c:v>
                </c:pt>
                <c:pt idx="3">
                  <c:v>0.22030473501725326</c:v>
                </c:pt>
                <c:pt idx="4">
                  <c:v>0.16416827354207195</c:v>
                </c:pt>
                <c:pt idx="5">
                  <c:v>0.10970452110851731</c:v>
                </c:pt>
                <c:pt idx="6">
                  <c:v>4.7373380181596689E-2</c:v>
                </c:pt>
                <c:pt idx="7">
                  <c:v>5.756484414506784E-3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2-5049-B677-2790F03022A8}"/>
            </c:ext>
          </c:extLst>
        </c:ser>
        <c:ser>
          <c:idx val="3"/>
          <c:order val="3"/>
          <c:tx>
            <c:strRef>
              <c:f>'Resumen Gompertz NARP'!$F$16</c:f>
              <c:strCache>
                <c:ptCount val="1"/>
                <c:pt idx="0">
                  <c:v>Urbano No Étnico</c:v>
                </c:pt>
              </c:strCache>
            </c:strRef>
          </c:tx>
          <c:spPr>
            <a:ln w="28575" cap="rnd">
              <a:solidFill>
                <a:srgbClr val="B6004B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Gompertz NARP'!$B$17:$B$24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NARP'!$F$17:$F$24</c:f>
              <c:numCache>
                <c:formatCode>0.0%</c:formatCode>
                <c:ptCount val="8"/>
                <c:pt idx="0">
                  <c:v>4.1449848603598415E-3</c:v>
                </c:pt>
                <c:pt idx="1">
                  <c:v>0.14925558089978791</c:v>
                </c:pt>
                <c:pt idx="2">
                  <c:v>0.25019073725460261</c:v>
                </c:pt>
                <c:pt idx="3">
                  <c:v>0.22864149207500808</c:v>
                </c:pt>
                <c:pt idx="4">
                  <c:v>0.17960081966538485</c:v>
                </c:pt>
                <c:pt idx="5">
                  <c:v>0.1249852043539801</c:v>
                </c:pt>
                <c:pt idx="6">
                  <c:v>5.6049794973094751E-2</c:v>
                </c:pt>
                <c:pt idx="7">
                  <c:v>7.1313859177817678E-3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2-5049-B677-2790F03022A8}"/>
            </c:ext>
          </c:extLst>
        </c:ser>
        <c:ser>
          <c:idx val="4"/>
          <c:order val="4"/>
          <c:tx>
            <c:strRef>
              <c:f>'Resumen Gompertz NARP'!$G$16</c:f>
              <c:strCache>
                <c:ptCount val="1"/>
                <c:pt idx="0">
                  <c:v>Rural No Étnico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Gompertz NARP'!$B$17:$B$24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NARP'!$G$17:$G$24</c:f>
              <c:numCache>
                <c:formatCode>0.0%</c:formatCode>
                <c:ptCount val="8"/>
                <c:pt idx="0">
                  <c:v>5.594128968882844E-3</c:v>
                </c:pt>
                <c:pt idx="1">
                  <c:v>0.1940832141393726</c:v>
                </c:pt>
                <c:pt idx="2">
                  <c:v>0.28171230876900033</c:v>
                </c:pt>
                <c:pt idx="3">
                  <c:v>0.22492495562236844</c:v>
                </c:pt>
                <c:pt idx="4">
                  <c:v>0.15663857369050446</c:v>
                </c:pt>
                <c:pt idx="5">
                  <c:v>9.6276278079968525E-2</c:v>
                </c:pt>
                <c:pt idx="6">
                  <c:v>3.7026373159256817E-2</c:v>
                </c:pt>
                <c:pt idx="7">
                  <c:v>3.7441675706458228E-3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2-5049-B677-2790F03022A8}"/>
            </c:ext>
          </c:extLst>
        </c:ser>
        <c:ser>
          <c:idx val="5"/>
          <c:order val="5"/>
          <c:tx>
            <c:strRef>
              <c:f>'Resumen Gompertz NARP'!$H$16</c:f>
              <c:strCache>
                <c:ptCount val="1"/>
                <c:pt idx="0">
                  <c:v>Total No Étnico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Gompertz NARP'!$B$17:$B$24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NARP'!$H$17:$H$24</c:f>
              <c:numCache>
                <c:formatCode>0.0%</c:formatCode>
                <c:ptCount val="8"/>
                <c:pt idx="0">
                  <c:v>4.9102980729073794E-3</c:v>
                </c:pt>
                <c:pt idx="1">
                  <c:v>0.16067745481765611</c:v>
                </c:pt>
                <c:pt idx="2">
                  <c:v>0.25574320146532764</c:v>
                </c:pt>
                <c:pt idx="3">
                  <c:v>0.22663223184797851</c:v>
                </c:pt>
                <c:pt idx="4">
                  <c:v>0.17420881917880526</c:v>
                </c:pt>
                <c:pt idx="5">
                  <c:v>0.11900219819064554</c:v>
                </c:pt>
                <c:pt idx="6">
                  <c:v>5.2337542001696068E-2</c:v>
                </c:pt>
                <c:pt idx="7">
                  <c:v>6.4882544249836166E-3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2-5049-B677-2790F0302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147839"/>
        <c:axId val="2096127967"/>
      </c:lineChart>
      <c:catAx>
        <c:axId val="209614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27967"/>
        <c:crosses val="autoZero"/>
        <c:auto val="1"/>
        <c:lblAlgn val="ctr"/>
        <c:lblOffset val="100"/>
        <c:noMultiLvlLbl val="0"/>
      </c:catAx>
      <c:valAx>
        <c:axId val="2096127967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4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baseline="0">
                <a:effectLst/>
              </a:rPr>
              <a:t>Estimación TEF (%) NARP por área y pertenencia étnica, Método P/F de Brass, 2018 </a:t>
            </a:r>
            <a:endParaRPr lang="es-CO" sz="1400">
              <a:effectLst/>
            </a:endParaRPr>
          </a:p>
          <a:p>
            <a:pPr>
              <a:defRPr/>
            </a:pPr>
            <a:r>
              <a:rPr lang="es-MX" sz="1400" baseline="0"/>
              <a:t> </a:t>
            </a:r>
            <a:endParaRPr lang="es-MX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15768100766455E-2"/>
          <c:y val="0.16762452398597055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'Resumen Brass NARP'!$D$43</c:f>
              <c:strCache>
                <c:ptCount val="1"/>
                <c:pt idx="0">
                  <c:v>Urbano NARP</c:v>
                </c:pt>
              </c:strCache>
            </c:strRef>
          </c:tx>
          <c:spPr>
            <a:ln w="28575" cap="rnd">
              <a:solidFill>
                <a:srgbClr val="B6004B"/>
              </a:solidFill>
              <a:round/>
            </a:ln>
            <a:effectLst/>
          </c:spPr>
          <c:marker>
            <c:symbol val="none"/>
          </c:marker>
          <c:cat>
            <c:strRef>
              <c:f>'Resumen Brass NARP'!$C$44:$C$51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NARP'!$D$44:$D$51</c:f>
              <c:numCache>
                <c:formatCode>0.0%</c:formatCode>
                <c:ptCount val="8"/>
                <c:pt idx="0">
                  <c:v>3.925738444641752E-3</c:v>
                </c:pt>
                <c:pt idx="1">
                  <c:v>0.15658486507044839</c:v>
                </c:pt>
                <c:pt idx="2">
                  <c:v>0.26387955552487058</c:v>
                </c:pt>
                <c:pt idx="3">
                  <c:v>0.24896745290206007</c:v>
                </c:pt>
                <c:pt idx="4">
                  <c:v>0.18153400337207232</c:v>
                </c:pt>
                <c:pt idx="5">
                  <c:v>0.10599729956129529</c:v>
                </c:pt>
                <c:pt idx="6">
                  <c:v>3.4803121853547989E-2</c:v>
                </c:pt>
                <c:pt idx="7">
                  <c:v>4.3079632710637779E-3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6-6F48-B56A-32D58C93688E}"/>
            </c:ext>
          </c:extLst>
        </c:ser>
        <c:ser>
          <c:idx val="1"/>
          <c:order val="1"/>
          <c:tx>
            <c:strRef>
              <c:f>'Resumen Brass NARP'!$E$43</c:f>
              <c:strCache>
                <c:ptCount val="1"/>
                <c:pt idx="0">
                  <c:v>Rural NARP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'Resumen Brass NARP'!$C$44:$C$51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NARP'!$E$44:$E$51</c:f>
              <c:numCache>
                <c:formatCode>0.0%</c:formatCode>
                <c:ptCount val="8"/>
                <c:pt idx="0">
                  <c:v>8.2813210780152361E-3</c:v>
                </c:pt>
                <c:pt idx="1">
                  <c:v>0.18467296692811597</c:v>
                </c:pt>
                <c:pt idx="2">
                  <c:v>0.29012980753977546</c:v>
                </c:pt>
                <c:pt idx="3">
                  <c:v>0.2266426436295314</c:v>
                </c:pt>
                <c:pt idx="4">
                  <c:v>0.15091094830171034</c:v>
                </c:pt>
                <c:pt idx="5">
                  <c:v>9.2598088730832001E-2</c:v>
                </c:pt>
                <c:pt idx="6">
                  <c:v>3.8547686941237037E-2</c:v>
                </c:pt>
                <c:pt idx="7">
                  <c:v>8.2165368507825642E-3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6-6F48-B56A-32D58C93688E}"/>
            </c:ext>
          </c:extLst>
        </c:ser>
        <c:ser>
          <c:idx val="2"/>
          <c:order val="2"/>
          <c:tx>
            <c:strRef>
              <c:f>'Resumen Brass NARP'!$F$43</c:f>
              <c:strCache>
                <c:ptCount val="1"/>
                <c:pt idx="0">
                  <c:v>Total NARP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'Resumen Brass NARP'!$C$44:$C$51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NARP'!$F$44:$F$51</c:f>
              <c:numCache>
                <c:formatCode>0.0%</c:formatCode>
                <c:ptCount val="8"/>
                <c:pt idx="0">
                  <c:v>5.876840805196926E-3</c:v>
                </c:pt>
                <c:pt idx="1">
                  <c:v>0.16914251100368505</c:v>
                </c:pt>
                <c:pt idx="2">
                  <c:v>0.27354677768548474</c:v>
                </c:pt>
                <c:pt idx="3">
                  <c:v>0.2396020842044059</c:v>
                </c:pt>
                <c:pt idx="4">
                  <c:v>0.16953825834031108</c:v>
                </c:pt>
                <c:pt idx="5">
                  <c:v>0.10049373666128456</c:v>
                </c:pt>
                <c:pt idx="6">
                  <c:v>3.607225002246265E-2</c:v>
                </c:pt>
                <c:pt idx="7">
                  <c:v>5.7275412771690534E-3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86-6F48-B56A-32D58C93688E}"/>
            </c:ext>
          </c:extLst>
        </c:ser>
        <c:ser>
          <c:idx val="3"/>
          <c:order val="3"/>
          <c:tx>
            <c:strRef>
              <c:f>'Resumen Brass NARP'!$G$43</c:f>
              <c:strCache>
                <c:ptCount val="1"/>
                <c:pt idx="0">
                  <c:v>Urbano No Étnico</c:v>
                </c:pt>
              </c:strCache>
            </c:strRef>
          </c:tx>
          <c:spPr>
            <a:ln w="28575" cap="rnd">
              <a:solidFill>
                <a:srgbClr val="B6004B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Brass NARP'!$C$44:$C$51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NARP'!$G$44:$G$51</c:f>
              <c:numCache>
                <c:formatCode>0.0%</c:formatCode>
                <c:ptCount val="8"/>
                <c:pt idx="0">
                  <c:v>3.0946643745752922E-3</c:v>
                </c:pt>
                <c:pt idx="1">
                  <c:v>0.13845378306731779</c:v>
                </c:pt>
                <c:pt idx="2">
                  <c:v>0.25490585487854639</c:v>
                </c:pt>
                <c:pt idx="3">
                  <c:v>0.24875885189217048</c:v>
                </c:pt>
                <c:pt idx="4">
                  <c:v>0.19883452530145795</c:v>
                </c:pt>
                <c:pt idx="5">
                  <c:v>0.11703595693315286</c:v>
                </c:pt>
                <c:pt idx="6">
                  <c:v>3.5087202071580462E-2</c:v>
                </c:pt>
                <c:pt idx="7">
                  <c:v>3.8291614811988878E-3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86-6F48-B56A-32D58C93688E}"/>
            </c:ext>
          </c:extLst>
        </c:ser>
        <c:ser>
          <c:idx val="4"/>
          <c:order val="4"/>
          <c:tx>
            <c:strRef>
              <c:f>'Resumen Brass NARP'!$H$43</c:f>
              <c:strCache>
                <c:ptCount val="1"/>
                <c:pt idx="0">
                  <c:v>Rural No Étnico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Brass NARP'!$C$44:$C$51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NARP'!$H$44:$H$51</c:f>
              <c:numCache>
                <c:formatCode>0.0%</c:formatCode>
                <c:ptCount val="8"/>
                <c:pt idx="0">
                  <c:v>4.6233367397950278E-3</c:v>
                </c:pt>
                <c:pt idx="1">
                  <c:v>0.1814572478782964</c:v>
                </c:pt>
                <c:pt idx="2">
                  <c:v>0.29597030028136284</c:v>
                </c:pt>
                <c:pt idx="3">
                  <c:v>0.2337313546815849</c:v>
                </c:pt>
                <c:pt idx="4">
                  <c:v>0.15743148765198398</c:v>
                </c:pt>
                <c:pt idx="5">
                  <c:v>8.9545708147296066E-2</c:v>
                </c:pt>
                <c:pt idx="6">
                  <c:v>3.2711403383700093E-2</c:v>
                </c:pt>
                <c:pt idx="7">
                  <c:v>4.529161235980802E-3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86-6F48-B56A-32D58C93688E}"/>
            </c:ext>
          </c:extLst>
        </c:ser>
        <c:ser>
          <c:idx val="5"/>
          <c:order val="5"/>
          <c:tx>
            <c:strRef>
              <c:f>'Resumen Brass NARP'!$I$43</c:f>
              <c:strCache>
                <c:ptCount val="1"/>
                <c:pt idx="0">
                  <c:v>Total No Étnico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Brass NARP'!$C$44:$C$51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Brass NARP'!$I$44:$I$51</c:f>
              <c:numCache>
                <c:formatCode>0.0%</c:formatCode>
                <c:ptCount val="8"/>
                <c:pt idx="0">
                  <c:v>3.5795713414385395E-3</c:v>
                </c:pt>
                <c:pt idx="1">
                  <c:v>0.15067464114646312</c:v>
                </c:pt>
                <c:pt idx="2">
                  <c:v>0.26254527629933055</c:v>
                </c:pt>
                <c:pt idx="3">
                  <c:v>0.24432346274477093</c:v>
                </c:pt>
                <c:pt idx="4">
                  <c:v>0.18949514850405055</c:v>
                </c:pt>
                <c:pt idx="5">
                  <c:v>0.11090389421792195</c:v>
                </c:pt>
                <c:pt idx="6">
                  <c:v>3.4508624358429517E-2</c:v>
                </c:pt>
                <c:pt idx="7">
                  <c:v>3.9693813875949519E-3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86-6F48-B56A-32D58C936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147839"/>
        <c:axId val="2096127967"/>
      </c:lineChart>
      <c:catAx>
        <c:axId val="209614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27967"/>
        <c:crosses val="autoZero"/>
        <c:auto val="1"/>
        <c:lblAlgn val="ctr"/>
        <c:lblOffset val="100"/>
        <c:noMultiLvlLbl val="0"/>
      </c:catAx>
      <c:valAx>
        <c:axId val="2096127967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4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baseline="0">
                <a:effectLst/>
              </a:rPr>
              <a:t>Estimación TEF (%) NARP por área y pertenencia étnica, Estadísticas Vitales, 2018 </a:t>
            </a:r>
            <a:endParaRPr lang="es-CO" sz="1400">
              <a:effectLst/>
            </a:endParaRPr>
          </a:p>
          <a:p>
            <a:pPr>
              <a:defRPr/>
            </a:pPr>
            <a:r>
              <a:rPr lang="es-MX" sz="1400" baseline="0"/>
              <a:t> </a:t>
            </a:r>
            <a:endParaRPr lang="es-MX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15768100766455E-2"/>
          <c:y val="0.16762452398597055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'Estimaciones Vitales'!$O$19</c:f>
              <c:strCache>
                <c:ptCount val="1"/>
                <c:pt idx="0">
                  <c:v>Urbano NARP</c:v>
                </c:pt>
              </c:strCache>
            </c:strRef>
          </c:tx>
          <c:spPr>
            <a:ln w="28575" cap="rnd">
              <a:solidFill>
                <a:srgbClr val="B6004B"/>
              </a:solidFill>
              <a:round/>
            </a:ln>
            <a:effectLst/>
          </c:spPr>
          <c:marker>
            <c:symbol val="none"/>
          </c:marker>
          <c:cat>
            <c:strRef>
              <c:f>'Estimaciones Vitales'!$N$20:$N$27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'Estimaciones Vitales'!$O$20:$O$27</c:f>
              <c:numCache>
                <c:formatCode>0.0%</c:formatCode>
                <c:ptCount val="8"/>
                <c:pt idx="0">
                  <c:v>1.1163601588255192E-2</c:v>
                </c:pt>
                <c:pt idx="1">
                  <c:v>0.19121980508898664</c:v>
                </c:pt>
                <c:pt idx="2">
                  <c:v>0.28316916161193306</c:v>
                </c:pt>
                <c:pt idx="3">
                  <c:v>0.23747076829167449</c:v>
                </c:pt>
                <c:pt idx="4">
                  <c:v>0.16025629488178583</c:v>
                </c:pt>
                <c:pt idx="5">
                  <c:v>8.9049480954357108E-2</c:v>
                </c:pt>
                <c:pt idx="6">
                  <c:v>2.5458521185964395E-2</c:v>
                </c:pt>
                <c:pt idx="7">
                  <c:v>2.2123663970432584E-3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8-D94A-9374-7D0171079BB6}"/>
            </c:ext>
          </c:extLst>
        </c:ser>
        <c:ser>
          <c:idx val="1"/>
          <c:order val="1"/>
          <c:tx>
            <c:strRef>
              <c:f>'Estimaciones Vitales'!$P$19</c:f>
              <c:strCache>
                <c:ptCount val="1"/>
                <c:pt idx="0">
                  <c:v>Rural NARP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'Estimaciones Vitales'!$N$20:$N$27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'Estimaciones Vitales'!$P$20:$P$27</c:f>
              <c:numCache>
                <c:formatCode>0.0%</c:formatCode>
                <c:ptCount val="8"/>
                <c:pt idx="0">
                  <c:v>1.3900106369601394E-2</c:v>
                </c:pt>
                <c:pt idx="1">
                  <c:v>0.21201779021522899</c:v>
                </c:pt>
                <c:pt idx="2">
                  <c:v>0.28960865935402885</c:v>
                </c:pt>
                <c:pt idx="3">
                  <c:v>0.2226179609458368</c:v>
                </c:pt>
                <c:pt idx="4">
                  <c:v>0.14483666761341804</c:v>
                </c:pt>
                <c:pt idx="5">
                  <c:v>8.0464000835679159E-2</c:v>
                </c:pt>
                <c:pt idx="6">
                  <c:v>3.2498570166216184E-2</c:v>
                </c:pt>
                <c:pt idx="7">
                  <c:v>4.0562444999905209E-3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8-D94A-9374-7D0171079BB6}"/>
            </c:ext>
          </c:extLst>
        </c:ser>
        <c:ser>
          <c:idx val="2"/>
          <c:order val="2"/>
          <c:tx>
            <c:strRef>
              <c:f>'Estimaciones Vitales'!$Q$19</c:f>
              <c:strCache>
                <c:ptCount val="1"/>
                <c:pt idx="0">
                  <c:v>Total NARP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'Estimaciones Vitales'!$N$20:$N$27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'Estimaciones Vitales'!$Q$20:$Q$27</c:f>
              <c:numCache>
                <c:formatCode>0.0%</c:formatCode>
                <c:ptCount val="8"/>
                <c:pt idx="0">
                  <c:v>1.1600998305572818E-2</c:v>
                </c:pt>
                <c:pt idx="1">
                  <c:v>0.19379905063577385</c:v>
                </c:pt>
                <c:pt idx="2">
                  <c:v>0.28440801365206403</c:v>
                </c:pt>
                <c:pt idx="3">
                  <c:v>0.23529193249349911</c:v>
                </c:pt>
                <c:pt idx="4">
                  <c:v>0.1574328768829158</c:v>
                </c:pt>
                <c:pt idx="5">
                  <c:v>8.7801468036802097E-2</c:v>
                </c:pt>
                <c:pt idx="6">
                  <c:v>2.7053849675241295E-2</c:v>
                </c:pt>
                <c:pt idx="7">
                  <c:v>2.6118103181309526E-3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58-D94A-9374-7D0171079BB6}"/>
            </c:ext>
          </c:extLst>
        </c:ser>
        <c:ser>
          <c:idx val="3"/>
          <c:order val="3"/>
          <c:tx>
            <c:strRef>
              <c:f>'Estimaciones Vitales'!$R$19</c:f>
              <c:strCache>
                <c:ptCount val="1"/>
                <c:pt idx="0">
                  <c:v>Urbano No Étnico</c:v>
                </c:pt>
              </c:strCache>
            </c:strRef>
          </c:tx>
          <c:spPr>
            <a:ln w="28575" cap="rnd">
              <a:solidFill>
                <a:srgbClr val="B6004B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'Estimaciones Vitales'!$N$20:$N$27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'Estimaciones Vitales'!$R$20:$R$27</c:f>
              <c:numCache>
                <c:formatCode>0.0%</c:formatCode>
                <c:ptCount val="8"/>
                <c:pt idx="0">
                  <c:v>7.5575657905784842E-3</c:v>
                </c:pt>
                <c:pt idx="1">
                  <c:v>0.17609688135391779</c:v>
                </c:pt>
                <c:pt idx="2">
                  <c:v>0.26509797570471483</c:v>
                </c:pt>
                <c:pt idx="3">
                  <c:v>0.24234475788470194</c:v>
                </c:pt>
                <c:pt idx="4">
                  <c:v>0.18046895362794349</c:v>
                </c:pt>
                <c:pt idx="5">
                  <c:v>9.9945359942233233E-2</c:v>
                </c:pt>
                <c:pt idx="6">
                  <c:v>2.6838581295924733E-2</c:v>
                </c:pt>
                <c:pt idx="7">
                  <c:v>1.6499243999855157E-3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58-D94A-9374-7D0171079BB6}"/>
            </c:ext>
          </c:extLst>
        </c:ser>
        <c:ser>
          <c:idx val="4"/>
          <c:order val="4"/>
          <c:tx>
            <c:strRef>
              <c:f>'Estimaciones Vitales'!$S$19</c:f>
              <c:strCache>
                <c:ptCount val="1"/>
                <c:pt idx="0">
                  <c:v>Rural No Étnico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'Estimaciones Vitales'!$N$20:$N$27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'Estimaciones Vitales'!$S$20:$S$27</c:f>
              <c:numCache>
                <c:formatCode>0.0%</c:formatCode>
                <c:ptCount val="8"/>
                <c:pt idx="0">
                  <c:v>1.0975039389043345E-2</c:v>
                </c:pt>
                <c:pt idx="1">
                  <c:v>0.214509852597907</c:v>
                </c:pt>
                <c:pt idx="2">
                  <c:v>0.29188745145437461</c:v>
                </c:pt>
                <c:pt idx="3">
                  <c:v>0.22435629509071067</c:v>
                </c:pt>
                <c:pt idx="4">
                  <c:v>0.14855944654050399</c:v>
                </c:pt>
                <c:pt idx="5">
                  <c:v>8.0998064738917006E-2</c:v>
                </c:pt>
                <c:pt idx="6">
                  <c:v>2.6223819955096539E-2</c:v>
                </c:pt>
                <c:pt idx="7">
                  <c:v>2.4900302334468832E-3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58-D94A-9374-7D0171079BB6}"/>
            </c:ext>
          </c:extLst>
        </c:ser>
        <c:ser>
          <c:idx val="5"/>
          <c:order val="5"/>
          <c:tx>
            <c:strRef>
              <c:f>'Estimaciones Vitales'!$T$19</c:f>
              <c:strCache>
                <c:ptCount val="1"/>
                <c:pt idx="0">
                  <c:v>Total No Étnico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'Estimaciones Vitales'!$N$20:$N$27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'Estimaciones Vitales'!$T$20:$T$27</c:f>
              <c:numCache>
                <c:formatCode>0.0%</c:formatCode>
                <c:ptCount val="8"/>
                <c:pt idx="0">
                  <c:v>8.4907373740388953E-3</c:v>
                </c:pt>
                <c:pt idx="1">
                  <c:v>0.18556479140085994</c:v>
                </c:pt>
                <c:pt idx="2">
                  <c:v>0.26931073158801522</c:v>
                </c:pt>
                <c:pt idx="3">
                  <c:v>0.23809645723890427</c:v>
                </c:pt>
                <c:pt idx="4">
                  <c:v>0.17396735217455467</c:v>
                </c:pt>
                <c:pt idx="5">
                  <c:v>9.6103500392274679E-2</c:v>
                </c:pt>
                <c:pt idx="6">
                  <c:v>2.6659914586886976E-2</c:v>
                </c:pt>
                <c:pt idx="7">
                  <c:v>1.8065152444653452E-3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58-D94A-9374-7D0171079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147839"/>
        <c:axId val="2096127967"/>
      </c:lineChart>
      <c:catAx>
        <c:axId val="209614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27967"/>
        <c:crosses val="autoZero"/>
        <c:auto val="1"/>
        <c:lblAlgn val="ctr"/>
        <c:lblOffset val="100"/>
        <c:noMultiLvlLbl val="0"/>
      </c:catAx>
      <c:valAx>
        <c:axId val="2096127967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4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baseline="0">
                <a:effectLst/>
              </a:rPr>
              <a:t>Estimación TEF NARP por área y pertenencia étnica, Estadísticas Vitales, 2018 </a:t>
            </a:r>
            <a:endParaRPr lang="es-CO" sz="1400">
              <a:effectLst/>
            </a:endParaRPr>
          </a:p>
          <a:p>
            <a:pPr>
              <a:defRPr/>
            </a:pPr>
            <a:r>
              <a:rPr lang="es-MX" sz="1400" baseline="0"/>
              <a:t> </a:t>
            </a:r>
            <a:endParaRPr lang="es-MX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15768100766455E-2"/>
          <c:y val="0.16762452398597055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'Estimaciones Vitales'!$O$6</c:f>
              <c:strCache>
                <c:ptCount val="1"/>
                <c:pt idx="0">
                  <c:v>Urbano NARP</c:v>
                </c:pt>
              </c:strCache>
            </c:strRef>
          </c:tx>
          <c:spPr>
            <a:ln w="28575" cap="rnd">
              <a:solidFill>
                <a:srgbClr val="B6004B"/>
              </a:solidFill>
              <a:round/>
            </a:ln>
            <a:effectLst/>
          </c:spPr>
          <c:marker>
            <c:symbol val="none"/>
          </c:marker>
          <c:cat>
            <c:strRef>
              <c:f>'Estimaciones Vitales'!$N$7:$N$14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'Estimaciones Vitales'!$O$7:$O$14</c:f>
              <c:numCache>
                <c:formatCode>0.00000</c:formatCode>
                <c:ptCount val="8"/>
                <c:pt idx="0">
                  <c:v>2.8078796121616288E-3</c:v>
                </c:pt>
                <c:pt idx="1">
                  <c:v>4.8095785925911391E-2</c:v>
                </c:pt>
                <c:pt idx="2">
                  <c:v>7.1222974897236432E-2</c:v>
                </c:pt>
                <c:pt idx="3">
                  <c:v>5.9728871860856729E-2</c:v>
                </c:pt>
                <c:pt idx="4">
                  <c:v>4.0307814602819216E-2</c:v>
                </c:pt>
                <c:pt idx="5">
                  <c:v>2.2397809530248069E-2</c:v>
                </c:pt>
                <c:pt idx="6">
                  <c:v>6.4033512866546981E-3</c:v>
                </c:pt>
                <c:pt idx="7">
                  <c:v>5.5645648510286498E-4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7-8740-98FD-1588DAFD187B}"/>
            </c:ext>
          </c:extLst>
        </c:ser>
        <c:ser>
          <c:idx val="1"/>
          <c:order val="1"/>
          <c:tx>
            <c:strRef>
              <c:f>'Estimaciones Vitales'!$P$6</c:f>
              <c:strCache>
                <c:ptCount val="1"/>
                <c:pt idx="0">
                  <c:v>Rural NARP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'Estimaciones Vitales'!$N$7:$N$14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'Estimaciones Vitales'!$P$7:$P$14</c:f>
              <c:numCache>
                <c:formatCode>0.00000</c:formatCode>
                <c:ptCount val="8"/>
                <c:pt idx="0">
                  <c:v>2.2426972171865362E-3</c:v>
                </c:pt>
                <c:pt idx="1">
                  <c:v>3.4207774780026255E-2</c:v>
                </c:pt>
                <c:pt idx="2">
                  <c:v>4.6726587346613918E-2</c:v>
                </c:pt>
                <c:pt idx="3">
                  <c:v>3.5918047548242349E-2</c:v>
                </c:pt>
                <c:pt idx="4">
                  <c:v>2.3368511201723903E-2</c:v>
                </c:pt>
                <c:pt idx="5">
                  <c:v>1.2982374807758226E-2</c:v>
                </c:pt>
                <c:pt idx="6">
                  <c:v>5.2434456928838954E-3</c:v>
                </c:pt>
                <c:pt idx="7">
                  <c:v>6.5445026178010475E-4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7-8740-98FD-1588DAFD187B}"/>
            </c:ext>
          </c:extLst>
        </c:ser>
        <c:ser>
          <c:idx val="2"/>
          <c:order val="2"/>
          <c:tx>
            <c:strRef>
              <c:f>'Estimaciones Vitales'!$Q$6</c:f>
              <c:strCache>
                <c:ptCount val="1"/>
                <c:pt idx="0">
                  <c:v>Total NARP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'Estimaciones Vitales'!$N$7:$N$14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'Estimaciones Vitales'!$Q$7:$Q$14</c:f>
              <c:numCache>
                <c:formatCode>0.00000</c:formatCode>
                <c:ptCount val="8"/>
                <c:pt idx="0">
                  <c:v>2.5988567794911492E-3</c:v>
                </c:pt>
                <c:pt idx="1">
                  <c:v>4.3414882352132242E-2</c:v>
                </c:pt>
                <c:pt idx="2">
                  <c:v>6.3713111143738066E-2</c:v>
                </c:pt>
                <c:pt idx="3">
                  <c:v>5.2710121819995445E-2</c:v>
                </c:pt>
                <c:pt idx="4">
                  <c:v>3.5268128537301678E-2</c:v>
                </c:pt>
                <c:pt idx="5">
                  <c:v>1.9669293490639093E-2</c:v>
                </c:pt>
                <c:pt idx="6">
                  <c:v>6.0606060606060606E-3</c:v>
                </c:pt>
                <c:pt idx="7">
                  <c:v>5.8509800391565582E-4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C7-8740-98FD-1588DAFD187B}"/>
            </c:ext>
          </c:extLst>
        </c:ser>
        <c:ser>
          <c:idx val="3"/>
          <c:order val="3"/>
          <c:tx>
            <c:strRef>
              <c:f>'Estimaciones Vitales'!$R$6</c:f>
              <c:strCache>
                <c:ptCount val="1"/>
                <c:pt idx="0">
                  <c:v>Urbano No Étnico</c:v>
                </c:pt>
              </c:strCache>
            </c:strRef>
          </c:tx>
          <c:spPr>
            <a:ln w="28575" cap="rnd">
              <a:solidFill>
                <a:srgbClr val="B6004B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'Estimaciones Vitales'!$N$7:$N$14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'Estimaciones Vitales'!$R$7:$R$14</c:f>
              <c:numCache>
                <c:formatCode>0.00000</c:formatCode>
                <c:ptCount val="8"/>
                <c:pt idx="0">
                  <c:v>2.7360319621590277E-3</c:v>
                </c:pt>
                <c:pt idx="1">
                  <c:v>6.3751571494287437E-2</c:v>
                </c:pt>
                <c:pt idx="2">
                  <c:v>9.5972242217985212E-2</c:v>
                </c:pt>
                <c:pt idx="3">
                  <c:v>8.7734995871399782E-2</c:v>
                </c:pt>
                <c:pt idx="4">
                  <c:v>6.5334373392951159E-2</c:v>
                </c:pt>
                <c:pt idx="5">
                  <c:v>3.6182774566426566E-2</c:v>
                </c:pt>
                <c:pt idx="6">
                  <c:v>9.7162523330190983E-3</c:v>
                </c:pt>
                <c:pt idx="7">
                  <c:v>5.9731479931462029E-4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C7-8740-98FD-1588DAFD187B}"/>
            </c:ext>
          </c:extLst>
        </c:ser>
        <c:ser>
          <c:idx val="4"/>
          <c:order val="4"/>
          <c:tx>
            <c:strRef>
              <c:f>'Estimaciones Vitales'!$S$6</c:f>
              <c:strCache>
                <c:ptCount val="1"/>
                <c:pt idx="0">
                  <c:v>Rural No Étnico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'Estimaciones Vitales'!$N$7:$N$14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'Estimaciones Vitales'!$S$7:$S$14</c:f>
              <c:numCache>
                <c:formatCode>0.00000</c:formatCode>
                <c:ptCount val="8"/>
                <c:pt idx="0">
                  <c:v>4.6891850260569684E-3</c:v>
                </c:pt>
                <c:pt idx="1">
                  <c:v>9.1651278240330009E-2</c:v>
                </c:pt>
                <c:pt idx="2">
                  <c:v>0.12471155848608666</c:v>
                </c:pt>
                <c:pt idx="3">
                  <c:v>9.5858260016020075E-2</c:v>
                </c:pt>
                <c:pt idx="4">
                  <c:v>6.3473369662116919E-2</c:v>
                </c:pt>
                <c:pt idx="5">
                  <c:v>3.4607157099818819E-2</c:v>
                </c:pt>
                <c:pt idx="6">
                  <c:v>1.1204364695238814E-2</c:v>
                </c:pt>
                <c:pt idx="7">
                  <c:v>1.0638879799160371E-3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C7-8740-98FD-1588DAFD187B}"/>
            </c:ext>
          </c:extLst>
        </c:ser>
        <c:ser>
          <c:idx val="5"/>
          <c:order val="5"/>
          <c:tx>
            <c:strRef>
              <c:f>'Estimaciones Vitales'!$T$6</c:f>
              <c:strCache>
                <c:ptCount val="1"/>
                <c:pt idx="0">
                  <c:v>Total No Étnico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'Estimaciones Vitales'!$N$7:$N$14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'Estimaciones Vitales'!$T$7:$T$14</c:f>
              <c:numCache>
                <c:formatCode>0.00000</c:formatCode>
                <c:ptCount val="8"/>
                <c:pt idx="0">
                  <c:v>3.1740856652848525E-3</c:v>
                </c:pt>
                <c:pt idx="1">
                  <c:v>6.9369539819704382E-2</c:v>
                </c:pt>
                <c:pt idx="2">
                  <c:v>0.10067621868208544</c:v>
                </c:pt>
                <c:pt idx="3">
                  <c:v>8.9007411086326219E-2</c:v>
                </c:pt>
                <c:pt idx="4">
                  <c:v>6.503407824780591E-2</c:v>
                </c:pt>
                <c:pt idx="5">
                  <c:v>3.5926295861123038E-2</c:v>
                </c:pt>
                <c:pt idx="6">
                  <c:v>9.9662548728325379E-3</c:v>
                </c:pt>
                <c:pt idx="7">
                  <c:v>6.7532817103827501E-4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C7-8740-98FD-1588DAFD1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147839"/>
        <c:axId val="2096127967"/>
      </c:lineChart>
      <c:catAx>
        <c:axId val="209614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27967"/>
        <c:crosses val="autoZero"/>
        <c:auto val="1"/>
        <c:lblAlgn val="ctr"/>
        <c:lblOffset val="100"/>
        <c:noMultiLvlLbl val="0"/>
      </c:catAx>
      <c:valAx>
        <c:axId val="2096127967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4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baseline="0">
                <a:effectLst/>
              </a:rPr>
              <a:t>Estimación TEF (%) NARP por área y pertenencia étnica, Estadísticas Vitales, 2018 </a:t>
            </a:r>
            <a:endParaRPr lang="es-CO" sz="1400">
              <a:effectLst/>
            </a:endParaRPr>
          </a:p>
          <a:p>
            <a:pPr>
              <a:defRPr/>
            </a:pPr>
            <a:r>
              <a:rPr lang="es-MX" sz="1400" baseline="0"/>
              <a:t> </a:t>
            </a:r>
            <a:endParaRPr lang="es-MX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15768100766455E-2"/>
          <c:y val="0.16762452398597055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'Estimaciones Vitales'!$O$19</c:f>
              <c:strCache>
                <c:ptCount val="1"/>
                <c:pt idx="0">
                  <c:v>Urbano NARP</c:v>
                </c:pt>
              </c:strCache>
            </c:strRef>
          </c:tx>
          <c:spPr>
            <a:ln w="28575" cap="rnd">
              <a:solidFill>
                <a:srgbClr val="B6004B"/>
              </a:solidFill>
              <a:round/>
            </a:ln>
            <a:effectLst/>
          </c:spPr>
          <c:marker>
            <c:symbol val="none"/>
          </c:marker>
          <c:cat>
            <c:strRef>
              <c:f>'Estimaciones Vitales'!$N$20:$N$27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'Estimaciones Vitales'!$O$20:$O$27</c:f>
              <c:numCache>
                <c:formatCode>0.0%</c:formatCode>
                <c:ptCount val="8"/>
                <c:pt idx="0">
                  <c:v>1.1163601588255192E-2</c:v>
                </c:pt>
                <c:pt idx="1">
                  <c:v>0.19121980508898664</c:v>
                </c:pt>
                <c:pt idx="2">
                  <c:v>0.28316916161193306</c:v>
                </c:pt>
                <c:pt idx="3">
                  <c:v>0.23747076829167449</c:v>
                </c:pt>
                <c:pt idx="4">
                  <c:v>0.16025629488178583</c:v>
                </c:pt>
                <c:pt idx="5">
                  <c:v>8.9049480954357108E-2</c:v>
                </c:pt>
                <c:pt idx="6">
                  <c:v>2.5458521185964395E-2</c:v>
                </c:pt>
                <c:pt idx="7">
                  <c:v>2.2123663970432584E-3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1-8048-836D-886585820212}"/>
            </c:ext>
          </c:extLst>
        </c:ser>
        <c:ser>
          <c:idx val="1"/>
          <c:order val="1"/>
          <c:tx>
            <c:strRef>
              <c:f>'Estimaciones Vitales'!$P$19</c:f>
              <c:strCache>
                <c:ptCount val="1"/>
                <c:pt idx="0">
                  <c:v>Rural NARP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'Estimaciones Vitales'!$N$20:$N$27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'Estimaciones Vitales'!$P$20:$P$27</c:f>
              <c:numCache>
                <c:formatCode>0.0%</c:formatCode>
                <c:ptCount val="8"/>
                <c:pt idx="0">
                  <c:v>1.3900106369601394E-2</c:v>
                </c:pt>
                <c:pt idx="1">
                  <c:v>0.21201779021522899</c:v>
                </c:pt>
                <c:pt idx="2">
                  <c:v>0.28960865935402885</c:v>
                </c:pt>
                <c:pt idx="3">
                  <c:v>0.2226179609458368</c:v>
                </c:pt>
                <c:pt idx="4">
                  <c:v>0.14483666761341804</c:v>
                </c:pt>
                <c:pt idx="5">
                  <c:v>8.0464000835679159E-2</c:v>
                </c:pt>
                <c:pt idx="6">
                  <c:v>3.2498570166216184E-2</c:v>
                </c:pt>
                <c:pt idx="7">
                  <c:v>4.0562444999905209E-3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1-8048-836D-886585820212}"/>
            </c:ext>
          </c:extLst>
        </c:ser>
        <c:ser>
          <c:idx val="2"/>
          <c:order val="2"/>
          <c:tx>
            <c:strRef>
              <c:f>'Estimaciones Vitales'!$Q$19</c:f>
              <c:strCache>
                <c:ptCount val="1"/>
                <c:pt idx="0">
                  <c:v>Total NARP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'Estimaciones Vitales'!$N$20:$N$27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'Estimaciones Vitales'!$Q$20:$Q$27</c:f>
              <c:numCache>
                <c:formatCode>0.0%</c:formatCode>
                <c:ptCount val="8"/>
                <c:pt idx="0">
                  <c:v>1.1600998305572818E-2</c:v>
                </c:pt>
                <c:pt idx="1">
                  <c:v>0.19379905063577385</c:v>
                </c:pt>
                <c:pt idx="2">
                  <c:v>0.28440801365206403</c:v>
                </c:pt>
                <c:pt idx="3">
                  <c:v>0.23529193249349911</c:v>
                </c:pt>
                <c:pt idx="4">
                  <c:v>0.1574328768829158</c:v>
                </c:pt>
                <c:pt idx="5">
                  <c:v>8.7801468036802097E-2</c:v>
                </c:pt>
                <c:pt idx="6">
                  <c:v>2.7053849675241295E-2</c:v>
                </c:pt>
                <c:pt idx="7">
                  <c:v>2.6118103181309526E-3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1-8048-836D-886585820212}"/>
            </c:ext>
          </c:extLst>
        </c:ser>
        <c:ser>
          <c:idx val="3"/>
          <c:order val="3"/>
          <c:tx>
            <c:strRef>
              <c:f>'Estimaciones Vitales'!$R$19</c:f>
              <c:strCache>
                <c:ptCount val="1"/>
                <c:pt idx="0">
                  <c:v>Urbano No Étnico</c:v>
                </c:pt>
              </c:strCache>
            </c:strRef>
          </c:tx>
          <c:spPr>
            <a:ln w="28575" cap="rnd">
              <a:solidFill>
                <a:srgbClr val="B6004B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'Estimaciones Vitales'!$N$20:$N$27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'Estimaciones Vitales'!$R$20:$R$27</c:f>
              <c:numCache>
                <c:formatCode>0.0%</c:formatCode>
                <c:ptCount val="8"/>
                <c:pt idx="0">
                  <c:v>7.5575657905784842E-3</c:v>
                </c:pt>
                <c:pt idx="1">
                  <c:v>0.17609688135391779</c:v>
                </c:pt>
                <c:pt idx="2">
                  <c:v>0.26509797570471483</c:v>
                </c:pt>
                <c:pt idx="3">
                  <c:v>0.24234475788470194</c:v>
                </c:pt>
                <c:pt idx="4">
                  <c:v>0.18046895362794349</c:v>
                </c:pt>
                <c:pt idx="5">
                  <c:v>9.9945359942233233E-2</c:v>
                </c:pt>
                <c:pt idx="6">
                  <c:v>2.6838581295924733E-2</c:v>
                </c:pt>
                <c:pt idx="7">
                  <c:v>1.6499243999855157E-3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1-8048-836D-886585820212}"/>
            </c:ext>
          </c:extLst>
        </c:ser>
        <c:ser>
          <c:idx val="4"/>
          <c:order val="4"/>
          <c:tx>
            <c:strRef>
              <c:f>'Estimaciones Vitales'!$S$19</c:f>
              <c:strCache>
                <c:ptCount val="1"/>
                <c:pt idx="0">
                  <c:v>Rural No Étnico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'Estimaciones Vitales'!$N$20:$N$27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'Estimaciones Vitales'!$S$20:$S$27</c:f>
              <c:numCache>
                <c:formatCode>0.0%</c:formatCode>
                <c:ptCount val="8"/>
                <c:pt idx="0">
                  <c:v>1.0975039389043345E-2</c:v>
                </c:pt>
                <c:pt idx="1">
                  <c:v>0.214509852597907</c:v>
                </c:pt>
                <c:pt idx="2">
                  <c:v>0.29188745145437461</c:v>
                </c:pt>
                <c:pt idx="3">
                  <c:v>0.22435629509071067</c:v>
                </c:pt>
                <c:pt idx="4">
                  <c:v>0.14855944654050399</c:v>
                </c:pt>
                <c:pt idx="5">
                  <c:v>8.0998064738917006E-2</c:v>
                </c:pt>
                <c:pt idx="6">
                  <c:v>2.6223819955096539E-2</c:v>
                </c:pt>
                <c:pt idx="7">
                  <c:v>2.4900302334468832E-3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51-8048-836D-886585820212}"/>
            </c:ext>
          </c:extLst>
        </c:ser>
        <c:ser>
          <c:idx val="5"/>
          <c:order val="5"/>
          <c:tx>
            <c:strRef>
              <c:f>'Estimaciones Vitales'!$T$19</c:f>
              <c:strCache>
                <c:ptCount val="1"/>
                <c:pt idx="0">
                  <c:v>Total No Étnico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'Estimaciones Vitales'!$N$20:$N$27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'Estimaciones Vitales'!$T$20:$T$27</c:f>
              <c:numCache>
                <c:formatCode>0.0%</c:formatCode>
                <c:ptCount val="8"/>
                <c:pt idx="0">
                  <c:v>8.4907373740388953E-3</c:v>
                </c:pt>
                <c:pt idx="1">
                  <c:v>0.18556479140085994</c:v>
                </c:pt>
                <c:pt idx="2">
                  <c:v>0.26931073158801522</c:v>
                </c:pt>
                <c:pt idx="3">
                  <c:v>0.23809645723890427</c:v>
                </c:pt>
                <c:pt idx="4">
                  <c:v>0.17396735217455467</c:v>
                </c:pt>
                <c:pt idx="5">
                  <c:v>9.6103500392274679E-2</c:v>
                </c:pt>
                <c:pt idx="6">
                  <c:v>2.6659914586886976E-2</c:v>
                </c:pt>
                <c:pt idx="7">
                  <c:v>1.8065152444653452E-3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51-8048-836D-886585820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147839"/>
        <c:axId val="2096127967"/>
      </c:lineChart>
      <c:catAx>
        <c:axId val="209614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27967"/>
        <c:crosses val="autoZero"/>
        <c:auto val="1"/>
        <c:lblAlgn val="ctr"/>
        <c:lblOffset val="100"/>
        <c:noMultiLvlLbl val="0"/>
      </c:catAx>
      <c:valAx>
        <c:axId val="2096127967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4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baseline="0">
                <a:effectLst/>
              </a:rPr>
              <a:t>Estimación TEF NARP por área y pertenencia étnica, Modelo Relacional de Gompertz, 2018 </a:t>
            </a:r>
            <a:endParaRPr lang="es-CO" sz="1400">
              <a:effectLst/>
            </a:endParaRPr>
          </a:p>
          <a:p>
            <a:pPr>
              <a:defRPr/>
            </a:pPr>
            <a:r>
              <a:rPr lang="es-MX" sz="1400" baseline="0"/>
              <a:t> </a:t>
            </a:r>
            <a:endParaRPr lang="es-MX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15768100766455E-2"/>
          <c:y val="0.16762452398597055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'Resumen Gompertz NARP'!$C$3</c:f>
              <c:strCache>
                <c:ptCount val="1"/>
                <c:pt idx="0">
                  <c:v>Urbano NARP</c:v>
                </c:pt>
              </c:strCache>
            </c:strRef>
          </c:tx>
          <c:spPr>
            <a:ln w="28575" cap="rnd">
              <a:solidFill>
                <a:srgbClr val="B6004B"/>
              </a:solidFill>
              <a:round/>
            </a:ln>
            <a:effectLst/>
          </c:spPr>
          <c:marker>
            <c:symbol val="none"/>
          </c:marker>
          <c:cat>
            <c:strRef>
              <c:f>'Resumen Gompertz NARP'!$B$4:$B$11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NARP'!$C$4:$C$11</c:f>
              <c:numCache>
                <c:formatCode>0.000</c:formatCode>
                <c:ptCount val="8"/>
                <c:pt idx="0">
                  <c:v>2.2801003121323111E-3</c:v>
                </c:pt>
                <c:pt idx="1">
                  <c:v>7.4050386049120773E-2</c:v>
                </c:pt>
                <c:pt idx="2">
                  <c:v>0.11410920398674378</c:v>
                </c:pt>
                <c:pt idx="3">
                  <c:v>9.8064273205657512E-2</c:v>
                </c:pt>
                <c:pt idx="4">
                  <c:v>7.3327699198543206E-2</c:v>
                </c:pt>
                <c:pt idx="5">
                  <c:v>4.8676482719125502E-2</c:v>
                </c:pt>
                <c:pt idx="6">
                  <c:v>2.0662900249983983E-2</c:v>
                </c:pt>
                <c:pt idx="7">
                  <c:v>2.4300201314658488E-3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3-924A-BAE1-CE223B656A9C}"/>
            </c:ext>
          </c:extLst>
        </c:ser>
        <c:ser>
          <c:idx val="1"/>
          <c:order val="1"/>
          <c:tx>
            <c:strRef>
              <c:f>'Resumen Gompertz NARP'!$D$3</c:f>
              <c:strCache>
                <c:ptCount val="1"/>
                <c:pt idx="0">
                  <c:v>Rural NARP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'Resumen Gompertz NARP'!$B$4:$B$11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NARP'!$D$4:$D$11</c:f>
              <c:numCache>
                <c:formatCode>0.000</c:formatCode>
                <c:ptCount val="8"/>
                <c:pt idx="0">
                  <c:v>4.2148358933351993E-3</c:v>
                </c:pt>
                <c:pt idx="1">
                  <c:v>0.11565164023985888</c:v>
                </c:pt>
                <c:pt idx="2">
                  <c:v>0.15844640086795</c:v>
                </c:pt>
                <c:pt idx="3">
                  <c:v>0.12584098002433269</c:v>
                </c:pt>
                <c:pt idx="4">
                  <c:v>8.8578130398466737E-2</c:v>
                </c:pt>
                <c:pt idx="5">
                  <c:v>5.5573715667116906E-2</c:v>
                </c:pt>
                <c:pt idx="6">
                  <c:v>2.210481191052871E-2</c:v>
                </c:pt>
                <c:pt idx="7">
                  <c:v>2.3667041954131387E-3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3-924A-BAE1-CE223B656A9C}"/>
            </c:ext>
          </c:extLst>
        </c:ser>
        <c:ser>
          <c:idx val="2"/>
          <c:order val="2"/>
          <c:tx>
            <c:strRef>
              <c:f>'Resumen Gompertz NARP'!$E$3</c:f>
              <c:strCache>
                <c:ptCount val="1"/>
                <c:pt idx="0">
                  <c:v>Total NARP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'Resumen Gompertz NARP'!$B$4:$B$11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NARP'!$E$4:$E$11</c:f>
              <c:numCache>
                <c:formatCode>0.000</c:formatCode>
                <c:ptCount val="8"/>
                <c:pt idx="0">
                  <c:v>3.3026266461493995E-3</c:v>
                </c:pt>
                <c:pt idx="1">
                  <c:v>8.4328715439605892E-2</c:v>
                </c:pt>
                <c:pt idx="2">
                  <c:v>0.12040996366477334</c:v>
                </c:pt>
                <c:pt idx="3">
                  <c:v>0.10124416470530244</c:v>
                </c:pt>
                <c:pt idx="4">
                  <c:v>7.5445857868542812E-2</c:v>
                </c:pt>
                <c:pt idx="5">
                  <c:v>5.0416268189411403E-2</c:v>
                </c:pt>
                <c:pt idx="6">
                  <c:v>2.1771108575477795E-2</c:v>
                </c:pt>
                <c:pt idx="7">
                  <c:v>2.6454740345920767E-3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3-924A-BAE1-CE223B656A9C}"/>
            </c:ext>
          </c:extLst>
        </c:ser>
        <c:ser>
          <c:idx val="3"/>
          <c:order val="3"/>
          <c:tx>
            <c:strRef>
              <c:f>'Resumen Gompertz NARP'!$F$3</c:f>
              <c:strCache>
                <c:ptCount val="1"/>
                <c:pt idx="0">
                  <c:v>Urbano No Étnico</c:v>
                </c:pt>
              </c:strCache>
            </c:strRef>
          </c:tx>
          <c:spPr>
            <a:ln w="28575" cap="rnd">
              <a:solidFill>
                <a:srgbClr val="B6004B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Gompertz NARP'!$B$4:$B$11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NARP'!$F$4:$F$11</c:f>
              <c:numCache>
                <c:formatCode>0.000</c:formatCode>
                <c:ptCount val="8"/>
                <c:pt idx="0">
                  <c:v>1.5752090412822438E-3</c:v>
                </c:pt>
                <c:pt idx="1">
                  <c:v>5.6721254338856296E-2</c:v>
                </c:pt>
                <c:pt idx="2">
                  <c:v>9.5079409128241504E-2</c:v>
                </c:pt>
                <c:pt idx="3">
                  <c:v>8.6890099158902265E-2</c:v>
                </c:pt>
                <c:pt idx="4">
                  <c:v>6.8253285473775099E-2</c:v>
                </c:pt>
                <c:pt idx="5">
                  <c:v>4.7497839089285995E-2</c:v>
                </c:pt>
                <c:pt idx="6">
                  <c:v>2.1300474375187495E-2</c:v>
                </c:pt>
                <c:pt idx="7">
                  <c:v>2.7101241507520245E-3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E3-924A-BAE1-CE223B656A9C}"/>
            </c:ext>
          </c:extLst>
        </c:ser>
        <c:ser>
          <c:idx val="4"/>
          <c:order val="4"/>
          <c:tx>
            <c:strRef>
              <c:f>'Resumen Gompertz NARP'!$G$3</c:f>
              <c:strCache>
                <c:ptCount val="1"/>
                <c:pt idx="0">
                  <c:v>Rural No Étnico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Gompertz NARP'!$B$4:$B$11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NARP'!$G$4:$G$11</c:f>
              <c:numCache>
                <c:formatCode>0.000</c:formatCode>
                <c:ptCount val="8"/>
                <c:pt idx="0">
                  <c:v>2.8001117575187293E-3</c:v>
                </c:pt>
                <c:pt idx="1">
                  <c:v>9.7147329436205548E-2</c:v>
                </c:pt>
                <c:pt idx="2">
                  <c:v>0.14100961068463785</c:v>
                </c:pt>
                <c:pt idx="3">
                  <c:v>0.11258500050694172</c:v>
                </c:pt>
                <c:pt idx="4">
                  <c:v>7.8404612105204219E-2</c:v>
                </c:pt>
                <c:pt idx="5">
                  <c:v>4.8190583327881155E-2</c:v>
                </c:pt>
                <c:pt idx="6">
                  <c:v>1.853335584471081E-2</c:v>
                </c:pt>
                <c:pt idx="7">
                  <c:v>1.874123334482114E-3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E3-924A-BAE1-CE223B656A9C}"/>
            </c:ext>
          </c:extLst>
        </c:ser>
        <c:ser>
          <c:idx val="5"/>
          <c:order val="5"/>
          <c:tx>
            <c:strRef>
              <c:f>'Resumen Gompertz NARP'!$H$3</c:f>
              <c:strCache>
                <c:ptCount val="1"/>
                <c:pt idx="0">
                  <c:v>Total No Étnico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'Resumen Gompertz NARP'!$B$4:$B$11</c:f>
              <c:strCache>
                <c:ptCount val="8"/>
                <c:pt idx="0">
                  <c:v>10 a 14</c:v>
                </c:pt>
                <c:pt idx="1">
                  <c:v>15 a 19 </c:v>
                </c:pt>
                <c:pt idx="2">
                  <c:v>20 a 24 </c:v>
                </c:pt>
                <c:pt idx="3">
                  <c:v>25 a 29</c:v>
                </c:pt>
                <c:pt idx="4">
                  <c:v>30 a 34 </c:v>
                </c:pt>
                <c:pt idx="5">
                  <c:v>35 a 39</c:v>
                </c:pt>
                <c:pt idx="6">
                  <c:v>40 a 44 </c:v>
                </c:pt>
                <c:pt idx="7">
                  <c:v>45 a 49 </c:v>
                </c:pt>
              </c:strCache>
            </c:strRef>
          </c:cat>
          <c:val>
            <c:numRef>
              <c:f>'Resumen Gompertz NARP'!$H$4:$H$11</c:f>
              <c:numCache>
                <c:formatCode>0.000</c:formatCode>
                <c:ptCount val="8"/>
                <c:pt idx="0">
                  <c:v>1.9531600959469078E-3</c:v>
                </c:pt>
                <c:pt idx="1">
                  <c:v>6.3912371185715133E-2</c:v>
                </c:pt>
                <c:pt idx="2">
                  <c:v>0.10172649572290246</c:v>
                </c:pt>
                <c:pt idx="3">
                  <c:v>9.0147079694241003E-2</c:v>
                </c:pt>
                <c:pt idx="4">
                  <c:v>6.9294716721872401E-2</c:v>
                </c:pt>
                <c:pt idx="5">
                  <c:v>4.7335282173269898E-2</c:v>
                </c:pt>
                <c:pt idx="6">
                  <c:v>2.0818206357304005E-2</c:v>
                </c:pt>
                <c:pt idx="7">
                  <c:v>2.5808208477505977E-3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E3-924A-BAE1-CE223B656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147839"/>
        <c:axId val="2096127967"/>
      </c:lineChart>
      <c:catAx>
        <c:axId val="209614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27967"/>
        <c:crosses val="autoZero"/>
        <c:auto val="1"/>
        <c:lblAlgn val="ctr"/>
        <c:lblOffset val="100"/>
        <c:noMultiLvlLbl val="0"/>
      </c:catAx>
      <c:valAx>
        <c:axId val="2096127967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4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316068</xdr:colOff>
      <xdr:row>23</xdr:row>
      <xdr:rowOff>157049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40047E5-6C81-AF4E-8ADA-3AC314C4B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325578</xdr:colOff>
      <xdr:row>23</xdr:row>
      <xdr:rowOff>158670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4C0E00E5-999B-CA47-BBF4-65C9EA45A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339971</xdr:colOff>
      <xdr:row>24</xdr:row>
      <xdr:rowOff>1781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6D97773-9E05-0348-B9D6-A888DA229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9</xdr:col>
      <xdr:colOff>339972</xdr:colOff>
      <xdr:row>50</xdr:row>
      <xdr:rowOff>1781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ABAEC5AD-B521-CD45-9ED6-5BDE17D86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18</xdr:col>
      <xdr:colOff>339971</xdr:colOff>
      <xdr:row>50</xdr:row>
      <xdr:rowOff>1781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3308A857-A393-F442-A3B6-4E32AEB52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27</xdr:row>
      <xdr:rowOff>0</xdr:rowOff>
    </xdr:from>
    <xdr:to>
      <xdr:col>27</xdr:col>
      <xdr:colOff>339971</xdr:colOff>
      <xdr:row>50</xdr:row>
      <xdr:rowOff>1781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53A6EB99-4F6B-3A4B-866B-8229D9C5F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3</xdr:row>
      <xdr:rowOff>0</xdr:rowOff>
    </xdr:from>
    <xdr:to>
      <xdr:col>29</xdr:col>
      <xdr:colOff>314366</xdr:colOff>
      <xdr:row>24</xdr:row>
      <xdr:rowOff>86332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CF0FA33-3A3B-624C-9FB4-83AA5A6E6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238124</xdr:colOff>
      <xdr:row>3</xdr:row>
      <xdr:rowOff>39688</xdr:rowOff>
    </xdr:from>
    <xdr:to>
      <xdr:col>38</xdr:col>
      <xdr:colOff>552490</xdr:colOff>
      <xdr:row>24</xdr:row>
      <xdr:rowOff>126020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D81A7BE-E4C3-1840-9455-8D411C8E2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254001</xdr:colOff>
      <xdr:row>0</xdr:row>
      <xdr:rowOff>0</xdr:rowOff>
    </xdr:from>
    <xdr:to>
      <xdr:col>18</xdr:col>
      <xdr:colOff>598000</xdr:colOff>
      <xdr:row>20</xdr:row>
      <xdr:rowOff>100620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3F25932-A996-CE43-8E3C-A0007D4B4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270213</xdr:colOff>
      <xdr:row>0</xdr:row>
      <xdr:rowOff>0</xdr:rowOff>
    </xdr:from>
    <xdr:to>
      <xdr:col>27</xdr:col>
      <xdr:colOff>638117</xdr:colOff>
      <xdr:row>20</xdr:row>
      <xdr:rowOff>124591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8E55B41-1D26-B54F-9265-5E1029D5C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254001</xdr:colOff>
      <xdr:row>0</xdr:row>
      <xdr:rowOff>0</xdr:rowOff>
    </xdr:from>
    <xdr:to>
      <xdr:col>13</xdr:col>
      <xdr:colOff>598000</xdr:colOff>
      <xdr:row>20</xdr:row>
      <xdr:rowOff>100620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0B06BC-FB84-B443-869B-4F95BCA62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270213</xdr:colOff>
      <xdr:row>0</xdr:row>
      <xdr:rowOff>0</xdr:rowOff>
    </xdr:from>
    <xdr:to>
      <xdr:col>22</xdr:col>
      <xdr:colOff>638117</xdr:colOff>
      <xdr:row>20</xdr:row>
      <xdr:rowOff>124591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F15350-3BDE-9A46-AF5B-775246558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186603</xdr:colOff>
      <xdr:row>0</xdr:row>
      <xdr:rowOff>6749</xdr:rowOff>
    </xdr:from>
    <xdr:to>
      <xdr:col>16</xdr:col>
      <xdr:colOff>517590</xdr:colOff>
      <xdr:row>22</xdr:row>
      <xdr:rowOff>28152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637290-AFAA-5641-8CFC-F2B2F823F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774700</xdr:colOff>
      <xdr:row>1</xdr:row>
      <xdr:rowOff>12700</xdr:rowOff>
    </xdr:from>
    <xdr:to>
      <xdr:col>21</xdr:col>
      <xdr:colOff>262723</xdr:colOff>
      <xdr:row>22</xdr:row>
      <xdr:rowOff>178507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E9A0AB-16AE-5948-8F05-E63033615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18</xdr:col>
      <xdr:colOff>353511</xdr:colOff>
      <xdr:row>50</xdr:row>
      <xdr:rowOff>81705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D534ED9-CDFE-7D49-B50E-12CD43AE8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29</xdr:row>
      <xdr:rowOff>0</xdr:rowOff>
    </xdr:from>
    <xdr:to>
      <xdr:col>28</xdr:col>
      <xdr:colOff>367904</xdr:colOff>
      <xdr:row>50</xdr:row>
      <xdr:rowOff>124591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9722461-463A-C14D-A77B-70042BB4E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gota/cambio-demografico-fecundidad-55%20mpios-2018-203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s Finales"/>
      <sheetName val="Hoja1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D76A-D879-344A-A103-554898A3415E}">
  <sheetPr>
    <tabColor rgb="FF92D050"/>
  </sheetPr>
  <dimension ref="C2:K24"/>
  <sheetViews>
    <sheetView topLeftCell="A6" zoomScale="136" workbookViewId="0">
      <selection activeCell="K19" sqref="K19"/>
    </sheetView>
  </sheetViews>
  <sheetFormatPr defaultColWidth="10.796875" defaultRowHeight="14.4" x14ac:dyDescent="0.3"/>
  <cols>
    <col min="1" max="1" width="8.796875" style="94" customWidth="1"/>
    <col min="2" max="2" width="10.796875" style="94"/>
    <col min="3" max="3" width="7.296875" style="94" customWidth="1"/>
    <col min="4" max="4" width="16.19921875" style="94" customWidth="1"/>
    <col min="5" max="5" width="15" style="94" customWidth="1"/>
    <col min="6" max="16384" width="10.796875" style="94"/>
  </cols>
  <sheetData>
    <row r="2" spans="3:11" ht="16.05" customHeight="1" x14ac:dyDescent="0.3">
      <c r="C2" s="231" t="s">
        <v>107</v>
      </c>
      <c r="D2" s="232"/>
      <c r="E2" s="221" t="s">
        <v>108</v>
      </c>
      <c r="F2" s="218" t="s">
        <v>122</v>
      </c>
      <c r="G2" s="219"/>
      <c r="H2" s="219"/>
      <c r="I2" s="219"/>
      <c r="J2" s="219"/>
      <c r="K2" s="220"/>
    </row>
    <row r="3" spans="3:11" ht="22.95" customHeight="1" x14ac:dyDescent="0.3">
      <c r="C3" s="233"/>
      <c r="D3" s="234"/>
      <c r="E3" s="237"/>
      <c r="F3" s="221" t="s">
        <v>109</v>
      </c>
      <c r="G3" s="221"/>
      <c r="H3" s="221" t="s">
        <v>110</v>
      </c>
      <c r="I3" s="221"/>
      <c r="J3" s="221" t="s">
        <v>15</v>
      </c>
      <c r="K3" s="221"/>
    </row>
    <row r="4" spans="3:11" s="112" customFormat="1" ht="48" customHeight="1" x14ac:dyDescent="0.3">
      <c r="C4" s="235"/>
      <c r="D4" s="236"/>
      <c r="E4" s="238"/>
      <c r="F4" s="137" t="s">
        <v>111</v>
      </c>
      <c r="G4" s="140" t="s">
        <v>112</v>
      </c>
      <c r="H4" s="137" t="s">
        <v>111</v>
      </c>
      <c r="I4" s="140" t="s">
        <v>112</v>
      </c>
      <c r="J4" s="137" t="s">
        <v>111</v>
      </c>
      <c r="K4" s="142" t="s">
        <v>112</v>
      </c>
    </row>
    <row r="5" spans="3:11" s="112" customFormat="1" ht="27" customHeight="1" x14ac:dyDescent="0.3">
      <c r="C5" s="224" t="s">
        <v>101</v>
      </c>
      <c r="D5" s="225"/>
      <c r="E5" s="137" t="s">
        <v>86</v>
      </c>
      <c r="F5" s="128">
        <v>0.8</v>
      </c>
      <c r="G5" s="129">
        <v>2.11</v>
      </c>
      <c r="H5" s="128">
        <v>1.24</v>
      </c>
      <c r="I5" s="130">
        <v>1.8</v>
      </c>
      <c r="J5" s="129">
        <v>1.1100000000000001</v>
      </c>
      <c r="K5" s="130">
        <v>1.85</v>
      </c>
    </row>
    <row r="6" spans="3:11" s="112" customFormat="1" ht="27" customHeight="1" x14ac:dyDescent="0.3">
      <c r="C6" s="226"/>
      <c r="D6" s="227"/>
      <c r="E6" s="138" t="s">
        <v>87</v>
      </c>
      <c r="F6" s="132">
        <v>1.7774279618959845</v>
      </c>
      <c r="G6" s="133">
        <v>1.43</v>
      </c>
      <c r="H6" s="132">
        <v>1.2364786350973713</v>
      </c>
      <c r="I6" s="134">
        <v>1.06</v>
      </c>
      <c r="J6" s="133">
        <v>1.4</v>
      </c>
      <c r="K6" s="134">
        <v>1.1299999999999999</v>
      </c>
    </row>
    <row r="7" spans="3:11" s="112" customFormat="1" ht="27" customHeight="1" x14ac:dyDescent="0.3">
      <c r="C7" s="228" t="s">
        <v>100</v>
      </c>
      <c r="D7" s="139" t="s">
        <v>124</v>
      </c>
      <c r="E7" s="140" t="s">
        <v>92</v>
      </c>
      <c r="F7" s="135">
        <v>2.97</v>
      </c>
      <c r="G7" s="136">
        <v>2.37</v>
      </c>
      <c r="H7" s="113">
        <v>1.9750000000000001</v>
      </c>
      <c r="I7" s="113">
        <v>1.7866</v>
      </c>
      <c r="J7" s="135">
        <v>2.23</v>
      </c>
      <c r="K7" s="131">
        <v>1.8959999999999999</v>
      </c>
    </row>
    <row r="8" spans="3:11" s="112" customFormat="1" ht="27" customHeight="1" x14ac:dyDescent="0.3">
      <c r="C8" s="229"/>
      <c r="D8" s="140" t="s">
        <v>102</v>
      </c>
      <c r="E8" s="138" t="s">
        <v>123</v>
      </c>
      <c r="F8" s="117">
        <v>2.4550000000000001</v>
      </c>
      <c r="G8" s="116">
        <v>2.41</v>
      </c>
      <c r="H8" s="114">
        <v>1.837</v>
      </c>
      <c r="I8" s="114">
        <v>1.66</v>
      </c>
      <c r="J8" s="117">
        <v>2.0245759771394569</v>
      </c>
      <c r="K8" s="115">
        <v>1.81</v>
      </c>
    </row>
    <row r="9" spans="3:11" s="112" customFormat="1" ht="27" customHeight="1" x14ac:dyDescent="0.3">
      <c r="C9" s="229"/>
      <c r="D9" s="222" t="s">
        <v>113</v>
      </c>
      <c r="E9" s="138" t="s">
        <v>88</v>
      </c>
      <c r="F9" s="118">
        <v>2.6917410809529025</v>
      </c>
      <c r="G9" s="116">
        <v>2.34</v>
      </c>
      <c r="H9" s="113">
        <v>1.9944529042726069</v>
      </c>
      <c r="I9" s="113">
        <v>1.73</v>
      </c>
      <c r="J9" s="118">
        <v>2.1867420635746009</v>
      </c>
      <c r="K9" s="116">
        <v>1.81</v>
      </c>
    </row>
    <row r="10" spans="3:11" x14ac:dyDescent="0.3">
      <c r="C10" s="230"/>
      <c r="D10" s="223"/>
      <c r="E10" s="141" t="s">
        <v>89</v>
      </c>
      <c r="F10" s="121">
        <v>2.84</v>
      </c>
      <c r="G10" s="120">
        <v>2.4900000000000002</v>
      </c>
      <c r="H10" s="119">
        <v>2.16</v>
      </c>
      <c r="I10" s="119">
        <v>1.89</v>
      </c>
      <c r="J10" s="121">
        <v>2.2799999999999998</v>
      </c>
      <c r="K10" s="120">
        <v>1.98</v>
      </c>
    </row>
    <row r="13" spans="3:11" ht="27.6" x14ac:dyDescent="0.3">
      <c r="C13" s="148" t="s">
        <v>132</v>
      </c>
      <c r="D13" s="148"/>
      <c r="E13" s="148"/>
      <c r="F13" s="148"/>
      <c r="G13" s="148"/>
      <c r="H13" s="148"/>
      <c r="I13" s="148"/>
      <c r="J13" s="148"/>
    </row>
    <row r="14" spans="3:11" x14ac:dyDescent="0.3">
      <c r="C14" s="149"/>
      <c r="D14" s="149"/>
      <c r="E14" s="149"/>
      <c r="F14" s="149"/>
      <c r="G14" s="149"/>
      <c r="H14" s="149"/>
      <c r="I14" s="149"/>
      <c r="J14" s="149"/>
    </row>
    <row r="15" spans="3:11" x14ac:dyDescent="0.3">
      <c r="C15" s="212" t="s">
        <v>133</v>
      </c>
      <c r="D15" s="214" t="s">
        <v>134</v>
      </c>
      <c r="E15" s="214" t="s">
        <v>108</v>
      </c>
      <c r="F15" s="216" t="s">
        <v>135</v>
      </c>
      <c r="G15" s="216"/>
      <c r="H15" s="216"/>
      <c r="I15" s="216"/>
      <c r="J15" s="149"/>
    </row>
    <row r="16" spans="3:11" x14ac:dyDescent="0.3">
      <c r="C16" s="213"/>
      <c r="D16" s="215"/>
      <c r="E16" s="215"/>
      <c r="F16" s="150">
        <v>2005</v>
      </c>
      <c r="G16" s="150">
        <v>2010</v>
      </c>
      <c r="H16" s="150">
        <v>2015</v>
      </c>
      <c r="I16" s="150" t="s">
        <v>136</v>
      </c>
      <c r="J16" s="149"/>
    </row>
    <row r="17" spans="3:10" ht="79.2" x14ac:dyDescent="0.3">
      <c r="C17" s="151" t="s">
        <v>137</v>
      </c>
      <c r="D17" s="152" t="s">
        <v>138</v>
      </c>
      <c r="E17" s="152" t="s">
        <v>139</v>
      </c>
      <c r="F17" s="152">
        <v>3.66</v>
      </c>
      <c r="G17" s="153" t="s">
        <v>91</v>
      </c>
      <c r="H17" s="153" t="s">
        <v>91</v>
      </c>
      <c r="I17" s="152">
        <v>2.85</v>
      </c>
      <c r="J17" s="149"/>
    </row>
    <row r="18" spans="3:10" ht="39.6" x14ac:dyDescent="0.3">
      <c r="C18" s="217" t="s">
        <v>140</v>
      </c>
      <c r="D18" s="154" t="s">
        <v>138</v>
      </c>
      <c r="E18" s="154" t="s">
        <v>141</v>
      </c>
      <c r="F18" s="154">
        <v>4.3499999999999996</v>
      </c>
      <c r="G18" s="155" t="s">
        <v>91</v>
      </c>
      <c r="H18" s="155" t="s">
        <v>91</v>
      </c>
      <c r="I18" s="154">
        <v>2.95</v>
      </c>
      <c r="J18" s="149"/>
    </row>
    <row r="19" spans="3:10" ht="39.6" x14ac:dyDescent="0.3">
      <c r="C19" s="210"/>
      <c r="D19" s="152" t="s">
        <v>138</v>
      </c>
      <c r="E19" s="152" t="s">
        <v>142</v>
      </c>
      <c r="F19" s="152">
        <v>4.41</v>
      </c>
      <c r="G19" s="153" t="s">
        <v>91</v>
      </c>
      <c r="H19" s="153" t="s">
        <v>91</v>
      </c>
      <c r="I19" s="152">
        <v>2.99</v>
      </c>
      <c r="J19" s="149"/>
    </row>
    <row r="20" spans="3:10" x14ac:dyDescent="0.3">
      <c r="C20" s="211"/>
      <c r="D20" s="156" t="s">
        <v>143</v>
      </c>
      <c r="E20" s="156" t="s">
        <v>144</v>
      </c>
      <c r="F20" s="157" t="s">
        <v>91</v>
      </c>
      <c r="G20" s="156">
        <v>2.92</v>
      </c>
      <c r="H20" s="156">
        <v>2.75</v>
      </c>
      <c r="I20" s="157" t="s">
        <v>91</v>
      </c>
      <c r="J20" s="149"/>
    </row>
    <row r="21" spans="3:10" x14ac:dyDescent="0.3">
      <c r="C21" s="210" t="s">
        <v>145</v>
      </c>
      <c r="D21" s="152" t="s">
        <v>146</v>
      </c>
      <c r="E21" s="152"/>
      <c r="F21" s="152">
        <v>3.85</v>
      </c>
      <c r="G21" s="153" t="s">
        <v>91</v>
      </c>
      <c r="H21" s="153" t="s">
        <v>91</v>
      </c>
      <c r="I21" s="153" t="s">
        <v>91</v>
      </c>
      <c r="J21" s="149"/>
    </row>
    <row r="22" spans="3:10" x14ac:dyDescent="0.3">
      <c r="C22" s="210"/>
      <c r="D22" s="152" t="s">
        <v>147</v>
      </c>
      <c r="E22" s="152"/>
      <c r="F22" s="158">
        <v>4</v>
      </c>
      <c r="G22" s="153" t="s">
        <v>91</v>
      </c>
      <c r="H22" s="153" t="s">
        <v>91</v>
      </c>
      <c r="I22" s="153" t="s">
        <v>91</v>
      </c>
      <c r="J22" s="149"/>
    </row>
    <row r="23" spans="3:10" x14ac:dyDescent="0.3">
      <c r="C23" s="211"/>
      <c r="D23" s="156" t="s">
        <v>148</v>
      </c>
      <c r="E23" s="156"/>
      <c r="F23" s="157" t="s">
        <v>91</v>
      </c>
      <c r="G23" s="159">
        <v>3.3</v>
      </c>
      <c r="H23" s="157" t="s">
        <v>91</v>
      </c>
      <c r="I23" s="157" t="s">
        <v>91</v>
      </c>
      <c r="J23" s="160"/>
    </row>
    <row r="24" spans="3:10" x14ac:dyDescent="0.3">
      <c r="C24" s="149"/>
      <c r="D24" s="149"/>
      <c r="E24" s="149"/>
      <c r="F24" s="149"/>
      <c r="G24" s="149"/>
      <c r="H24" s="149"/>
      <c r="I24" s="149"/>
      <c r="J24" s="149"/>
    </row>
  </sheetData>
  <mergeCells count="15">
    <mergeCell ref="F2:K2"/>
    <mergeCell ref="F3:G3"/>
    <mergeCell ref="H3:I3"/>
    <mergeCell ref="J3:K3"/>
    <mergeCell ref="D9:D10"/>
    <mergeCell ref="C5:D6"/>
    <mergeCell ref="C7:C10"/>
    <mergeCell ref="C2:D4"/>
    <mergeCell ref="E2:E4"/>
    <mergeCell ref="C21:C23"/>
    <mergeCell ref="C15:C16"/>
    <mergeCell ref="D15:D16"/>
    <mergeCell ref="E15:E16"/>
    <mergeCell ref="F15:I15"/>
    <mergeCell ref="C18:C20"/>
  </mergeCells>
  <conditionalFormatting sqref="F5:K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2D8B3-DF5C-674C-80F0-F51C80AAF592}">
  <dimension ref="A1:AA44"/>
  <sheetViews>
    <sheetView topLeftCell="A18" zoomScale="164" zoomScaleNormal="150" zoomScalePageLayoutView="150" workbookViewId="0">
      <selection activeCell="D16" sqref="D16:D23"/>
    </sheetView>
  </sheetViews>
  <sheetFormatPr defaultColWidth="11.19921875" defaultRowHeight="15.6" x14ac:dyDescent="0.3"/>
  <cols>
    <col min="2" max="2" width="13.5" customWidth="1"/>
    <col min="3" max="3" width="14.19921875" customWidth="1"/>
    <col min="4" max="4" width="13.796875" customWidth="1"/>
    <col min="5" max="5" width="13.69921875" customWidth="1"/>
    <col min="6" max="6" width="11.69921875" customWidth="1"/>
    <col min="7" max="7" width="15.5" customWidth="1"/>
    <col min="8" max="8" width="14.5" bestFit="1" customWidth="1"/>
    <col min="9" max="9" width="11.796875" customWidth="1"/>
    <col min="10" max="10" width="14.296875" bestFit="1" customWidth="1"/>
    <col min="15" max="15" width="14.19921875" customWidth="1"/>
    <col min="19" max="19" width="11.796875" bestFit="1" customWidth="1"/>
    <col min="21" max="21" width="13.796875" customWidth="1"/>
    <col min="25" max="25" width="13.296875" customWidth="1"/>
    <col min="32" max="32" width="11.796875" bestFit="1" customWidth="1"/>
    <col min="33" max="33" width="11.296875" customWidth="1"/>
    <col min="34" max="34" width="12.19921875" customWidth="1"/>
    <col min="35" max="35" width="11.5" customWidth="1"/>
    <col min="36" max="36" width="12" customWidth="1"/>
    <col min="37" max="37" width="11.5" customWidth="1"/>
    <col min="38" max="38" width="11.296875" customWidth="1"/>
    <col min="39" max="39" width="10.19921875" customWidth="1"/>
    <col min="40" max="40" width="11.69921875" customWidth="1"/>
    <col min="41" max="41" width="10.69921875" customWidth="1"/>
    <col min="42" max="42" width="9.296875" customWidth="1"/>
    <col min="43" max="43" width="12.796875" bestFit="1" customWidth="1"/>
    <col min="44" max="44" width="16" bestFit="1" customWidth="1"/>
    <col min="50" max="50" width="11.5" bestFit="1" customWidth="1"/>
  </cols>
  <sheetData>
    <row r="1" spans="2:25" ht="16.2" thickBot="1" x14ac:dyDescent="0.35"/>
    <row r="2" spans="2:25" x14ac:dyDescent="0.3">
      <c r="B2" s="312" t="s">
        <v>0</v>
      </c>
      <c r="C2" s="313"/>
      <c r="D2" s="313"/>
      <c r="E2" s="314"/>
      <c r="G2" s="315" t="s">
        <v>28</v>
      </c>
      <c r="H2" s="317" t="s">
        <v>14</v>
      </c>
      <c r="I2" s="319" t="s">
        <v>29</v>
      </c>
      <c r="J2" s="321" t="s">
        <v>31</v>
      </c>
      <c r="K2" s="321"/>
      <c r="L2" s="308" t="s">
        <v>25</v>
      </c>
      <c r="M2" s="308" t="s">
        <v>26</v>
      </c>
      <c r="N2" s="310" t="s">
        <v>16</v>
      </c>
      <c r="O2" s="310" t="s">
        <v>17</v>
      </c>
      <c r="P2" s="308" t="s">
        <v>41</v>
      </c>
      <c r="Q2" s="308" t="s">
        <v>40</v>
      </c>
      <c r="R2" s="308" t="s">
        <v>12</v>
      </c>
      <c r="S2" s="295" t="s">
        <v>27</v>
      </c>
    </row>
    <row r="3" spans="2:25" x14ac:dyDescent="0.3">
      <c r="B3" s="40" t="s">
        <v>1</v>
      </c>
      <c r="C3" s="47" t="s">
        <v>2</v>
      </c>
      <c r="D3" s="47" t="s">
        <v>11</v>
      </c>
      <c r="E3" s="41" t="s">
        <v>76</v>
      </c>
      <c r="G3" s="316"/>
      <c r="H3" s="318"/>
      <c r="I3" s="320"/>
      <c r="J3" s="4" t="s">
        <v>15</v>
      </c>
      <c r="K3" s="4" t="s">
        <v>30</v>
      </c>
      <c r="L3" s="309"/>
      <c r="M3" s="309"/>
      <c r="N3" s="311"/>
      <c r="O3" s="311"/>
      <c r="P3" s="309"/>
      <c r="Q3" s="309"/>
      <c r="R3" s="309"/>
      <c r="S3" s="296"/>
    </row>
    <row r="4" spans="2:25" x14ac:dyDescent="0.3">
      <c r="B4" s="48" t="s">
        <v>3</v>
      </c>
      <c r="C4" s="51">
        <v>1127165</v>
      </c>
      <c r="D4" s="51">
        <v>3951</v>
      </c>
      <c r="E4" s="49">
        <v>740</v>
      </c>
      <c r="F4" s="51"/>
      <c r="G4" s="30" t="s">
        <v>84</v>
      </c>
      <c r="H4" s="3">
        <v>12</v>
      </c>
      <c r="I4" s="52">
        <f>C4</f>
        <v>1127165</v>
      </c>
      <c r="J4" s="53">
        <f>D4</f>
        <v>3951</v>
      </c>
      <c r="K4" s="54">
        <f t="shared" ref="J4:K11" si="0">E4</f>
        <v>740</v>
      </c>
      <c r="L4" s="55">
        <f>K4/I4</f>
        <v>6.5651435237964269E-4</v>
      </c>
      <c r="M4" s="55">
        <f t="shared" ref="M4:M11" si="1">J4/I4</f>
        <v>3.5052543327729305E-3</v>
      </c>
      <c r="N4" s="55">
        <f>L4*H4</f>
        <v>7.8781722285557118E-3</v>
      </c>
      <c r="O4" s="55">
        <f>Y23</f>
        <v>1.3455671207589457</v>
      </c>
      <c r="P4" s="55">
        <f>(5*L3)+P3</f>
        <v>0</v>
      </c>
      <c r="Q4" s="55">
        <f>P4+O4*L4</f>
        <v>8.8338412686839965E-4</v>
      </c>
      <c r="R4" s="55">
        <f>M4/Q4</f>
        <v>3.9679842847064406</v>
      </c>
      <c r="S4" s="32">
        <f>$R$6*L4</f>
        <v>1.0769110143072297E-3</v>
      </c>
    </row>
    <row r="5" spans="2:25" x14ac:dyDescent="0.3">
      <c r="B5" s="48" t="s">
        <v>4</v>
      </c>
      <c r="C5" s="51">
        <v>1261638</v>
      </c>
      <c r="D5" s="51">
        <v>140676</v>
      </c>
      <c r="E5" s="85">
        <v>37057</v>
      </c>
      <c r="F5" s="51"/>
      <c r="G5" s="31" t="s">
        <v>18</v>
      </c>
      <c r="H5" s="50">
        <v>17</v>
      </c>
      <c r="I5" s="52">
        <f>C5</f>
        <v>1261638</v>
      </c>
      <c r="J5" s="53">
        <f>D5</f>
        <v>140676</v>
      </c>
      <c r="K5" s="54">
        <f t="shared" si="0"/>
        <v>37057</v>
      </c>
      <c r="L5" s="55">
        <f>K5/I5</f>
        <v>2.9372133686524977E-2</v>
      </c>
      <c r="M5" s="55">
        <f t="shared" si="1"/>
        <v>0.11150266558236198</v>
      </c>
      <c r="N5" s="55">
        <f>L5*H5</f>
        <v>0.49932627267092461</v>
      </c>
      <c r="O5" s="55">
        <f>Y24</f>
        <v>2.4050605526627846</v>
      </c>
      <c r="P5" s="55">
        <v>0</v>
      </c>
      <c r="Q5" s="55">
        <f>P5+O5*L5</f>
        <v>7.0641760076998961E-2</v>
      </c>
      <c r="R5" s="55">
        <f>M5/Q5</f>
        <v>1.5784242275507427</v>
      </c>
      <c r="S5" s="32">
        <f>$R$6*L5</f>
        <v>4.8180476429907193E-2</v>
      </c>
    </row>
    <row r="6" spans="2:25" x14ac:dyDescent="0.3">
      <c r="B6" s="48" t="s">
        <v>5</v>
      </c>
      <c r="C6" s="51">
        <v>1402396</v>
      </c>
      <c r="D6" s="51">
        <v>698654</v>
      </c>
      <c r="E6" s="85">
        <v>75837</v>
      </c>
      <c r="F6" s="51"/>
      <c r="G6" s="31" t="s">
        <v>19</v>
      </c>
      <c r="H6" s="50">
        <v>22</v>
      </c>
      <c r="I6" s="53">
        <f t="shared" ref="I6:I11" si="2">C6</f>
        <v>1402396</v>
      </c>
      <c r="J6" s="53">
        <f t="shared" si="0"/>
        <v>698654</v>
      </c>
      <c r="K6" s="54">
        <f t="shared" si="0"/>
        <v>75837</v>
      </c>
      <c r="L6" s="55">
        <f t="shared" ref="L6:L11" si="3">K6/I6</f>
        <v>5.4076737241121622E-2</v>
      </c>
      <c r="M6" s="55">
        <f t="shared" si="1"/>
        <v>0.49818596173976537</v>
      </c>
      <c r="N6" s="55">
        <f t="shared" ref="N6:N11" si="4">L6*H6</f>
        <v>1.1896882193046756</v>
      </c>
      <c r="O6" s="55">
        <f>Y25</f>
        <v>2.9004540875916343</v>
      </c>
      <c r="P6" s="55">
        <f>(5*L5)+P5</f>
        <v>0.14686066843262488</v>
      </c>
      <c r="Q6" s="55">
        <f t="shared" ref="Q6:Q11" si="5">P6+O6*L6</f>
        <v>0.30370776200725486</v>
      </c>
      <c r="R6" s="55">
        <f>M6/Q6</f>
        <v>1.6403464911373089</v>
      </c>
      <c r="S6" s="32">
        <f t="shared" ref="S6:S11" si="6">$R$6*L6</f>
        <v>8.8704586185628098E-2</v>
      </c>
    </row>
    <row r="7" spans="2:25" x14ac:dyDescent="0.3">
      <c r="B7" s="48" t="s">
        <v>6</v>
      </c>
      <c r="C7" s="51">
        <v>1353939</v>
      </c>
      <c r="D7" s="51">
        <v>1310976</v>
      </c>
      <c r="E7" s="85">
        <v>71451</v>
      </c>
      <c r="F7" s="51"/>
      <c r="G7" s="31" t="s">
        <v>20</v>
      </c>
      <c r="H7" s="50">
        <v>27</v>
      </c>
      <c r="I7" s="53">
        <f t="shared" si="2"/>
        <v>1353939</v>
      </c>
      <c r="J7" s="53">
        <f t="shared" si="0"/>
        <v>1310976</v>
      </c>
      <c r="K7" s="54">
        <f t="shared" si="0"/>
        <v>71451</v>
      </c>
      <c r="L7" s="55">
        <f t="shared" si="3"/>
        <v>5.2772687691247537E-2</v>
      </c>
      <c r="M7" s="55">
        <f t="shared" si="1"/>
        <v>0.96826814206548451</v>
      </c>
      <c r="N7" s="55">
        <f t="shared" si="4"/>
        <v>1.4248625676636835</v>
      </c>
      <c r="O7" s="55">
        <f>Y26</f>
        <v>3.040973764338077</v>
      </c>
      <c r="P7" s="55">
        <f>(5*L6)+P6</f>
        <v>0.41724435463823295</v>
      </c>
      <c r="Q7" s="55">
        <f t="shared" si="5"/>
        <v>0.57772471338092368</v>
      </c>
      <c r="R7" s="55">
        <f t="shared" ref="R7:R10" si="7">M7/Q7</f>
        <v>1.6760026352327002</v>
      </c>
      <c r="S7" s="32">
        <f t="shared" si="6"/>
        <v>8.6565493082222944E-2</v>
      </c>
    </row>
    <row r="8" spans="2:25" x14ac:dyDescent="0.3">
      <c r="B8" s="48" t="s">
        <v>7</v>
      </c>
      <c r="C8" s="51">
        <v>1238646</v>
      </c>
      <c r="D8" s="51">
        <v>1769942</v>
      </c>
      <c r="E8" s="85">
        <v>52248</v>
      </c>
      <c r="F8" s="51"/>
      <c r="G8" s="31" t="s">
        <v>21</v>
      </c>
      <c r="H8" s="50">
        <v>32</v>
      </c>
      <c r="I8" s="53">
        <f t="shared" si="2"/>
        <v>1238646</v>
      </c>
      <c r="J8" s="53">
        <f t="shared" si="0"/>
        <v>1769942</v>
      </c>
      <c r="K8" s="54">
        <f t="shared" si="0"/>
        <v>52248</v>
      </c>
      <c r="L8" s="55">
        <f t="shared" si="3"/>
        <v>4.2181543394965146E-2</v>
      </c>
      <c r="M8" s="55">
        <f t="shared" si="1"/>
        <v>1.4289328831643584</v>
      </c>
      <c r="N8" s="55">
        <f t="shared" si="4"/>
        <v>1.3498093886388847</v>
      </c>
      <c r="O8" s="55">
        <f>T27</f>
        <v>3.1559515903537005</v>
      </c>
      <c r="P8" s="55">
        <f t="shared" ref="P8:P10" si="8">(5*L7)+P7</f>
        <v>0.68110779309447067</v>
      </c>
      <c r="Q8" s="55">
        <f t="shared" si="5"/>
        <v>0.8142307020553845</v>
      </c>
      <c r="R8" s="55">
        <f t="shared" si="7"/>
        <v>1.7549484188661328</v>
      </c>
      <c r="S8" s="32">
        <f t="shared" si="6"/>
        <v>6.9192346698687207E-2</v>
      </c>
    </row>
    <row r="9" spans="2:25" x14ac:dyDescent="0.3">
      <c r="B9" s="48" t="s">
        <v>8</v>
      </c>
      <c r="C9" s="51">
        <v>1212479</v>
      </c>
      <c r="D9" s="51">
        <v>2172458</v>
      </c>
      <c r="E9" s="85">
        <v>30104</v>
      </c>
      <c r="F9" s="51"/>
      <c r="G9" s="31" t="s">
        <v>22</v>
      </c>
      <c r="H9" s="50">
        <v>37</v>
      </c>
      <c r="I9" s="53">
        <f t="shared" si="2"/>
        <v>1212479</v>
      </c>
      <c r="J9" s="53">
        <f t="shared" si="0"/>
        <v>2172458</v>
      </c>
      <c r="K9" s="54">
        <f t="shared" si="0"/>
        <v>30104</v>
      </c>
      <c r="L9" s="55">
        <f t="shared" si="3"/>
        <v>2.482847125599701E-2</v>
      </c>
      <c r="M9" s="55">
        <f t="shared" si="1"/>
        <v>1.7917489704976333</v>
      </c>
      <c r="N9" s="55">
        <f t="shared" si="4"/>
        <v>0.91865343647188935</v>
      </c>
      <c r="O9" s="55">
        <f>T28</f>
        <v>3.3105225445659214</v>
      </c>
      <c r="P9" s="55">
        <f t="shared" si="8"/>
        <v>0.89201551006929636</v>
      </c>
      <c r="Q9" s="55">
        <f t="shared" si="5"/>
        <v>0.97421072390938146</v>
      </c>
      <c r="R9" s="55">
        <f t="shared" si="7"/>
        <v>1.8391800937148144</v>
      </c>
      <c r="S9" s="32">
        <f t="shared" si="6"/>
        <v>4.0727295705078229E-2</v>
      </c>
    </row>
    <row r="10" spans="2:25" x14ac:dyDescent="0.3">
      <c r="B10" s="48" t="s">
        <v>9</v>
      </c>
      <c r="C10" s="51">
        <v>1046411</v>
      </c>
      <c r="D10" s="51">
        <v>2186144</v>
      </c>
      <c r="E10" s="85">
        <v>7789</v>
      </c>
      <c r="F10" s="51"/>
      <c r="G10" s="31" t="s">
        <v>23</v>
      </c>
      <c r="H10" s="50">
        <v>42</v>
      </c>
      <c r="I10" s="53">
        <f t="shared" si="2"/>
        <v>1046411</v>
      </c>
      <c r="J10" s="53">
        <f t="shared" si="0"/>
        <v>2186144</v>
      </c>
      <c r="K10" s="54">
        <f t="shared" si="0"/>
        <v>7789</v>
      </c>
      <c r="L10" s="55">
        <f t="shared" si="3"/>
        <v>7.4435379597500408E-3</v>
      </c>
      <c r="M10" s="55">
        <f t="shared" si="1"/>
        <v>2.0891829309898311</v>
      </c>
      <c r="N10" s="55">
        <f t="shared" si="4"/>
        <v>0.31262859430950174</v>
      </c>
      <c r="O10" s="55">
        <f>T29</f>
        <v>3.6929482698392437</v>
      </c>
      <c r="P10" s="55">
        <f t="shared" si="8"/>
        <v>1.0161578663492814</v>
      </c>
      <c r="Q10" s="55">
        <f t="shared" si="5"/>
        <v>1.0436464669792231</v>
      </c>
      <c r="R10" s="55">
        <f t="shared" si="7"/>
        <v>2.0018109552335814</v>
      </c>
      <c r="S10" s="32">
        <f t="shared" si="6"/>
        <v>1.2209981373923342E-2</v>
      </c>
    </row>
    <row r="11" spans="2:25" ht="16.2" thickBot="1" x14ac:dyDescent="0.35">
      <c r="B11" s="56" t="s">
        <v>10</v>
      </c>
      <c r="C11" s="51">
        <v>1029134</v>
      </c>
      <c r="D11" s="86">
        <v>2339086</v>
      </c>
      <c r="E11" s="87">
        <v>836</v>
      </c>
      <c r="F11" s="51"/>
      <c r="G11" s="33" t="s">
        <v>24</v>
      </c>
      <c r="H11" s="34">
        <v>47</v>
      </c>
      <c r="I11" s="35">
        <f t="shared" si="2"/>
        <v>1029134</v>
      </c>
      <c r="J11" s="35">
        <f t="shared" si="0"/>
        <v>2339086</v>
      </c>
      <c r="K11" s="57">
        <f t="shared" si="0"/>
        <v>836</v>
      </c>
      <c r="L11" s="36">
        <f t="shared" si="3"/>
        <v>8.1233347649577214E-4</v>
      </c>
      <c r="M11" s="36">
        <f t="shared" si="1"/>
        <v>2.2728682562231937</v>
      </c>
      <c r="N11" s="36">
        <f t="shared" si="4"/>
        <v>3.8179673395301289E-2</v>
      </c>
      <c r="O11" s="36">
        <f>T30</f>
        <v>4.7639933589710859</v>
      </c>
      <c r="P11" s="36">
        <f>(5*L10)+P10</f>
        <v>1.0533755561480316</v>
      </c>
      <c r="Q11" s="36">
        <f t="shared" si="5"/>
        <v>1.0572455074353273</v>
      </c>
      <c r="R11" s="36">
        <f>M11/Q11</f>
        <v>2.1498017633924325</v>
      </c>
      <c r="S11" s="37">
        <f t="shared" si="6"/>
        <v>1.3325083678032113E-3</v>
      </c>
    </row>
    <row r="12" spans="2:25" ht="16.2" thickBot="1" x14ac:dyDescent="0.35">
      <c r="C12" s="84"/>
      <c r="L12" s="27">
        <f>SUM(L4:L11)</f>
        <v>0.21214395905848174</v>
      </c>
      <c r="M12" s="58"/>
      <c r="N12" s="45">
        <f>SUM(N4:N11)</f>
        <v>5.7410263246834177</v>
      </c>
      <c r="O12" s="53"/>
      <c r="P12" s="59"/>
      <c r="Q12" s="59"/>
      <c r="R12" s="59"/>
      <c r="S12" s="60">
        <f>SUM(S5:S11)</f>
        <v>0.34691268784325013</v>
      </c>
    </row>
    <row r="13" spans="2:25" ht="16.2" thickBot="1" x14ac:dyDescent="0.35">
      <c r="K13" s="297" t="s">
        <v>32</v>
      </c>
      <c r="L13" s="299">
        <f>5*L12</f>
        <v>1.0607197952924088</v>
      </c>
      <c r="M13" s="59"/>
      <c r="N13" s="59"/>
      <c r="O13" s="59"/>
      <c r="P13" s="59"/>
      <c r="Q13" s="59"/>
      <c r="R13" s="301" t="s">
        <v>42</v>
      </c>
      <c r="S13" s="303">
        <f>5*S12</f>
        <v>1.7345634392162506</v>
      </c>
    </row>
    <row r="14" spans="2:25" ht="16.2" thickBot="1" x14ac:dyDescent="0.35">
      <c r="B14" s="305" t="s">
        <v>33</v>
      </c>
      <c r="C14" s="306"/>
      <c r="D14" s="306"/>
      <c r="E14" s="307"/>
      <c r="K14" s="298"/>
      <c r="L14" s="300"/>
      <c r="M14" s="59"/>
      <c r="N14" s="59"/>
      <c r="O14" s="59"/>
      <c r="P14" s="59"/>
      <c r="Q14" s="59"/>
      <c r="R14" s="302"/>
      <c r="S14" s="304"/>
    </row>
    <row r="15" spans="2:25" ht="63" thickBot="1" x14ac:dyDescent="0.35">
      <c r="B15" s="42" t="s">
        <v>1</v>
      </c>
      <c r="C15" s="2" t="s">
        <v>37</v>
      </c>
      <c r="D15" s="2" t="s">
        <v>34</v>
      </c>
      <c r="E15" s="43" t="s">
        <v>36</v>
      </c>
      <c r="R15" s="38" t="s">
        <v>62</v>
      </c>
      <c r="S15" s="61">
        <f>N12/L12</f>
        <v>27.061936385851972</v>
      </c>
      <c r="W15" s="39" t="s">
        <v>13</v>
      </c>
      <c r="X15" s="62">
        <f>M5/M6</f>
        <v>0.2238173576649416</v>
      </c>
    </row>
    <row r="16" spans="2:25" x14ac:dyDescent="0.3">
      <c r="B16" s="48" t="s">
        <v>3</v>
      </c>
      <c r="C16" s="63">
        <f>L4</f>
        <v>6.5651435237964269E-4</v>
      </c>
      <c r="D16" s="63">
        <f t="shared" ref="D16:D23" si="9">S4</f>
        <v>1.0769110143072297E-3</v>
      </c>
      <c r="E16" s="64">
        <f>100*((D16-C16)/C16)</f>
        <v>64.034649113730907</v>
      </c>
      <c r="G16" s="256" t="s">
        <v>61</v>
      </c>
      <c r="H16" s="257"/>
      <c r="I16" s="257"/>
      <c r="J16" s="257"/>
      <c r="K16" s="257"/>
      <c r="L16" s="257"/>
      <c r="M16" s="257"/>
      <c r="N16" s="257"/>
      <c r="O16" s="258"/>
      <c r="P16" s="5"/>
      <c r="Q16" s="262" t="s">
        <v>56</v>
      </c>
      <c r="R16" s="263"/>
      <c r="S16" s="263"/>
      <c r="T16" s="264"/>
      <c r="U16" s="5"/>
      <c r="V16" s="271" t="s">
        <v>59</v>
      </c>
      <c r="W16" s="272"/>
      <c r="X16" s="272"/>
      <c r="Y16" s="273"/>
    </row>
    <row r="17" spans="2:27" ht="16.2" thickBot="1" x14ac:dyDescent="0.35">
      <c r="B17" s="48" t="s">
        <v>4</v>
      </c>
      <c r="C17" s="63">
        <f>L5</f>
        <v>2.9372133686524977E-2</v>
      </c>
      <c r="D17" s="63">
        <f t="shared" si="9"/>
        <v>4.8180476429907193E-2</v>
      </c>
      <c r="E17" s="64">
        <f>100*((D17-C17)/C17)</f>
        <v>64.034649113730879</v>
      </c>
      <c r="G17" s="259"/>
      <c r="H17" s="260"/>
      <c r="I17" s="260"/>
      <c r="J17" s="260"/>
      <c r="K17" s="260"/>
      <c r="L17" s="260"/>
      <c r="M17" s="260"/>
      <c r="N17" s="260"/>
      <c r="O17" s="261"/>
      <c r="P17" s="5"/>
      <c r="Q17" s="265"/>
      <c r="R17" s="266"/>
      <c r="S17" s="266"/>
      <c r="T17" s="267"/>
      <c r="U17" s="5"/>
      <c r="V17" s="274"/>
      <c r="W17" s="275"/>
      <c r="X17" s="275"/>
      <c r="Y17" s="276"/>
    </row>
    <row r="18" spans="2:27" ht="16.2" thickBot="1" x14ac:dyDescent="0.35">
      <c r="B18" s="48" t="s">
        <v>5</v>
      </c>
      <c r="C18" s="63">
        <f t="shared" ref="C18:C23" si="10">L6</f>
        <v>5.4076737241121622E-2</v>
      </c>
      <c r="D18" s="63">
        <f t="shared" si="9"/>
        <v>8.8704586185628098E-2</v>
      </c>
      <c r="E18" s="64">
        <f t="shared" ref="E18:E23" si="11">100*((D18-C18)/C18)</f>
        <v>64.034649113730907</v>
      </c>
      <c r="G18" s="6" t="s">
        <v>54</v>
      </c>
      <c r="H18" s="280" t="s">
        <v>55</v>
      </c>
      <c r="I18" s="281"/>
      <c r="J18" s="281"/>
      <c r="K18" s="281"/>
      <c r="L18" s="281"/>
      <c r="M18" s="281"/>
      <c r="N18" s="281"/>
      <c r="O18" s="282"/>
      <c r="P18" s="5"/>
      <c r="Q18" s="268"/>
      <c r="R18" s="269"/>
      <c r="S18" s="269"/>
      <c r="T18" s="270"/>
      <c r="U18" s="5"/>
      <c r="V18" s="277"/>
      <c r="W18" s="278"/>
      <c r="X18" s="278"/>
      <c r="Y18" s="279"/>
    </row>
    <row r="19" spans="2:27" x14ac:dyDescent="0.3">
      <c r="B19" s="48" t="s">
        <v>6</v>
      </c>
      <c r="C19" s="63">
        <f t="shared" si="10"/>
        <v>5.2772687691247537E-2</v>
      </c>
      <c r="D19" s="63">
        <f t="shared" si="9"/>
        <v>8.6565493082222944E-2</v>
      </c>
      <c r="E19" s="64">
        <f t="shared" si="11"/>
        <v>64.034649113730879</v>
      </c>
      <c r="G19" s="102" t="s">
        <v>3</v>
      </c>
      <c r="H19" s="103">
        <v>-1.7435</v>
      </c>
      <c r="I19" s="79">
        <v>-1.0257000000000001</v>
      </c>
      <c r="J19" s="79">
        <v>-0.30780000000000002</v>
      </c>
      <c r="K19" s="79">
        <v>0.40860000000000002</v>
      </c>
      <c r="L19" s="108">
        <v>1.1286</v>
      </c>
      <c r="M19" s="108">
        <v>1.855</v>
      </c>
      <c r="N19" s="108">
        <v>2.5486</v>
      </c>
      <c r="O19" s="104">
        <v>3.2879</v>
      </c>
      <c r="P19" s="5"/>
      <c r="Q19" s="283" t="s">
        <v>57</v>
      </c>
      <c r="R19" s="284"/>
      <c r="S19" s="285"/>
      <c r="T19" s="289" t="s">
        <v>58</v>
      </c>
      <c r="U19" s="5"/>
      <c r="V19" s="291" t="s">
        <v>60</v>
      </c>
      <c r="W19" s="292"/>
      <c r="X19" s="292"/>
      <c r="Y19" s="293" t="s">
        <v>45</v>
      </c>
    </row>
    <row r="20" spans="2:27" ht="16.2" thickBot="1" x14ac:dyDescent="0.35">
      <c r="B20" s="48" t="s">
        <v>7</v>
      </c>
      <c r="C20" s="63">
        <f t="shared" si="10"/>
        <v>4.2181543394965146E-2</v>
      </c>
      <c r="D20" s="63">
        <f t="shared" si="9"/>
        <v>6.9192346698687207E-2</v>
      </c>
      <c r="E20" s="64">
        <f>100*((D20-C20)/C20)</f>
        <v>64.034649113730893</v>
      </c>
      <c r="G20" s="7" t="s">
        <v>44</v>
      </c>
      <c r="H20" s="8">
        <v>1.1200000000000001</v>
      </c>
      <c r="I20" s="65">
        <v>1.31</v>
      </c>
      <c r="J20" s="65">
        <v>1.615</v>
      </c>
      <c r="K20" s="66">
        <v>1.95</v>
      </c>
      <c r="L20" s="66">
        <v>2.3050000000000002</v>
      </c>
      <c r="M20" s="67">
        <v>2.64</v>
      </c>
      <c r="N20" s="67">
        <v>2.9249999999999998</v>
      </c>
      <c r="O20" s="69">
        <v>3.17</v>
      </c>
      <c r="P20" s="5"/>
      <c r="Q20" s="286"/>
      <c r="R20" s="287"/>
      <c r="S20" s="288"/>
      <c r="T20" s="290"/>
      <c r="U20" s="5"/>
      <c r="V20" s="286"/>
      <c r="W20" s="287"/>
      <c r="X20" s="287"/>
      <c r="Y20" s="294"/>
    </row>
    <row r="21" spans="2:27" ht="16.2" thickBot="1" x14ac:dyDescent="0.35">
      <c r="B21" s="48" t="s">
        <v>8</v>
      </c>
      <c r="C21" s="63">
        <f t="shared" si="10"/>
        <v>2.482847125599701E-2</v>
      </c>
      <c r="D21" s="63">
        <f t="shared" si="9"/>
        <v>4.0727295705078229E-2</v>
      </c>
      <c r="E21" s="64">
        <f t="shared" si="11"/>
        <v>64.034649113730893</v>
      </c>
      <c r="G21" s="7" t="s">
        <v>46</v>
      </c>
      <c r="H21" s="8">
        <v>2.5550000000000002</v>
      </c>
      <c r="I21" s="65">
        <v>2.69</v>
      </c>
      <c r="J21" s="65">
        <v>2.78</v>
      </c>
      <c r="K21" s="66">
        <v>2.84</v>
      </c>
      <c r="L21" s="66">
        <v>2.89</v>
      </c>
      <c r="M21" s="67">
        <v>2.9249999999999998</v>
      </c>
      <c r="N21" s="67">
        <v>2.96</v>
      </c>
      <c r="O21" s="69">
        <v>2.9849999999999999</v>
      </c>
      <c r="P21" s="9"/>
      <c r="Q21" s="99"/>
      <c r="R21" s="100" t="s">
        <v>72</v>
      </c>
      <c r="S21" s="101" t="s">
        <v>73</v>
      </c>
      <c r="T21" s="28" t="s">
        <v>74</v>
      </c>
      <c r="U21" s="9"/>
      <c r="V21" s="99"/>
      <c r="W21" s="100" t="s">
        <v>72</v>
      </c>
      <c r="X21" s="101" t="s">
        <v>73</v>
      </c>
      <c r="Y21" s="28" t="s">
        <v>74</v>
      </c>
    </row>
    <row r="22" spans="2:27" ht="16.2" thickBot="1" x14ac:dyDescent="0.35">
      <c r="B22" s="48" t="s">
        <v>9</v>
      </c>
      <c r="C22" s="63">
        <f t="shared" si="10"/>
        <v>7.4435379597500408E-3</v>
      </c>
      <c r="D22" s="63">
        <f t="shared" si="9"/>
        <v>1.2209981373923342E-2</v>
      </c>
      <c r="E22" s="64">
        <f t="shared" si="11"/>
        <v>64.034649113730879</v>
      </c>
      <c r="G22" s="7" t="s">
        <v>47</v>
      </c>
      <c r="H22" s="8">
        <v>2.9249999999999998</v>
      </c>
      <c r="I22" s="65">
        <v>2.96</v>
      </c>
      <c r="J22" s="65">
        <v>2.9849999999999999</v>
      </c>
      <c r="K22" s="66">
        <v>3.01</v>
      </c>
      <c r="L22" s="66">
        <v>3.0350000000000001</v>
      </c>
      <c r="M22" s="67">
        <v>3.0550000000000002</v>
      </c>
      <c r="N22" s="67">
        <v>3.0750000000000002</v>
      </c>
      <c r="O22" s="69">
        <v>3.0950000000000002</v>
      </c>
      <c r="P22" s="5"/>
      <c r="Q22" s="10" t="s">
        <v>43</v>
      </c>
      <c r="R22" s="70">
        <v>27.7</v>
      </c>
      <c r="S22" s="95">
        <v>26.7</v>
      </c>
      <c r="T22" s="105">
        <f>S15</f>
        <v>27.061936385851972</v>
      </c>
      <c r="V22" s="10" t="s">
        <v>43</v>
      </c>
      <c r="W22" s="21">
        <v>0.20499999999999999</v>
      </c>
      <c r="X22" s="22">
        <v>0.26800000000000002</v>
      </c>
      <c r="Y22" s="25">
        <f>X15</f>
        <v>0.2238173576649416</v>
      </c>
      <c r="AA22" s="71"/>
    </row>
    <row r="23" spans="2:27" ht="16.2" thickBot="1" x14ac:dyDescent="0.35">
      <c r="B23" s="56" t="s">
        <v>10</v>
      </c>
      <c r="C23" s="72">
        <f t="shared" si="10"/>
        <v>8.1233347649577214E-4</v>
      </c>
      <c r="D23" s="72">
        <f t="shared" si="9"/>
        <v>1.3325083678032113E-3</v>
      </c>
      <c r="E23" s="73">
        <f t="shared" si="11"/>
        <v>64.034649113730879</v>
      </c>
      <c r="G23" s="7" t="s">
        <v>48</v>
      </c>
      <c r="H23" s="8">
        <v>3.0550000000000002</v>
      </c>
      <c r="I23" s="65">
        <v>3.0750000000000002</v>
      </c>
      <c r="J23" s="65">
        <v>3.0950000000000002</v>
      </c>
      <c r="K23" s="66">
        <v>3.12</v>
      </c>
      <c r="L23" s="66">
        <v>3.14</v>
      </c>
      <c r="M23" s="67">
        <v>3.165</v>
      </c>
      <c r="N23" s="67">
        <v>3.19</v>
      </c>
      <c r="O23" s="69">
        <v>3.2149999999999999</v>
      </c>
      <c r="P23" s="5"/>
      <c r="Q23" s="107" t="s">
        <v>3</v>
      </c>
      <c r="R23" s="66">
        <v>1.1286</v>
      </c>
      <c r="S23" s="66">
        <v>1.855</v>
      </c>
      <c r="T23" s="106"/>
      <c r="U23" s="5" t="s">
        <v>90</v>
      </c>
      <c r="V23" s="107" t="s">
        <v>3</v>
      </c>
      <c r="W23" s="108">
        <v>1.1286</v>
      </c>
      <c r="X23" s="108">
        <v>1.855</v>
      </c>
      <c r="Y23" s="26">
        <f>($W$32*(X23-W23))+W23</f>
        <v>1.3455671207589457</v>
      </c>
    </row>
    <row r="24" spans="2:27" ht="16.2" thickBot="1" x14ac:dyDescent="0.35">
      <c r="G24" s="7" t="s">
        <v>49</v>
      </c>
      <c r="H24" s="8">
        <v>3.165</v>
      </c>
      <c r="I24" s="65">
        <v>3.19</v>
      </c>
      <c r="J24" s="65">
        <v>3.2149999999999999</v>
      </c>
      <c r="K24" s="66">
        <v>3.2450000000000001</v>
      </c>
      <c r="L24" s="66">
        <v>3.2850000000000001</v>
      </c>
      <c r="M24" s="67">
        <v>3.3250000000000002</v>
      </c>
      <c r="N24" s="67">
        <v>3.375</v>
      </c>
      <c r="O24" s="69">
        <v>3.4350000000000001</v>
      </c>
      <c r="P24" s="5"/>
      <c r="Q24" s="11" t="s">
        <v>44</v>
      </c>
      <c r="R24" s="66">
        <v>2.3050000000000002</v>
      </c>
      <c r="S24" s="66">
        <v>2.64</v>
      </c>
      <c r="T24" s="12"/>
      <c r="U24" s="5" t="s">
        <v>63</v>
      </c>
      <c r="V24" s="11" t="s">
        <v>44</v>
      </c>
      <c r="W24" s="66">
        <v>2.3050000000000002</v>
      </c>
      <c r="X24" s="67">
        <v>2.64</v>
      </c>
      <c r="Y24" s="26">
        <f>($W$32*(X24-W24))+W24</f>
        <v>2.4050605526627846</v>
      </c>
    </row>
    <row r="25" spans="2:27" ht="16.2" thickBot="1" x14ac:dyDescent="0.35">
      <c r="C25" s="245" t="s">
        <v>32</v>
      </c>
      <c r="D25" s="247" t="s">
        <v>35</v>
      </c>
      <c r="E25" s="249" t="s">
        <v>36</v>
      </c>
      <c r="G25" s="7" t="s">
        <v>50</v>
      </c>
      <c r="H25" s="8">
        <v>3.3250000000000002</v>
      </c>
      <c r="I25" s="65">
        <v>3.375</v>
      </c>
      <c r="J25" s="65">
        <v>3.4350000000000001</v>
      </c>
      <c r="K25" s="66">
        <v>3.51</v>
      </c>
      <c r="L25" s="66">
        <v>3.61</v>
      </c>
      <c r="M25" s="67">
        <v>3.74</v>
      </c>
      <c r="N25" s="67">
        <v>3.915</v>
      </c>
      <c r="O25" s="69">
        <v>4.1500000000000004</v>
      </c>
      <c r="P25" s="5"/>
      <c r="Q25" s="11" t="s">
        <v>46</v>
      </c>
      <c r="R25" s="66">
        <v>2.89</v>
      </c>
      <c r="S25" s="66">
        <v>2.9249999999999998</v>
      </c>
      <c r="T25" s="12"/>
      <c r="U25" s="5" t="s">
        <v>64</v>
      </c>
      <c r="V25" s="11" t="s">
        <v>46</v>
      </c>
      <c r="W25" s="66">
        <v>2.89</v>
      </c>
      <c r="X25" s="67">
        <v>2.9249999999999998</v>
      </c>
      <c r="Y25" s="26">
        <f>($W$32*(X25-W25))+W25</f>
        <v>2.9004540875916343</v>
      </c>
    </row>
    <row r="26" spans="2:27" ht="16.2" thickBot="1" x14ac:dyDescent="0.35">
      <c r="C26" s="246"/>
      <c r="D26" s="248"/>
      <c r="E26" s="250"/>
      <c r="G26" s="13" t="s">
        <v>51</v>
      </c>
      <c r="H26" s="14">
        <v>3.64</v>
      </c>
      <c r="I26" s="46">
        <v>3.895</v>
      </c>
      <c r="J26" s="46">
        <v>4.1500000000000004</v>
      </c>
      <c r="K26" s="20">
        <v>4.3949999999999996</v>
      </c>
      <c r="L26" s="20">
        <v>4.63</v>
      </c>
      <c r="M26" s="74">
        <v>4.84</v>
      </c>
      <c r="N26" s="74">
        <v>4.9850000000000003</v>
      </c>
      <c r="O26" s="76">
        <v>5</v>
      </c>
      <c r="P26" s="5"/>
      <c r="Q26" s="11" t="s">
        <v>47</v>
      </c>
      <c r="R26" s="66">
        <v>3.0350000000000001</v>
      </c>
      <c r="S26" s="66">
        <v>3.0550000000000002</v>
      </c>
      <c r="T26" s="18"/>
      <c r="U26" s="5" t="s">
        <v>65</v>
      </c>
      <c r="V26" s="11" t="s">
        <v>47</v>
      </c>
      <c r="W26" s="66">
        <v>3.0350000000000001</v>
      </c>
      <c r="X26" s="67">
        <v>3.0550000000000002</v>
      </c>
      <c r="Y26" s="29">
        <f>($W$32*(X26-W26))+W26</f>
        <v>3.040973764338077</v>
      </c>
    </row>
    <row r="27" spans="2:27" ht="16.2" thickBot="1" x14ac:dyDescent="0.35">
      <c r="B27" s="77"/>
      <c r="C27" s="44">
        <f>L13</f>
        <v>1.0607197952924088</v>
      </c>
      <c r="D27" s="78">
        <f>S13</f>
        <v>1.7345634392162506</v>
      </c>
      <c r="E27" s="73">
        <f>100*((D27-C27)/C27)</f>
        <v>63.527016928922606</v>
      </c>
      <c r="G27" s="15" t="s">
        <v>52</v>
      </c>
      <c r="H27" s="8">
        <v>3.5999999999999997E-2</v>
      </c>
      <c r="I27" s="65">
        <v>0.113</v>
      </c>
      <c r="J27" s="65">
        <v>0.21299999999999999</v>
      </c>
      <c r="K27" s="65">
        <v>0.33</v>
      </c>
      <c r="L27" s="65">
        <v>0.46</v>
      </c>
      <c r="M27" s="68">
        <v>0.60499999999999998</v>
      </c>
      <c r="N27" s="68">
        <v>0.76400000000000001</v>
      </c>
      <c r="O27" s="69">
        <v>0.93899999999999995</v>
      </c>
      <c r="P27" s="5"/>
      <c r="Q27" s="11" t="s">
        <v>48</v>
      </c>
      <c r="R27" s="66">
        <v>3.14</v>
      </c>
      <c r="S27" s="66">
        <v>3.165</v>
      </c>
      <c r="T27" s="27">
        <f>($R$32*(S27-R27))+R27</f>
        <v>3.1559515903537005</v>
      </c>
      <c r="U27" s="5" t="s">
        <v>66</v>
      </c>
      <c r="V27" s="11" t="s">
        <v>48</v>
      </c>
      <c r="W27" s="66">
        <v>3.14</v>
      </c>
      <c r="X27" s="67">
        <v>3.165</v>
      </c>
      <c r="Y27" s="12"/>
    </row>
    <row r="28" spans="2:27" ht="16.2" thickBot="1" x14ac:dyDescent="0.35">
      <c r="G28" s="15" t="s">
        <v>53</v>
      </c>
      <c r="H28" s="8">
        <v>31.7</v>
      </c>
      <c r="I28" s="65">
        <v>30.7</v>
      </c>
      <c r="J28" s="79">
        <v>29.7</v>
      </c>
      <c r="K28" s="65">
        <v>28.7</v>
      </c>
      <c r="L28" s="70">
        <v>27.7</v>
      </c>
      <c r="M28" s="95">
        <v>26.7</v>
      </c>
      <c r="N28" s="68">
        <v>25.7</v>
      </c>
      <c r="O28" s="69">
        <v>24.7</v>
      </c>
      <c r="P28" s="5"/>
      <c r="Q28" s="11" t="s">
        <v>49</v>
      </c>
      <c r="R28" s="66">
        <v>3.2850000000000001</v>
      </c>
      <c r="S28" s="66">
        <v>3.3250000000000002</v>
      </c>
      <c r="T28" s="26">
        <f>($R$32*(S28-R28))+R28</f>
        <v>3.3105225445659214</v>
      </c>
      <c r="U28" s="5" t="s">
        <v>67</v>
      </c>
      <c r="V28" s="11" t="s">
        <v>49</v>
      </c>
      <c r="W28" s="66">
        <v>3.2850000000000001</v>
      </c>
      <c r="X28" s="67">
        <v>3.3250000000000002</v>
      </c>
      <c r="Y28" s="12"/>
    </row>
    <row r="29" spans="2:27" ht="16.2" thickBot="1" x14ac:dyDescent="0.35">
      <c r="B29" s="80"/>
      <c r="G29" s="16" t="s">
        <v>13</v>
      </c>
      <c r="H29" s="14">
        <v>1.4E-2</v>
      </c>
      <c r="I29" s="46">
        <v>4.4999999999999998E-2</v>
      </c>
      <c r="J29" s="19">
        <v>0.09</v>
      </c>
      <c r="K29" s="19">
        <v>0.14299999999999999</v>
      </c>
      <c r="L29" s="23">
        <v>0.20499999999999999</v>
      </c>
      <c r="M29" s="24">
        <v>0.26800000000000002</v>
      </c>
      <c r="N29" s="75">
        <v>0.33</v>
      </c>
      <c r="O29" s="76">
        <v>0.38700000000000001</v>
      </c>
      <c r="Q29" s="11" t="s">
        <v>50</v>
      </c>
      <c r="R29" s="66">
        <v>3.61</v>
      </c>
      <c r="S29" s="66">
        <v>3.74</v>
      </c>
      <c r="T29" s="26">
        <f>($R$32*(S29-R29))+R29</f>
        <v>3.6929482698392437</v>
      </c>
      <c r="U29" s="5" t="s">
        <v>68</v>
      </c>
      <c r="V29" s="11" t="s">
        <v>50</v>
      </c>
      <c r="W29" s="66">
        <v>3.61</v>
      </c>
      <c r="X29" s="67">
        <v>3.74</v>
      </c>
      <c r="Y29" s="12"/>
    </row>
    <row r="30" spans="2:27" ht="16.2" thickBot="1" x14ac:dyDescent="0.35">
      <c r="Q30" s="17" t="s">
        <v>51</v>
      </c>
      <c r="R30" s="20">
        <v>4.63</v>
      </c>
      <c r="S30" s="20">
        <v>4.84</v>
      </c>
      <c r="T30" s="29">
        <f>($R$32*(S30-R30))+R30</f>
        <v>4.7639933589710859</v>
      </c>
      <c r="U30" s="5" t="s">
        <v>69</v>
      </c>
      <c r="V30" s="17" t="s">
        <v>51</v>
      </c>
      <c r="W30" s="66">
        <v>4.63</v>
      </c>
      <c r="X30" s="74">
        <v>4.84</v>
      </c>
      <c r="Y30" s="18"/>
    </row>
    <row r="31" spans="2:27" ht="16.2" thickTop="1" x14ac:dyDescent="0.3">
      <c r="R31" s="81" t="s">
        <v>70</v>
      </c>
      <c r="W31" s="82" t="s">
        <v>70</v>
      </c>
    </row>
    <row r="32" spans="2:27" ht="16.2" thickBot="1" x14ac:dyDescent="0.35">
      <c r="R32" s="83">
        <f>((T22-R22)/(S22-R22))</f>
        <v>0.63806361414802737</v>
      </c>
      <c r="W32" s="83">
        <f>((Y22-W22)/(X22-W22))</f>
        <v>0.2986882169038349</v>
      </c>
    </row>
    <row r="33" spans="1:25" ht="16.2" thickTop="1" x14ac:dyDescent="0.3"/>
    <row r="34" spans="1:25" s="1" customFormat="1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/>
      <c r="R34"/>
      <c r="S34"/>
      <c r="T34"/>
      <c r="U34"/>
      <c r="V34"/>
      <c r="W34"/>
      <c r="X34"/>
      <c r="Y34"/>
    </row>
    <row r="35" spans="1:25" x14ac:dyDescent="0.3">
      <c r="Q35" s="1"/>
      <c r="R35" t="s">
        <v>71</v>
      </c>
      <c r="W35" t="s">
        <v>71</v>
      </c>
      <c r="Y35" s="1"/>
    </row>
    <row r="36" spans="1:25" x14ac:dyDescent="0.3">
      <c r="R36" t="s">
        <v>75</v>
      </c>
      <c r="W36" t="s">
        <v>75</v>
      </c>
    </row>
    <row r="38" spans="1:25" x14ac:dyDescent="0.3">
      <c r="P38" s="5"/>
    </row>
    <row r="39" spans="1:25" x14ac:dyDescent="0.3">
      <c r="P39" s="5"/>
    </row>
    <row r="40" spans="1:25" x14ac:dyDescent="0.3">
      <c r="P40" s="5"/>
      <c r="Q40" s="5"/>
      <c r="R40" s="5"/>
      <c r="S40" s="5"/>
    </row>
    <row r="41" spans="1:25" x14ac:dyDescent="0.3">
      <c r="P41" s="5"/>
      <c r="Q41" s="5"/>
      <c r="R41" s="5"/>
      <c r="S41" s="5"/>
    </row>
    <row r="42" spans="1:25" x14ac:dyDescent="0.3">
      <c r="P42" s="5"/>
      <c r="Q42" s="5"/>
      <c r="R42" s="5"/>
      <c r="S42" s="5"/>
    </row>
    <row r="43" spans="1:25" x14ac:dyDescent="0.3">
      <c r="P43" s="5"/>
      <c r="Q43" s="5"/>
      <c r="R43" s="5"/>
      <c r="S43" s="5"/>
    </row>
    <row r="44" spans="1:25" x14ac:dyDescent="0.3">
      <c r="P44" s="5"/>
      <c r="Q44" s="5"/>
      <c r="R44" s="5"/>
      <c r="S44" s="5"/>
    </row>
  </sheetData>
  <mergeCells count="29">
    <mergeCell ref="B14:E14"/>
    <mergeCell ref="M2:M3"/>
    <mergeCell ref="N2:N3"/>
    <mergeCell ref="O2:O3"/>
    <mergeCell ref="P2:P3"/>
    <mergeCell ref="B2:E2"/>
    <mergeCell ref="G2:G3"/>
    <mergeCell ref="H2:H3"/>
    <mergeCell ref="I2:I3"/>
    <mergeCell ref="J2:K2"/>
    <mergeCell ref="L2:L3"/>
    <mergeCell ref="S2:S3"/>
    <mergeCell ref="K13:K14"/>
    <mergeCell ref="L13:L14"/>
    <mergeCell ref="R13:R14"/>
    <mergeCell ref="S13:S14"/>
    <mergeCell ref="Q2:Q3"/>
    <mergeCell ref="R2:R3"/>
    <mergeCell ref="V16:Y18"/>
    <mergeCell ref="H18:O18"/>
    <mergeCell ref="Q19:S20"/>
    <mergeCell ref="T19:T20"/>
    <mergeCell ref="V19:X20"/>
    <mergeCell ref="Y19:Y20"/>
    <mergeCell ref="C25:C26"/>
    <mergeCell ref="D25:D26"/>
    <mergeCell ref="E25:E26"/>
    <mergeCell ref="G16:O17"/>
    <mergeCell ref="Q16:T18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5B57E-324F-0D48-8E41-BE817ADF614B}">
  <dimension ref="A1:AA44"/>
  <sheetViews>
    <sheetView topLeftCell="A15" zoomScale="132" zoomScaleNormal="133" zoomScalePageLayoutView="150" workbookViewId="0">
      <selection activeCell="D16" sqref="D16:D23"/>
    </sheetView>
  </sheetViews>
  <sheetFormatPr defaultColWidth="11.19921875" defaultRowHeight="15.6" x14ac:dyDescent="0.3"/>
  <cols>
    <col min="2" max="2" width="13.5" customWidth="1"/>
    <col min="3" max="3" width="14.19921875" customWidth="1"/>
    <col min="4" max="4" width="13.796875" customWidth="1"/>
    <col min="5" max="5" width="13.69921875" customWidth="1"/>
    <col min="6" max="6" width="11.69921875" customWidth="1"/>
    <col min="7" max="7" width="15.5" customWidth="1"/>
    <col min="8" max="8" width="14.5" bestFit="1" customWidth="1"/>
    <col min="9" max="9" width="11.796875" customWidth="1"/>
    <col min="10" max="10" width="14.296875" bestFit="1" customWidth="1"/>
    <col min="15" max="15" width="14.19921875" customWidth="1"/>
    <col min="19" max="19" width="11.796875" bestFit="1" customWidth="1"/>
    <col min="21" max="21" width="13.796875" customWidth="1"/>
    <col min="25" max="25" width="13.296875" customWidth="1"/>
    <col min="32" max="32" width="11.796875" bestFit="1" customWidth="1"/>
    <col min="33" max="33" width="11.296875" customWidth="1"/>
    <col min="34" max="34" width="12.19921875" customWidth="1"/>
    <col min="35" max="35" width="11.5" customWidth="1"/>
    <col min="36" max="36" width="12" customWidth="1"/>
    <col min="37" max="37" width="11.5" customWidth="1"/>
    <col min="38" max="38" width="11.296875" customWidth="1"/>
    <col min="39" max="39" width="10.19921875" customWidth="1"/>
    <col min="40" max="40" width="11.69921875" customWidth="1"/>
    <col min="41" max="41" width="10.69921875" customWidth="1"/>
    <col min="42" max="42" width="9.296875" customWidth="1"/>
    <col min="43" max="43" width="12.796875" bestFit="1" customWidth="1"/>
    <col min="44" max="44" width="16" bestFit="1" customWidth="1"/>
    <col min="50" max="50" width="11.5" bestFit="1" customWidth="1"/>
  </cols>
  <sheetData>
    <row r="1" spans="2:25" ht="16.2" thickBot="1" x14ac:dyDescent="0.35"/>
    <row r="2" spans="2:25" x14ac:dyDescent="0.3">
      <c r="B2" s="312" t="s">
        <v>0</v>
      </c>
      <c r="C2" s="313"/>
      <c r="D2" s="313"/>
      <c r="E2" s="314"/>
      <c r="G2" s="315" t="s">
        <v>28</v>
      </c>
      <c r="H2" s="317" t="s">
        <v>14</v>
      </c>
      <c r="I2" s="319" t="s">
        <v>29</v>
      </c>
      <c r="J2" s="321" t="s">
        <v>31</v>
      </c>
      <c r="K2" s="321"/>
      <c r="L2" s="308" t="s">
        <v>25</v>
      </c>
      <c r="M2" s="308" t="s">
        <v>26</v>
      </c>
      <c r="N2" s="310" t="s">
        <v>16</v>
      </c>
      <c r="O2" s="310" t="s">
        <v>17</v>
      </c>
      <c r="P2" s="308" t="s">
        <v>41</v>
      </c>
      <c r="Q2" s="308" t="s">
        <v>40</v>
      </c>
      <c r="R2" s="308" t="s">
        <v>12</v>
      </c>
      <c r="S2" s="295" t="s">
        <v>27</v>
      </c>
    </row>
    <row r="3" spans="2:25" x14ac:dyDescent="0.3">
      <c r="B3" s="40" t="s">
        <v>1</v>
      </c>
      <c r="C3" s="47" t="s">
        <v>2</v>
      </c>
      <c r="D3" s="47" t="s">
        <v>11</v>
      </c>
      <c r="E3" s="41" t="s">
        <v>76</v>
      </c>
      <c r="G3" s="316"/>
      <c r="H3" s="318"/>
      <c r="I3" s="320"/>
      <c r="J3" s="4" t="s">
        <v>15</v>
      </c>
      <c r="K3" s="4" t="s">
        <v>30</v>
      </c>
      <c r="L3" s="309"/>
      <c r="M3" s="309"/>
      <c r="N3" s="311"/>
      <c r="O3" s="311"/>
      <c r="P3" s="309"/>
      <c r="Q3" s="309"/>
      <c r="R3" s="309"/>
      <c r="S3" s="296"/>
    </row>
    <row r="4" spans="2:25" x14ac:dyDescent="0.3">
      <c r="B4" s="48" t="s">
        <v>3</v>
      </c>
      <c r="C4" s="51">
        <v>323341</v>
      </c>
      <c r="D4" s="51">
        <v>1913</v>
      </c>
      <c r="E4" s="49">
        <f>'Brass_No Etnic 2018 - Total '!E4-'Brass_No Etnic 2018 - Urban'!E4</f>
        <v>429</v>
      </c>
      <c r="F4" s="51"/>
      <c r="G4" s="30" t="s">
        <v>84</v>
      </c>
      <c r="H4" s="3">
        <v>12</v>
      </c>
      <c r="I4" s="52">
        <f>C4</f>
        <v>323341</v>
      </c>
      <c r="J4" s="53">
        <f>D4</f>
        <v>1913</v>
      </c>
      <c r="K4" s="54">
        <f t="shared" ref="J4:K11" si="0">E4</f>
        <v>429</v>
      </c>
      <c r="L4" s="55">
        <f>K4/I4</f>
        <v>1.3267726641533243E-3</v>
      </c>
      <c r="M4" s="55">
        <f t="shared" ref="M4:M11" si="1">J4/I4</f>
        <v>5.9163545606650565E-3</v>
      </c>
      <c r="N4" s="55">
        <f>L4*H4</f>
        <v>1.592127196983989E-2</v>
      </c>
      <c r="O4" s="55">
        <f>Y23</f>
        <v>1.4177713776604208</v>
      </c>
      <c r="P4" s="55">
        <f>(5*L3)+P3</f>
        <v>0</v>
      </c>
      <c r="Q4" s="55">
        <f>P4+O4*L4</f>
        <v>1.8810603078988455E-3</v>
      </c>
      <c r="R4" s="55">
        <f>M4/Q4</f>
        <v>3.1452232210851636</v>
      </c>
      <c r="S4" s="32">
        <f>$R$6*L4</f>
        <v>2.1702270439418326E-3</v>
      </c>
    </row>
    <row r="5" spans="2:25" x14ac:dyDescent="0.3">
      <c r="B5" s="48" t="s">
        <v>4</v>
      </c>
      <c r="C5" s="51">
        <v>316400</v>
      </c>
      <c r="D5" s="51">
        <v>60373</v>
      </c>
      <c r="E5" s="49">
        <f>'Brass_No Etnic 2018 - Total '!E5-'Brass_No Etnic 2018 - Urban'!E5</f>
        <v>16476</v>
      </c>
      <c r="F5" s="51"/>
      <c r="G5" s="31" t="s">
        <v>18</v>
      </c>
      <c r="H5" s="50">
        <v>17</v>
      </c>
      <c r="I5" s="52">
        <f>C5</f>
        <v>316400</v>
      </c>
      <c r="J5" s="53">
        <f>D5</f>
        <v>60373</v>
      </c>
      <c r="K5" s="54">
        <f t="shared" si="0"/>
        <v>16476</v>
      </c>
      <c r="L5" s="55">
        <f>K5/I5</f>
        <v>5.2073324905183314E-2</v>
      </c>
      <c r="M5" s="55">
        <f t="shared" si="1"/>
        <v>0.19081226295828066</v>
      </c>
      <c r="N5" s="55">
        <f>L5*H5</f>
        <v>0.88524652338811638</v>
      </c>
      <c r="O5" s="55">
        <f>Y24</f>
        <v>2.4383595973516536</v>
      </c>
      <c r="P5" s="55">
        <v>0</v>
      </c>
      <c r="Q5" s="55">
        <f>P5+O5*L5</f>
        <v>0.12697349154856463</v>
      </c>
      <c r="R5" s="55">
        <f>M5/Q5</f>
        <v>1.5027724340816371</v>
      </c>
      <c r="S5" s="32">
        <f>$R$6*L5</f>
        <v>8.5177318639826041E-2</v>
      </c>
    </row>
    <row r="6" spans="2:25" x14ac:dyDescent="0.3">
      <c r="B6" s="48" t="s">
        <v>5</v>
      </c>
      <c r="C6" s="51">
        <v>273384</v>
      </c>
      <c r="D6" s="51">
        <v>226726</v>
      </c>
      <c r="E6" s="49">
        <f>'Brass_No Etnic 2018 - Total '!E6-'Brass_No Etnic 2018 - Urban'!E6</f>
        <v>23220</v>
      </c>
      <c r="F6" s="51"/>
      <c r="G6" s="31" t="s">
        <v>19</v>
      </c>
      <c r="H6" s="50">
        <v>22</v>
      </c>
      <c r="I6" s="53">
        <f t="shared" ref="I6:I11" si="2">C6</f>
        <v>273384</v>
      </c>
      <c r="J6" s="53">
        <f t="shared" si="0"/>
        <v>226726</v>
      </c>
      <c r="K6" s="54">
        <f t="shared" si="0"/>
        <v>23220</v>
      </c>
      <c r="L6" s="55">
        <f t="shared" ref="L6:L11" si="3">K6/I6</f>
        <v>8.493547537529629E-2</v>
      </c>
      <c r="M6" s="55">
        <f t="shared" si="1"/>
        <v>0.82933163608696925</v>
      </c>
      <c r="N6" s="55">
        <f t="shared" ref="N6:N11" si="4">L6*H6</f>
        <v>1.8685804582565184</v>
      </c>
      <c r="O6" s="55">
        <f>Y25</f>
        <v>2.9039330922606204</v>
      </c>
      <c r="P6" s="55">
        <f>(5*L5)+P5</f>
        <v>0.26036662452591658</v>
      </c>
      <c r="Q6" s="55">
        <f t="shared" ref="Q6:Q11" si="5">P6+O6*L6</f>
        <v>0.5070135621751265</v>
      </c>
      <c r="R6" s="55">
        <f>M6/Q6</f>
        <v>1.6357188405948626</v>
      </c>
      <c r="S6" s="32">
        <f t="shared" ref="S6:S11" si="6">$R$6*L6</f>
        <v>0.13893055730625314</v>
      </c>
    </row>
    <row r="7" spans="2:25" x14ac:dyDescent="0.3">
      <c r="B7" s="48" t="s">
        <v>6</v>
      </c>
      <c r="C7" s="51">
        <v>250870</v>
      </c>
      <c r="D7" s="51">
        <v>373948</v>
      </c>
      <c r="E7" s="49">
        <f>'Brass_No Etnic 2018 - Total '!E7-'Brass_No Etnic 2018 - Urban'!E7</f>
        <v>16827</v>
      </c>
      <c r="F7" s="51"/>
      <c r="G7" s="31" t="s">
        <v>20</v>
      </c>
      <c r="H7" s="50">
        <v>27</v>
      </c>
      <c r="I7" s="53">
        <f t="shared" si="2"/>
        <v>250870</v>
      </c>
      <c r="J7" s="53">
        <f t="shared" si="0"/>
        <v>373948</v>
      </c>
      <c r="K7" s="54">
        <f t="shared" si="0"/>
        <v>16827</v>
      </c>
      <c r="L7" s="55">
        <f t="shared" si="3"/>
        <v>6.70745804599992E-2</v>
      </c>
      <c r="M7" s="55">
        <f t="shared" si="1"/>
        <v>1.4906046956591064</v>
      </c>
      <c r="N7" s="55">
        <f t="shared" si="4"/>
        <v>1.8110136724199783</v>
      </c>
      <c r="O7" s="55">
        <f>Y26</f>
        <v>3.0429617670060689</v>
      </c>
      <c r="P7" s="55">
        <f>(5*L6)+P6</f>
        <v>0.68504400140239796</v>
      </c>
      <c r="Q7" s="55">
        <f t="shared" si="5"/>
        <v>0.88914938528014786</v>
      </c>
      <c r="R7" s="55">
        <f t="shared" ref="R7:R10" si="7">M7/Q7</f>
        <v>1.676438988021631</v>
      </c>
      <c r="S7" s="32">
        <f t="shared" si="6"/>
        <v>0.10971515498341672</v>
      </c>
    </row>
    <row r="8" spans="2:25" x14ac:dyDescent="0.3">
      <c r="B8" s="48" t="s">
        <v>7</v>
      </c>
      <c r="C8" s="51">
        <v>237679</v>
      </c>
      <c r="D8" s="51">
        <v>490904</v>
      </c>
      <c r="E8" s="49">
        <f>'Brass_No Etnic 2018 - Total '!E8-'Brass_No Etnic 2018 - Urban'!E8</f>
        <v>10738</v>
      </c>
      <c r="F8" s="51"/>
      <c r="G8" s="31" t="s">
        <v>21</v>
      </c>
      <c r="H8" s="50">
        <v>32</v>
      </c>
      <c r="I8" s="53">
        <f t="shared" si="2"/>
        <v>237679</v>
      </c>
      <c r="J8" s="53">
        <f t="shared" si="0"/>
        <v>490904</v>
      </c>
      <c r="K8" s="54">
        <f t="shared" si="0"/>
        <v>10738</v>
      </c>
      <c r="L8" s="55">
        <f t="shared" si="3"/>
        <v>4.5178581195646231E-2</v>
      </c>
      <c r="M8" s="55">
        <f t="shared" si="1"/>
        <v>2.0654075454709924</v>
      </c>
      <c r="N8" s="55">
        <f t="shared" si="4"/>
        <v>1.4457145982606794</v>
      </c>
      <c r="O8" s="55">
        <f>T27</f>
        <v>3.1849976309019676</v>
      </c>
      <c r="P8" s="55">
        <f t="shared" ref="P8:P10" si="8">(5*L7)+P7</f>
        <v>1.020416903702394</v>
      </c>
      <c r="Q8" s="55">
        <f t="shared" si="5"/>
        <v>1.1643105777780394</v>
      </c>
      <c r="R8" s="55">
        <f t="shared" si="7"/>
        <v>1.773931788382958</v>
      </c>
      <c r="S8" s="32">
        <f t="shared" si="6"/>
        <v>7.3899456453063311E-2</v>
      </c>
    </row>
    <row r="9" spans="2:25" x14ac:dyDescent="0.3">
      <c r="B9" s="48" t="s">
        <v>8</v>
      </c>
      <c r="C9" s="51">
        <v>235084</v>
      </c>
      <c r="D9" s="51">
        <v>586886</v>
      </c>
      <c r="E9" s="49">
        <f>'Brass_No Etnic 2018 - Total '!E9-'Brass_No Etnic 2018 - Urban'!E9</f>
        <v>6041</v>
      </c>
      <c r="F9" s="51"/>
      <c r="G9" s="31" t="s">
        <v>22</v>
      </c>
      <c r="H9" s="50">
        <v>37</v>
      </c>
      <c r="I9" s="53">
        <f t="shared" si="2"/>
        <v>235084</v>
      </c>
      <c r="J9" s="53">
        <f t="shared" si="0"/>
        <v>586886</v>
      </c>
      <c r="K9" s="54">
        <f t="shared" si="0"/>
        <v>6041</v>
      </c>
      <c r="L9" s="55">
        <f t="shared" si="3"/>
        <v>2.5697197597454528E-2</v>
      </c>
      <c r="M9" s="55">
        <f t="shared" si="1"/>
        <v>2.4964948699188376</v>
      </c>
      <c r="N9" s="55">
        <f t="shared" si="4"/>
        <v>0.95079631110581753</v>
      </c>
      <c r="O9" s="55">
        <f>T28</f>
        <v>3.3649952618039354</v>
      </c>
      <c r="P9" s="55">
        <f t="shared" si="8"/>
        <v>1.2463098096806251</v>
      </c>
      <c r="Q9" s="55">
        <f t="shared" si="5"/>
        <v>1.3327807578376991</v>
      </c>
      <c r="R9" s="55">
        <f t="shared" si="7"/>
        <v>1.8731474439720648</v>
      </c>
      <c r="S9" s="32">
        <f t="shared" si="6"/>
        <v>4.2033390260645412E-2</v>
      </c>
    </row>
    <row r="10" spans="2:25" x14ac:dyDescent="0.3">
      <c r="B10" s="48" t="s">
        <v>9</v>
      </c>
      <c r="C10" s="51">
        <v>210817</v>
      </c>
      <c r="D10" s="51">
        <v>607390</v>
      </c>
      <c r="E10" s="49">
        <f>'Brass_No Etnic 2018 - Total '!E10-'Brass_No Etnic 2018 - Urban'!E10</f>
        <v>1979</v>
      </c>
      <c r="F10" s="51"/>
      <c r="G10" s="31" t="s">
        <v>23</v>
      </c>
      <c r="H10" s="50">
        <v>42</v>
      </c>
      <c r="I10" s="53">
        <f t="shared" si="2"/>
        <v>210817</v>
      </c>
      <c r="J10" s="53">
        <f t="shared" si="0"/>
        <v>607390</v>
      </c>
      <c r="K10" s="54">
        <f t="shared" si="0"/>
        <v>1979</v>
      </c>
      <c r="L10" s="55">
        <f t="shared" si="3"/>
        <v>9.3872885014016898E-3</v>
      </c>
      <c r="M10" s="55">
        <f t="shared" si="1"/>
        <v>2.8811243875019565</v>
      </c>
      <c r="N10" s="55">
        <f t="shared" si="4"/>
        <v>0.39426611705887099</v>
      </c>
      <c r="O10" s="55">
        <f>T29</f>
        <v>3.8799834163137734</v>
      </c>
      <c r="P10" s="55">
        <f t="shared" si="8"/>
        <v>1.3747957976678977</v>
      </c>
      <c r="Q10" s="55">
        <f t="shared" si="5"/>
        <v>1.4112183213774891</v>
      </c>
      <c r="R10" s="55">
        <f t="shared" si="7"/>
        <v>2.0415865807989886</v>
      </c>
      <c r="S10" s="32">
        <f t="shared" si="6"/>
        <v>1.5354964663842258E-2</v>
      </c>
    </row>
    <row r="11" spans="2:25" ht="16.2" thickBot="1" x14ac:dyDescent="0.35">
      <c r="B11" s="56" t="s">
        <v>10</v>
      </c>
      <c r="C11" s="51">
        <v>206194</v>
      </c>
      <c r="D11" s="86">
        <v>651379</v>
      </c>
      <c r="E11" s="49">
        <f>'Brass_No Etnic 2018 - Total '!E11-'Brass_No Etnic 2018 - Urban'!E11</f>
        <v>268</v>
      </c>
      <c r="F11" s="51"/>
      <c r="G11" s="33" t="s">
        <v>24</v>
      </c>
      <c r="H11" s="34">
        <v>47</v>
      </c>
      <c r="I11" s="35">
        <f t="shared" si="2"/>
        <v>206194</v>
      </c>
      <c r="J11" s="35">
        <f t="shared" si="0"/>
        <v>651379</v>
      </c>
      <c r="K11" s="57">
        <f t="shared" si="0"/>
        <v>268</v>
      </c>
      <c r="L11" s="36">
        <f t="shared" si="3"/>
        <v>1.2997468403542294E-3</v>
      </c>
      <c r="M11" s="36">
        <f t="shared" si="1"/>
        <v>3.1590589444891704</v>
      </c>
      <c r="N11" s="36">
        <f t="shared" si="4"/>
        <v>6.1088101496648783E-2</v>
      </c>
      <c r="O11" s="36">
        <f>T30</f>
        <v>4.9559862592314126</v>
      </c>
      <c r="P11" s="36">
        <f>(5*L10)+P10</f>
        <v>1.4217322401749062</v>
      </c>
      <c r="Q11" s="36">
        <f t="shared" si="5"/>
        <v>1.4281737676561812</v>
      </c>
      <c r="R11" s="36">
        <f>M11/Q11</f>
        <v>2.2119569873304679</v>
      </c>
      <c r="S11" s="37">
        <f t="shared" si="6"/>
        <v>2.1260203947710563E-3</v>
      </c>
    </row>
    <row r="12" spans="2:25" ht="16.2" thickBot="1" x14ac:dyDescent="0.35">
      <c r="C12" s="84"/>
      <c r="L12" s="27">
        <f>SUM(L4:L11)</f>
        <v>0.28697296753948881</v>
      </c>
      <c r="M12" s="58"/>
      <c r="N12" s="45">
        <f>SUM(N4:N11)</f>
        <v>7.4326270539564696</v>
      </c>
      <c r="O12" s="53"/>
      <c r="P12" s="59"/>
      <c r="Q12" s="59"/>
      <c r="R12" s="59"/>
      <c r="S12" s="60">
        <f>SUM(S5:S11)</f>
        <v>0.46723686270181797</v>
      </c>
    </row>
    <row r="13" spans="2:25" ht="16.2" thickBot="1" x14ac:dyDescent="0.35">
      <c r="K13" s="297" t="s">
        <v>32</v>
      </c>
      <c r="L13" s="299">
        <f>5*L12</f>
        <v>1.434864837697444</v>
      </c>
      <c r="M13" s="59"/>
      <c r="N13" s="59"/>
      <c r="O13" s="59"/>
      <c r="P13" s="59"/>
      <c r="Q13" s="59"/>
      <c r="R13" s="301" t="s">
        <v>42</v>
      </c>
      <c r="S13" s="303">
        <f>5*S12</f>
        <v>2.3361843135090901</v>
      </c>
    </row>
    <row r="14" spans="2:25" ht="16.2" thickBot="1" x14ac:dyDescent="0.35">
      <c r="B14" s="305" t="s">
        <v>33</v>
      </c>
      <c r="C14" s="306"/>
      <c r="D14" s="306"/>
      <c r="E14" s="307"/>
      <c r="K14" s="298"/>
      <c r="L14" s="300"/>
      <c r="M14" s="59"/>
      <c r="N14" s="59"/>
      <c r="O14" s="59"/>
      <c r="P14" s="59"/>
      <c r="Q14" s="59"/>
      <c r="R14" s="302"/>
      <c r="S14" s="304"/>
    </row>
    <row r="15" spans="2:25" ht="63" thickBot="1" x14ac:dyDescent="0.35">
      <c r="B15" s="42" t="s">
        <v>1</v>
      </c>
      <c r="C15" s="2" t="s">
        <v>37</v>
      </c>
      <c r="D15" s="2" t="s">
        <v>34</v>
      </c>
      <c r="E15" s="43" t="s">
        <v>36</v>
      </c>
      <c r="R15" s="38" t="s">
        <v>62</v>
      </c>
      <c r="S15" s="61">
        <f>N12/L12</f>
        <v>25.900094763921295</v>
      </c>
      <c r="W15" s="39" t="s">
        <v>13</v>
      </c>
      <c r="X15" s="62">
        <f>M5/M6</f>
        <v>0.23007956606911689</v>
      </c>
    </row>
    <row r="16" spans="2:25" x14ac:dyDescent="0.3">
      <c r="B16" s="48" t="s">
        <v>3</v>
      </c>
      <c r="C16" s="63">
        <f>L4</f>
        <v>1.3267726641533243E-3</v>
      </c>
      <c r="D16" s="63">
        <f t="shared" ref="D16:D23" si="9">S4</f>
        <v>2.1702270439418326E-3</v>
      </c>
      <c r="E16" s="64">
        <f>100*((D16-C16)/C16)</f>
        <v>63.571884059486258</v>
      </c>
      <c r="G16" s="256" t="s">
        <v>61</v>
      </c>
      <c r="H16" s="257"/>
      <c r="I16" s="257"/>
      <c r="J16" s="257"/>
      <c r="K16" s="257"/>
      <c r="L16" s="257"/>
      <c r="M16" s="257"/>
      <c r="N16" s="257"/>
      <c r="O16" s="258"/>
      <c r="P16" s="5"/>
      <c r="Q16" s="262" t="s">
        <v>56</v>
      </c>
      <c r="R16" s="263"/>
      <c r="S16" s="263"/>
      <c r="T16" s="264"/>
      <c r="U16" s="5"/>
      <c r="V16" s="271" t="s">
        <v>59</v>
      </c>
      <c r="W16" s="272"/>
      <c r="X16" s="272"/>
      <c r="Y16" s="273"/>
    </row>
    <row r="17" spans="2:27" ht="16.2" thickBot="1" x14ac:dyDescent="0.35">
      <c r="B17" s="48" t="s">
        <v>4</v>
      </c>
      <c r="C17" s="63">
        <f>L5</f>
        <v>5.2073324905183314E-2</v>
      </c>
      <c r="D17" s="63">
        <f t="shared" si="9"/>
        <v>8.5177318639826041E-2</v>
      </c>
      <c r="E17" s="64">
        <f>100*((D17-C17)/C17)</f>
        <v>63.571884059486273</v>
      </c>
      <c r="G17" s="259"/>
      <c r="H17" s="260"/>
      <c r="I17" s="260"/>
      <c r="J17" s="260"/>
      <c r="K17" s="260"/>
      <c r="L17" s="260"/>
      <c r="M17" s="260"/>
      <c r="N17" s="260"/>
      <c r="O17" s="261"/>
      <c r="P17" s="5"/>
      <c r="Q17" s="265"/>
      <c r="R17" s="266"/>
      <c r="S17" s="266"/>
      <c r="T17" s="267"/>
      <c r="U17" s="5"/>
      <c r="V17" s="274"/>
      <c r="W17" s="275"/>
      <c r="X17" s="275"/>
      <c r="Y17" s="276"/>
    </row>
    <row r="18" spans="2:27" ht="16.2" thickBot="1" x14ac:dyDescent="0.35">
      <c r="B18" s="48" t="s">
        <v>5</v>
      </c>
      <c r="C18" s="63">
        <f t="shared" ref="C18:C23" si="10">L6</f>
        <v>8.493547537529629E-2</v>
      </c>
      <c r="D18" s="63">
        <f t="shared" si="9"/>
        <v>0.13893055730625314</v>
      </c>
      <c r="E18" s="64">
        <f t="shared" ref="E18:E23" si="11">100*((D18-C18)/C18)</f>
        <v>63.571884059486251</v>
      </c>
      <c r="G18" s="6" t="s">
        <v>54</v>
      </c>
      <c r="H18" s="280" t="s">
        <v>55</v>
      </c>
      <c r="I18" s="281"/>
      <c r="J18" s="281"/>
      <c r="K18" s="281"/>
      <c r="L18" s="281"/>
      <c r="M18" s="281"/>
      <c r="N18" s="281"/>
      <c r="O18" s="282"/>
      <c r="P18" s="5"/>
      <c r="Q18" s="268"/>
      <c r="R18" s="269"/>
      <c r="S18" s="269"/>
      <c r="T18" s="270"/>
      <c r="U18" s="5"/>
      <c r="V18" s="277"/>
      <c r="W18" s="278"/>
      <c r="X18" s="278"/>
      <c r="Y18" s="279"/>
    </row>
    <row r="19" spans="2:27" x14ac:dyDescent="0.3">
      <c r="B19" s="48" t="s">
        <v>6</v>
      </c>
      <c r="C19" s="63">
        <f t="shared" si="10"/>
        <v>6.70745804599992E-2</v>
      </c>
      <c r="D19" s="63">
        <f t="shared" si="9"/>
        <v>0.10971515498341672</v>
      </c>
      <c r="E19" s="64">
        <f t="shared" si="11"/>
        <v>63.571884059486258</v>
      </c>
      <c r="G19" s="102" t="s">
        <v>3</v>
      </c>
      <c r="H19" s="103">
        <v>-1.7435</v>
      </c>
      <c r="I19" s="79">
        <v>-1.0257000000000001</v>
      </c>
      <c r="J19" s="79">
        <v>-0.30780000000000002</v>
      </c>
      <c r="K19" s="79">
        <v>0.40860000000000002</v>
      </c>
      <c r="L19" s="108">
        <v>1.1286</v>
      </c>
      <c r="M19" s="108">
        <v>1.855</v>
      </c>
      <c r="N19" s="108">
        <v>2.5486</v>
      </c>
      <c r="O19" s="104">
        <v>3.2879</v>
      </c>
      <c r="P19" s="5"/>
      <c r="Q19" s="283" t="s">
        <v>57</v>
      </c>
      <c r="R19" s="284"/>
      <c r="S19" s="285"/>
      <c r="T19" s="289" t="s">
        <v>58</v>
      </c>
      <c r="U19" s="5"/>
      <c r="V19" s="291" t="s">
        <v>60</v>
      </c>
      <c r="W19" s="292"/>
      <c r="X19" s="292"/>
      <c r="Y19" s="293" t="s">
        <v>45</v>
      </c>
    </row>
    <row r="20" spans="2:27" ht="16.2" thickBot="1" x14ac:dyDescent="0.35">
      <c r="B20" s="48" t="s">
        <v>7</v>
      </c>
      <c r="C20" s="63">
        <f t="shared" si="10"/>
        <v>4.5178581195646231E-2</v>
      </c>
      <c r="D20" s="63">
        <f t="shared" si="9"/>
        <v>7.3899456453063311E-2</v>
      </c>
      <c r="E20" s="64">
        <f>100*((D20-C20)/C20)</f>
        <v>63.571884059486251</v>
      </c>
      <c r="G20" s="7" t="s">
        <v>44</v>
      </c>
      <c r="H20" s="8">
        <v>1.1200000000000001</v>
      </c>
      <c r="I20" s="65">
        <v>1.31</v>
      </c>
      <c r="J20" s="65">
        <v>1.615</v>
      </c>
      <c r="K20" s="66">
        <v>1.95</v>
      </c>
      <c r="L20" s="66">
        <v>2.3050000000000002</v>
      </c>
      <c r="M20" s="67">
        <v>2.64</v>
      </c>
      <c r="N20" s="67">
        <v>2.9249999999999998</v>
      </c>
      <c r="O20" s="69">
        <v>3.17</v>
      </c>
      <c r="P20" s="5"/>
      <c r="Q20" s="286"/>
      <c r="R20" s="287"/>
      <c r="S20" s="288"/>
      <c r="T20" s="290"/>
      <c r="U20" s="5"/>
      <c r="V20" s="286"/>
      <c r="W20" s="287"/>
      <c r="X20" s="287"/>
      <c r="Y20" s="294"/>
    </row>
    <row r="21" spans="2:27" ht="16.2" thickBot="1" x14ac:dyDescent="0.35">
      <c r="B21" s="48" t="s">
        <v>8</v>
      </c>
      <c r="C21" s="63">
        <f t="shared" si="10"/>
        <v>2.5697197597454528E-2</v>
      </c>
      <c r="D21" s="63">
        <f t="shared" si="9"/>
        <v>4.2033390260645412E-2</v>
      </c>
      <c r="E21" s="64">
        <f t="shared" si="11"/>
        <v>63.571884059486273</v>
      </c>
      <c r="G21" s="7" t="s">
        <v>46</v>
      </c>
      <c r="H21" s="8">
        <v>2.5550000000000002</v>
      </c>
      <c r="I21" s="65">
        <v>2.69</v>
      </c>
      <c r="J21" s="65">
        <v>2.78</v>
      </c>
      <c r="K21" s="66">
        <v>2.84</v>
      </c>
      <c r="L21" s="66">
        <v>2.89</v>
      </c>
      <c r="M21" s="67">
        <v>2.9249999999999998</v>
      </c>
      <c r="N21" s="67">
        <v>2.96</v>
      </c>
      <c r="O21" s="69">
        <v>2.9849999999999999</v>
      </c>
      <c r="P21" s="9"/>
      <c r="Q21" s="99"/>
      <c r="R21" s="100" t="s">
        <v>72</v>
      </c>
      <c r="S21" s="101" t="s">
        <v>73</v>
      </c>
      <c r="T21" s="28" t="s">
        <v>74</v>
      </c>
      <c r="U21" s="9"/>
      <c r="V21" s="99"/>
      <c r="W21" s="100" t="s">
        <v>72</v>
      </c>
      <c r="X21" s="101" t="s">
        <v>73</v>
      </c>
      <c r="Y21" s="28" t="s">
        <v>74</v>
      </c>
    </row>
    <row r="22" spans="2:27" ht="16.2" thickBot="1" x14ac:dyDescent="0.35">
      <c r="B22" s="48" t="s">
        <v>9</v>
      </c>
      <c r="C22" s="63">
        <f t="shared" si="10"/>
        <v>9.3872885014016898E-3</v>
      </c>
      <c r="D22" s="63">
        <f t="shared" si="9"/>
        <v>1.5354964663842258E-2</v>
      </c>
      <c r="E22" s="64">
        <f t="shared" si="11"/>
        <v>63.571884059486258</v>
      </c>
      <c r="G22" s="7" t="s">
        <v>47</v>
      </c>
      <c r="H22" s="8">
        <v>2.9249999999999998</v>
      </c>
      <c r="I22" s="65">
        <v>2.96</v>
      </c>
      <c r="J22" s="65">
        <v>2.9849999999999999</v>
      </c>
      <c r="K22" s="66">
        <v>3.01</v>
      </c>
      <c r="L22" s="66">
        <v>3.0350000000000001</v>
      </c>
      <c r="M22" s="67">
        <v>3.0550000000000002</v>
      </c>
      <c r="N22" s="67">
        <v>3.0750000000000002</v>
      </c>
      <c r="O22" s="69">
        <v>3.0950000000000002</v>
      </c>
      <c r="P22" s="5"/>
      <c r="Q22" s="10" t="s">
        <v>43</v>
      </c>
      <c r="R22" s="70">
        <v>26.7</v>
      </c>
      <c r="S22" s="95">
        <v>25.7</v>
      </c>
      <c r="T22" s="105">
        <f>S15</f>
        <v>25.900094763921295</v>
      </c>
      <c r="V22" s="10" t="s">
        <v>43</v>
      </c>
      <c r="W22" s="21">
        <v>0.20499999999999999</v>
      </c>
      <c r="X22" s="22">
        <v>0.26800000000000002</v>
      </c>
      <c r="Y22" s="25">
        <f>X15</f>
        <v>0.23007956606911689</v>
      </c>
      <c r="AA22" s="71"/>
    </row>
    <row r="23" spans="2:27" ht="16.2" thickBot="1" x14ac:dyDescent="0.35">
      <c r="B23" s="56" t="s">
        <v>10</v>
      </c>
      <c r="C23" s="72">
        <f t="shared" si="10"/>
        <v>1.2997468403542294E-3</v>
      </c>
      <c r="D23" s="72">
        <f t="shared" si="9"/>
        <v>2.1260203947710563E-3</v>
      </c>
      <c r="E23" s="73">
        <f t="shared" si="11"/>
        <v>63.571884059486273</v>
      </c>
      <c r="G23" s="7" t="s">
        <v>48</v>
      </c>
      <c r="H23" s="8">
        <v>3.0550000000000002</v>
      </c>
      <c r="I23" s="65">
        <v>3.0750000000000002</v>
      </c>
      <c r="J23" s="65">
        <v>3.0950000000000002</v>
      </c>
      <c r="K23" s="66">
        <v>3.12</v>
      </c>
      <c r="L23" s="66">
        <v>3.14</v>
      </c>
      <c r="M23" s="67">
        <v>3.165</v>
      </c>
      <c r="N23" s="67">
        <v>3.19</v>
      </c>
      <c r="O23" s="69">
        <v>3.2149999999999999</v>
      </c>
      <c r="P23" s="5"/>
      <c r="Q23" s="107" t="s">
        <v>3</v>
      </c>
      <c r="R23" s="66">
        <v>1.855</v>
      </c>
      <c r="S23" s="66">
        <v>2.5486</v>
      </c>
      <c r="T23" s="106"/>
      <c r="U23" s="5" t="s">
        <v>90</v>
      </c>
      <c r="V23" s="107" t="s">
        <v>3</v>
      </c>
      <c r="W23" s="108">
        <v>1.1286</v>
      </c>
      <c r="X23" s="108">
        <v>1.855</v>
      </c>
      <c r="Y23" s="26">
        <f>($W$32*(X23-W23))+W23</f>
        <v>1.4177713776604208</v>
      </c>
    </row>
    <row r="24" spans="2:27" ht="16.2" thickBot="1" x14ac:dyDescent="0.35">
      <c r="G24" s="7" t="s">
        <v>49</v>
      </c>
      <c r="H24" s="8">
        <v>3.165</v>
      </c>
      <c r="I24" s="65">
        <v>3.19</v>
      </c>
      <c r="J24" s="65">
        <v>3.2149999999999999</v>
      </c>
      <c r="K24" s="66">
        <v>3.2450000000000001</v>
      </c>
      <c r="L24" s="66">
        <v>3.2850000000000001</v>
      </c>
      <c r="M24" s="67">
        <v>3.3250000000000002</v>
      </c>
      <c r="N24" s="67">
        <v>3.375</v>
      </c>
      <c r="O24" s="69">
        <v>3.4350000000000001</v>
      </c>
      <c r="P24" s="5"/>
      <c r="Q24" s="11" t="s">
        <v>44</v>
      </c>
      <c r="R24" s="66">
        <v>2.64</v>
      </c>
      <c r="S24" s="66">
        <v>2.9249999999999998</v>
      </c>
      <c r="T24" s="12"/>
      <c r="U24" s="5" t="s">
        <v>63</v>
      </c>
      <c r="V24" s="11" t="s">
        <v>44</v>
      </c>
      <c r="W24" s="66">
        <v>2.3050000000000002</v>
      </c>
      <c r="X24" s="67">
        <v>2.64</v>
      </c>
      <c r="Y24" s="26">
        <f>($W$32*(X24-W24))+W24</f>
        <v>2.4383595973516536</v>
      </c>
    </row>
    <row r="25" spans="2:27" ht="16.2" thickBot="1" x14ac:dyDescent="0.35">
      <c r="C25" s="245" t="s">
        <v>32</v>
      </c>
      <c r="D25" s="247" t="s">
        <v>35</v>
      </c>
      <c r="E25" s="249" t="s">
        <v>36</v>
      </c>
      <c r="G25" s="7" t="s">
        <v>50</v>
      </c>
      <c r="H25" s="8">
        <v>3.3250000000000002</v>
      </c>
      <c r="I25" s="65">
        <v>3.375</v>
      </c>
      <c r="J25" s="65">
        <v>3.4350000000000001</v>
      </c>
      <c r="K25" s="66">
        <v>3.51</v>
      </c>
      <c r="L25" s="66">
        <v>3.61</v>
      </c>
      <c r="M25" s="67">
        <v>3.74</v>
      </c>
      <c r="N25" s="67">
        <v>3.915</v>
      </c>
      <c r="O25" s="69">
        <v>4.1500000000000004</v>
      </c>
      <c r="P25" s="5"/>
      <c r="Q25" s="11" t="s">
        <v>46</v>
      </c>
      <c r="R25" s="66">
        <v>2.9249999999999998</v>
      </c>
      <c r="S25" s="66">
        <v>2.96</v>
      </c>
      <c r="T25" s="12"/>
      <c r="U25" s="5" t="s">
        <v>64</v>
      </c>
      <c r="V25" s="11" t="s">
        <v>46</v>
      </c>
      <c r="W25" s="66">
        <v>2.89</v>
      </c>
      <c r="X25" s="67">
        <v>2.9249999999999998</v>
      </c>
      <c r="Y25" s="26">
        <f>($W$32*(X25-W25))+W25</f>
        <v>2.9039330922606204</v>
      </c>
    </row>
    <row r="26" spans="2:27" ht="16.2" thickBot="1" x14ac:dyDescent="0.35">
      <c r="C26" s="246"/>
      <c r="D26" s="248"/>
      <c r="E26" s="250"/>
      <c r="G26" s="13" t="s">
        <v>51</v>
      </c>
      <c r="H26" s="14">
        <v>3.64</v>
      </c>
      <c r="I26" s="46">
        <v>3.895</v>
      </c>
      <c r="J26" s="46">
        <v>4.1500000000000004</v>
      </c>
      <c r="K26" s="20">
        <v>4.3949999999999996</v>
      </c>
      <c r="L26" s="20">
        <v>4.63</v>
      </c>
      <c r="M26" s="74">
        <v>4.84</v>
      </c>
      <c r="N26" s="74">
        <v>4.9850000000000003</v>
      </c>
      <c r="O26" s="76">
        <v>5</v>
      </c>
      <c r="P26" s="5"/>
      <c r="Q26" s="11" t="s">
        <v>47</v>
      </c>
      <c r="R26" s="66">
        <v>3.0550000000000002</v>
      </c>
      <c r="S26" s="66">
        <v>3.0750000000000002</v>
      </c>
      <c r="T26" s="18"/>
      <c r="U26" s="5" t="s">
        <v>65</v>
      </c>
      <c r="V26" s="11" t="s">
        <v>47</v>
      </c>
      <c r="W26" s="66">
        <v>3.0350000000000001</v>
      </c>
      <c r="X26" s="67">
        <v>3.0550000000000002</v>
      </c>
      <c r="Y26" s="29">
        <f>($W$32*(X26-W26))+W26</f>
        <v>3.0429617670060689</v>
      </c>
    </row>
    <row r="27" spans="2:27" ht="16.2" thickBot="1" x14ac:dyDescent="0.35">
      <c r="B27" s="77"/>
      <c r="C27" s="44">
        <f>L13</f>
        <v>1.434864837697444</v>
      </c>
      <c r="D27" s="78">
        <f>S13</f>
        <v>2.3361843135090901</v>
      </c>
      <c r="E27" s="73">
        <f>100*((D27-C27)/C27)</f>
        <v>62.815636158316579</v>
      </c>
      <c r="G27" s="15" t="s">
        <v>52</v>
      </c>
      <c r="H27" s="8">
        <v>3.5999999999999997E-2</v>
      </c>
      <c r="I27" s="65">
        <v>0.113</v>
      </c>
      <c r="J27" s="65">
        <v>0.21299999999999999</v>
      </c>
      <c r="K27" s="65">
        <v>0.33</v>
      </c>
      <c r="L27" s="65">
        <v>0.46</v>
      </c>
      <c r="M27" s="68">
        <v>0.60499999999999998</v>
      </c>
      <c r="N27" s="68">
        <v>0.76400000000000001</v>
      </c>
      <c r="O27" s="69">
        <v>0.93899999999999995</v>
      </c>
      <c r="P27" s="5"/>
      <c r="Q27" s="11" t="s">
        <v>48</v>
      </c>
      <c r="R27" s="66">
        <v>3.165</v>
      </c>
      <c r="S27" s="66">
        <v>3.19</v>
      </c>
      <c r="T27" s="27">
        <f>($R$32*(S27-R27))+R27</f>
        <v>3.1849976309019676</v>
      </c>
      <c r="U27" s="5" t="s">
        <v>66</v>
      </c>
      <c r="V27" s="11" t="s">
        <v>48</v>
      </c>
      <c r="W27" s="66">
        <v>3.14</v>
      </c>
      <c r="X27" s="67">
        <v>3.165</v>
      </c>
      <c r="Y27" s="12"/>
    </row>
    <row r="28" spans="2:27" ht="16.2" thickBot="1" x14ac:dyDescent="0.35">
      <c r="G28" s="15" t="s">
        <v>53</v>
      </c>
      <c r="H28" s="8">
        <v>31.7</v>
      </c>
      <c r="I28" s="65">
        <v>30.7</v>
      </c>
      <c r="J28" s="79">
        <v>29.7</v>
      </c>
      <c r="K28" s="65">
        <v>28.7</v>
      </c>
      <c r="L28" s="65">
        <v>27.7</v>
      </c>
      <c r="M28" s="95">
        <v>26.7</v>
      </c>
      <c r="N28" s="95">
        <v>25.7</v>
      </c>
      <c r="O28" s="69">
        <v>24.7</v>
      </c>
      <c r="P28" s="5"/>
      <c r="Q28" s="11" t="s">
        <v>49</v>
      </c>
      <c r="R28" s="66">
        <v>3.3250000000000002</v>
      </c>
      <c r="S28" s="66">
        <v>3.375</v>
      </c>
      <c r="T28" s="26">
        <f>($R$32*(S28-R28))+R28</f>
        <v>3.3649952618039354</v>
      </c>
      <c r="U28" s="5" t="s">
        <v>67</v>
      </c>
      <c r="V28" s="11" t="s">
        <v>49</v>
      </c>
      <c r="W28" s="66">
        <v>3.2850000000000001</v>
      </c>
      <c r="X28" s="67">
        <v>3.3250000000000002</v>
      </c>
      <c r="Y28" s="12"/>
    </row>
    <row r="29" spans="2:27" ht="16.2" thickBot="1" x14ac:dyDescent="0.35">
      <c r="B29" s="80"/>
      <c r="G29" s="16" t="s">
        <v>13</v>
      </c>
      <c r="H29" s="14">
        <v>1.4E-2</v>
      </c>
      <c r="I29" s="46">
        <v>4.4999999999999998E-2</v>
      </c>
      <c r="J29" s="19">
        <v>0.09</v>
      </c>
      <c r="K29" s="19">
        <v>0.14299999999999999</v>
      </c>
      <c r="L29" s="23">
        <v>0.20499999999999999</v>
      </c>
      <c r="M29" s="24">
        <v>0.26800000000000002</v>
      </c>
      <c r="N29" s="75">
        <v>0.33</v>
      </c>
      <c r="O29" s="76">
        <v>0.38700000000000001</v>
      </c>
      <c r="Q29" s="11" t="s">
        <v>50</v>
      </c>
      <c r="R29" s="66">
        <v>3.74</v>
      </c>
      <c r="S29" s="66">
        <v>3.915</v>
      </c>
      <c r="T29" s="26">
        <f>($R$32*(S29-R29))+R29</f>
        <v>3.8799834163137734</v>
      </c>
      <c r="U29" s="5" t="s">
        <v>68</v>
      </c>
      <c r="V29" s="11" t="s">
        <v>50</v>
      </c>
      <c r="W29" s="66">
        <v>3.61</v>
      </c>
      <c r="X29" s="67">
        <v>3.74</v>
      </c>
      <c r="Y29" s="12"/>
    </row>
    <row r="30" spans="2:27" ht="16.2" thickBot="1" x14ac:dyDescent="0.35">
      <c r="Q30" s="17" t="s">
        <v>51</v>
      </c>
      <c r="R30" s="20">
        <v>4.84</v>
      </c>
      <c r="S30" s="20">
        <v>4.9850000000000003</v>
      </c>
      <c r="T30" s="29">
        <f>($R$32*(S30-R30))+R30</f>
        <v>4.9559862592314126</v>
      </c>
      <c r="U30" s="5" t="s">
        <v>69</v>
      </c>
      <c r="V30" s="17" t="s">
        <v>51</v>
      </c>
      <c r="W30" s="66">
        <v>4.63</v>
      </c>
      <c r="X30" s="74">
        <v>4.84</v>
      </c>
      <c r="Y30" s="18"/>
    </row>
    <row r="31" spans="2:27" ht="16.2" thickTop="1" x14ac:dyDescent="0.3">
      <c r="R31" s="81" t="s">
        <v>70</v>
      </c>
      <c r="W31" s="82" t="s">
        <v>70</v>
      </c>
    </row>
    <row r="32" spans="2:27" ht="16.2" thickBot="1" x14ac:dyDescent="0.35">
      <c r="R32" s="83">
        <f>((T22-R22)/(S22-R22))</f>
        <v>0.79990523607870401</v>
      </c>
      <c r="W32" s="83">
        <f>((Y22-W22)/(X22-W22))</f>
        <v>0.39808835030344275</v>
      </c>
    </row>
    <row r="33" spans="1:25" ht="16.2" thickTop="1" x14ac:dyDescent="0.3"/>
    <row r="34" spans="1:25" s="1" customFormat="1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/>
      <c r="R34"/>
      <c r="S34"/>
      <c r="T34"/>
      <c r="U34"/>
      <c r="V34"/>
      <c r="W34"/>
      <c r="X34"/>
      <c r="Y34"/>
    </row>
    <row r="35" spans="1:25" x14ac:dyDescent="0.3">
      <c r="Q35" s="1"/>
      <c r="R35" t="s">
        <v>71</v>
      </c>
      <c r="W35" t="s">
        <v>71</v>
      </c>
      <c r="Y35" s="1"/>
    </row>
    <row r="36" spans="1:25" x14ac:dyDescent="0.3">
      <c r="R36" t="s">
        <v>75</v>
      </c>
      <c r="W36" t="s">
        <v>75</v>
      </c>
    </row>
    <row r="38" spans="1:25" x14ac:dyDescent="0.3">
      <c r="P38" s="5"/>
    </row>
    <row r="39" spans="1:25" x14ac:dyDescent="0.3">
      <c r="P39" s="5"/>
    </row>
    <row r="40" spans="1:25" x14ac:dyDescent="0.3">
      <c r="P40" s="5"/>
      <c r="Q40" s="5"/>
      <c r="R40" s="5"/>
      <c r="S40" s="5"/>
    </row>
    <row r="41" spans="1:25" x14ac:dyDescent="0.3">
      <c r="P41" s="5"/>
      <c r="Q41" s="5"/>
      <c r="R41" s="5"/>
      <c r="S41" s="5"/>
    </row>
    <row r="42" spans="1:25" x14ac:dyDescent="0.3">
      <c r="P42" s="5"/>
      <c r="Q42" s="5"/>
      <c r="R42" s="5"/>
      <c r="S42" s="5"/>
    </row>
    <row r="43" spans="1:25" x14ac:dyDescent="0.3">
      <c r="P43" s="5"/>
      <c r="Q43" s="5"/>
      <c r="R43" s="5"/>
      <c r="S43" s="5"/>
    </row>
    <row r="44" spans="1:25" x14ac:dyDescent="0.3">
      <c r="P44" s="5"/>
      <c r="Q44" s="5"/>
      <c r="R44" s="5"/>
      <c r="S44" s="5"/>
    </row>
  </sheetData>
  <mergeCells count="29">
    <mergeCell ref="B14:E14"/>
    <mergeCell ref="M2:M3"/>
    <mergeCell ref="N2:N3"/>
    <mergeCell ref="O2:O3"/>
    <mergeCell ref="P2:P3"/>
    <mergeCell ref="B2:E2"/>
    <mergeCell ref="G2:G3"/>
    <mergeCell ref="H2:H3"/>
    <mergeCell ref="I2:I3"/>
    <mergeCell ref="J2:K2"/>
    <mergeCell ref="L2:L3"/>
    <mergeCell ref="S2:S3"/>
    <mergeCell ref="K13:K14"/>
    <mergeCell ref="L13:L14"/>
    <mergeCell ref="R13:R14"/>
    <mergeCell ref="S13:S14"/>
    <mergeCell ref="Q2:Q3"/>
    <mergeCell ref="R2:R3"/>
    <mergeCell ref="V16:Y18"/>
    <mergeCell ref="H18:O18"/>
    <mergeCell ref="Q19:S20"/>
    <mergeCell ref="T19:T20"/>
    <mergeCell ref="V19:X20"/>
    <mergeCell ref="Y19:Y20"/>
    <mergeCell ref="C25:C26"/>
    <mergeCell ref="D25:D26"/>
    <mergeCell ref="E25:E26"/>
    <mergeCell ref="G16:O17"/>
    <mergeCell ref="Q16:T18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A21B5-5815-E448-A44E-BA516C457452}">
  <dimension ref="A1:AA44"/>
  <sheetViews>
    <sheetView topLeftCell="A19" zoomScale="133" zoomScaleNormal="150" zoomScalePageLayoutView="150" workbookViewId="0">
      <selection activeCell="D32" sqref="D32"/>
    </sheetView>
  </sheetViews>
  <sheetFormatPr defaultColWidth="11.19921875" defaultRowHeight="15.6" x14ac:dyDescent="0.3"/>
  <cols>
    <col min="2" max="2" width="13.5" customWidth="1"/>
    <col min="3" max="3" width="14.19921875" customWidth="1"/>
    <col min="4" max="4" width="13.796875" customWidth="1"/>
    <col min="5" max="5" width="13.69921875" customWidth="1"/>
    <col min="6" max="6" width="11.69921875" customWidth="1"/>
    <col min="7" max="7" width="15.5" customWidth="1"/>
    <col min="8" max="8" width="14.5" bestFit="1" customWidth="1"/>
    <col min="9" max="9" width="11.796875" customWidth="1"/>
    <col min="10" max="10" width="14.296875" bestFit="1" customWidth="1"/>
    <col min="15" max="15" width="14.19921875" customWidth="1"/>
    <col min="19" max="19" width="11.796875" bestFit="1" customWidth="1"/>
    <col min="21" max="21" width="13.796875" customWidth="1"/>
    <col min="25" max="25" width="13.296875" customWidth="1"/>
    <col min="32" max="32" width="11.796875" bestFit="1" customWidth="1"/>
    <col min="33" max="33" width="11.296875" customWidth="1"/>
    <col min="34" max="34" width="12.19921875" customWidth="1"/>
    <col min="35" max="35" width="11.5" customWidth="1"/>
    <col min="36" max="36" width="12" customWidth="1"/>
    <col min="37" max="37" width="11.5" customWidth="1"/>
    <col min="38" max="38" width="11.296875" customWidth="1"/>
    <col min="39" max="39" width="10.19921875" customWidth="1"/>
    <col min="40" max="40" width="11.69921875" customWidth="1"/>
    <col min="41" max="41" width="10.69921875" customWidth="1"/>
    <col min="42" max="42" width="9.296875" customWidth="1"/>
    <col min="43" max="43" width="12.796875" bestFit="1" customWidth="1"/>
    <col min="44" max="44" width="16" bestFit="1" customWidth="1"/>
    <col min="50" max="50" width="11.5" bestFit="1" customWidth="1"/>
  </cols>
  <sheetData>
    <row r="1" spans="2:25" ht="16.2" thickBot="1" x14ac:dyDescent="0.35"/>
    <row r="2" spans="2:25" x14ac:dyDescent="0.3">
      <c r="B2" s="312" t="s">
        <v>0</v>
      </c>
      <c r="C2" s="313"/>
      <c r="D2" s="313"/>
      <c r="E2" s="314"/>
      <c r="G2" s="315" t="s">
        <v>28</v>
      </c>
      <c r="H2" s="317" t="s">
        <v>14</v>
      </c>
      <c r="I2" s="319" t="s">
        <v>29</v>
      </c>
      <c r="J2" s="321" t="s">
        <v>31</v>
      </c>
      <c r="K2" s="321"/>
      <c r="L2" s="308" t="s">
        <v>25</v>
      </c>
      <c r="M2" s="308" t="s">
        <v>26</v>
      </c>
      <c r="N2" s="310" t="s">
        <v>16</v>
      </c>
      <c r="O2" s="310" t="s">
        <v>17</v>
      </c>
      <c r="P2" s="308" t="s">
        <v>41</v>
      </c>
      <c r="Q2" s="308" t="s">
        <v>40</v>
      </c>
      <c r="R2" s="308" t="s">
        <v>12</v>
      </c>
      <c r="S2" s="295" t="s">
        <v>27</v>
      </c>
    </row>
    <row r="3" spans="2:25" x14ac:dyDescent="0.3">
      <c r="B3" s="40" t="s">
        <v>1</v>
      </c>
      <c r="C3" s="47" t="s">
        <v>2</v>
      </c>
      <c r="D3" s="47" t="s">
        <v>11</v>
      </c>
      <c r="E3" s="41" t="s">
        <v>76</v>
      </c>
      <c r="G3" s="316"/>
      <c r="H3" s="318"/>
      <c r="I3" s="320"/>
      <c r="J3" s="4" t="s">
        <v>15</v>
      </c>
      <c r="K3" s="4" t="s">
        <v>30</v>
      </c>
      <c r="L3" s="309"/>
      <c r="M3" s="309"/>
      <c r="N3" s="311"/>
      <c r="O3" s="311"/>
      <c r="P3" s="309"/>
      <c r="Q3" s="309"/>
      <c r="R3" s="309"/>
      <c r="S3" s="296"/>
    </row>
    <row r="4" spans="2:25" x14ac:dyDescent="0.3">
      <c r="B4" s="48" t="s">
        <v>3</v>
      </c>
      <c r="C4" s="51">
        <v>133073</v>
      </c>
      <c r="D4" s="51">
        <v>1584</v>
      </c>
      <c r="E4" s="49">
        <v>219</v>
      </c>
      <c r="F4" s="51">
        <f>'Brass_NARP 2018 - Cabecera'!C4+'Brass_NARP 2018 - Rural'!C4</f>
        <v>133073</v>
      </c>
      <c r="G4" s="30" t="s">
        <v>84</v>
      </c>
      <c r="H4" s="3">
        <v>12</v>
      </c>
      <c r="I4" s="52">
        <f>C4</f>
        <v>133073</v>
      </c>
      <c r="J4" s="53">
        <f>D4</f>
        <v>1584</v>
      </c>
      <c r="K4" s="54">
        <f t="shared" ref="J4:K11" si="0">E4</f>
        <v>219</v>
      </c>
      <c r="L4" s="55">
        <f>K4/I4</f>
        <v>1.6457132551306426E-3</v>
      </c>
      <c r="M4" s="55">
        <f t="shared" ref="M4:M11" si="1">J4/I4</f>
        <v>1.1903241078205196E-2</v>
      </c>
      <c r="N4" s="55">
        <f>L4*H4</f>
        <v>1.9748559061567712E-2</v>
      </c>
      <c r="O4" s="55">
        <f>Y23</f>
        <v>1.5912981095767171</v>
      </c>
      <c r="P4" s="55">
        <f>(5*L3)+P3</f>
        <v>0</v>
      </c>
      <c r="Q4" s="55">
        <f>P4+O4*L4</f>
        <v>2.6188203917947373E-3</v>
      </c>
      <c r="R4" s="55">
        <f>M4/Q4</f>
        <v>4.5452682114055305</v>
      </c>
      <c r="S4" s="32">
        <f>$R$6*L4</f>
        <v>2.5854211061866039E-3</v>
      </c>
    </row>
    <row r="5" spans="2:25" x14ac:dyDescent="0.3">
      <c r="B5" s="48" t="s">
        <v>4</v>
      </c>
      <c r="C5" s="51">
        <v>137906</v>
      </c>
      <c r="D5" s="51">
        <v>24425</v>
      </c>
      <c r="E5" s="85">
        <v>6532</v>
      </c>
      <c r="F5" s="51">
        <f>'Brass_NARP 2018 - Cabecera'!C5+'Brass_NARP 2018 - Rural'!C5</f>
        <v>137906</v>
      </c>
      <c r="G5" s="31" t="s">
        <v>18</v>
      </c>
      <c r="H5" s="50">
        <v>17</v>
      </c>
      <c r="I5" s="52">
        <f>C5</f>
        <v>137906</v>
      </c>
      <c r="J5" s="53">
        <f>D5</f>
        <v>24425</v>
      </c>
      <c r="K5" s="54">
        <f t="shared" si="0"/>
        <v>6532</v>
      </c>
      <c r="L5" s="55">
        <f>K5/I5</f>
        <v>4.7365596855829334E-2</v>
      </c>
      <c r="M5" s="55">
        <f t="shared" si="1"/>
        <v>0.17711339608138876</v>
      </c>
      <c r="N5" s="55">
        <f>L5*H5</f>
        <v>0.80521514654909865</v>
      </c>
      <c r="O5" s="55">
        <f>Y24</f>
        <v>2.5183863803802318</v>
      </c>
      <c r="P5" s="55">
        <v>0</v>
      </c>
      <c r="Q5" s="55">
        <f>P5+O5*L5</f>
        <v>0.11928487402030133</v>
      </c>
      <c r="R5" s="55">
        <f>M5/Q5</f>
        <v>1.4847934202558279</v>
      </c>
      <c r="S5" s="32">
        <f>$R$6*L5</f>
        <v>7.4411513327979906E-2</v>
      </c>
    </row>
    <row r="6" spans="2:25" x14ac:dyDescent="0.3">
      <c r="B6" s="48" t="s">
        <v>5</v>
      </c>
      <c r="C6" s="51">
        <v>131654</v>
      </c>
      <c r="D6" s="51">
        <v>95124</v>
      </c>
      <c r="E6" s="85">
        <v>10085</v>
      </c>
      <c r="F6" s="51">
        <f>'Brass_NARP 2018 - Cabecera'!C6+'Brass_NARP 2018 - Rural'!C6</f>
        <v>131654</v>
      </c>
      <c r="G6" s="31" t="s">
        <v>19</v>
      </c>
      <c r="H6" s="50">
        <v>22</v>
      </c>
      <c r="I6" s="53">
        <f t="shared" ref="I6:I11" si="2">C6</f>
        <v>131654</v>
      </c>
      <c r="J6" s="53">
        <f t="shared" si="0"/>
        <v>95124</v>
      </c>
      <c r="K6" s="54">
        <f t="shared" si="0"/>
        <v>10085</v>
      </c>
      <c r="L6" s="55">
        <f t="shared" ref="L6:L11" si="3">K6/I6</f>
        <v>7.660230604463214E-2</v>
      </c>
      <c r="M6" s="55">
        <f t="shared" si="1"/>
        <v>0.72253026873471371</v>
      </c>
      <c r="N6" s="55">
        <f t="shared" ref="N6:N11" si="4">L6*H6</f>
        <v>1.6852507329819071</v>
      </c>
      <c r="O6" s="55">
        <f>Y25</f>
        <v>2.9122940994427107</v>
      </c>
      <c r="P6" s="55">
        <f>(5*L5)+P5</f>
        <v>0.23682798427914667</v>
      </c>
      <c r="Q6" s="55">
        <f t="shared" ref="Q6:Q11" si="5">P6+O6*L6</f>
        <v>0.45991642817663353</v>
      </c>
      <c r="R6" s="55">
        <f>M6/Q6</f>
        <v>1.5710033920710957</v>
      </c>
      <c r="S6" s="32">
        <f t="shared" ref="S6:S11" si="6">$R$6*L6</f>
        <v>0.1203424826365853</v>
      </c>
    </row>
    <row r="7" spans="2:25" x14ac:dyDescent="0.3">
      <c r="B7" s="48" t="s">
        <v>6</v>
      </c>
      <c r="C7" s="51">
        <v>123881</v>
      </c>
      <c r="D7" s="51">
        <v>164002</v>
      </c>
      <c r="E7" s="85">
        <v>8312</v>
      </c>
      <c r="F7" s="51">
        <f>'Brass_NARP 2018 - Cabecera'!C7+'Brass_NARP 2018 - Rural'!C7</f>
        <v>123881</v>
      </c>
      <c r="G7" s="31" t="s">
        <v>20</v>
      </c>
      <c r="H7" s="50">
        <v>27</v>
      </c>
      <c r="I7" s="53">
        <f t="shared" si="2"/>
        <v>123881</v>
      </c>
      <c r="J7" s="53">
        <f t="shared" si="0"/>
        <v>164002</v>
      </c>
      <c r="K7" s="54">
        <f t="shared" si="0"/>
        <v>8312</v>
      </c>
      <c r="L7" s="55">
        <f t="shared" si="3"/>
        <v>6.7096649203671269E-2</v>
      </c>
      <c r="M7" s="55">
        <f t="shared" si="1"/>
        <v>1.3238672597089143</v>
      </c>
      <c r="N7" s="55">
        <f t="shared" si="4"/>
        <v>1.8116095284991243</v>
      </c>
      <c r="O7" s="55">
        <f>Y26</f>
        <v>3.0477394853958351</v>
      </c>
      <c r="P7" s="55">
        <f>(5*L6)+P6</f>
        <v>0.61983951450230734</v>
      </c>
      <c r="Q7" s="55">
        <f t="shared" si="5"/>
        <v>0.82433262161808929</v>
      </c>
      <c r="R7" s="55">
        <f t="shared" ref="R7:R10" si="7">M7/Q7</f>
        <v>1.6059867400495256</v>
      </c>
      <c r="S7" s="32">
        <f t="shared" si="6"/>
        <v>0.10540906349557194</v>
      </c>
    </row>
    <row r="8" spans="2:25" x14ac:dyDescent="0.3">
      <c r="B8" s="48" t="s">
        <v>7</v>
      </c>
      <c r="C8" s="51">
        <v>114183</v>
      </c>
      <c r="D8" s="51">
        <v>219504</v>
      </c>
      <c r="E8" s="85">
        <v>5421</v>
      </c>
      <c r="F8" s="51">
        <f>'Brass_NARP 2018 - Cabecera'!C8+'Brass_NARP 2018 - Rural'!C8</f>
        <v>114183</v>
      </c>
      <c r="G8" s="31" t="s">
        <v>21</v>
      </c>
      <c r="H8" s="50">
        <v>32</v>
      </c>
      <c r="I8" s="53">
        <f t="shared" si="2"/>
        <v>114183</v>
      </c>
      <c r="J8" s="53">
        <f t="shared" si="0"/>
        <v>219504</v>
      </c>
      <c r="K8" s="54">
        <f t="shared" si="0"/>
        <v>5421</v>
      </c>
      <c r="L8" s="55">
        <f t="shared" si="3"/>
        <v>4.7476419431964477E-2</v>
      </c>
      <c r="M8" s="55">
        <f t="shared" si="1"/>
        <v>1.9223877459867056</v>
      </c>
      <c r="N8" s="55">
        <f t="shared" si="4"/>
        <v>1.5192454218228633</v>
      </c>
      <c r="O8" s="55">
        <f>T27</f>
        <v>3.1734762094086877</v>
      </c>
      <c r="P8" s="55">
        <f t="shared" ref="P8:P10" si="8">(5*L7)+P7</f>
        <v>0.95532276052066367</v>
      </c>
      <c r="Q8" s="55">
        <f t="shared" si="5"/>
        <v>1.1059880480959112</v>
      </c>
      <c r="R8" s="55">
        <f t="shared" si="7"/>
        <v>1.7381632191200642</v>
      </c>
      <c r="S8" s="32">
        <f t="shared" si="6"/>
        <v>7.4585615971006283E-2</v>
      </c>
    </row>
    <row r="9" spans="2:25" x14ac:dyDescent="0.3">
      <c r="B9" s="48" t="s">
        <v>8</v>
      </c>
      <c r="C9" s="51">
        <v>107492</v>
      </c>
      <c r="D9" s="51">
        <v>250207</v>
      </c>
      <c r="E9" s="85">
        <v>3025</v>
      </c>
      <c r="F9" s="51">
        <f>'Brass_NARP 2018 - Cabecera'!C9+'Brass_NARP 2018 - Rural'!C9</f>
        <v>107492</v>
      </c>
      <c r="G9" s="31" t="s">
        <v>22</v>
      </c>
      <c r="H9" s="50">
        <v>37</v>
      </c>
      <c r="I9" s="53">
        <f t="shared" si="2"/>
        <v>107492</v>
      </c>
      <c r="J9" s="53">
        <f t="shared" si="0"/>
        <v>250207</v>
      </c>
      <c r="K9" s="54">
        <f t="shared" si="0"/>
        <v>3025</v>
      </c>
      <c r="L9" s="55">
        <f t="shared" si="3"/>
        <v>2.8141629144494473E-2</v>
      </c>
      <c r="M9" s="55">
        <f t="shared" si="1"/>
        <v>2.3276801994567036</v>
      </c>
      <c r="N9" s="55">
        <f t="shared" si="4"/>
        <v>1.0412402783462955</v>
      </c>
      <c r="O9" s="55">
        <f>T28</f>
        <v>3.3419524188173755</v>
      </c>
      <c r="P9" s="55">
        <f t="shared" si="8"/>
        <v>1.1927048576804862</v>
      </c>
      <c r="Q9" s="55">
        <f t="shared" si="5"/>
        <v>1.2867528432693911</v>
      </c>
      <c r="R9" s="55">
        <f t="shared" si="7"/>
        <v>1.8089567173929972</v>
      </c>
      <c r="S9" s="32">
        <f t="shared" si="6"/>
        <v>4.4210594844407626E-2</v>
      </c>
    </row>
    <row r="10" spans="2:25" x14ac:dyDescent="0.3">
      <c r="B10" s="48" t="s">
        <v>9</v>
      </c>
      <c r="C10" s="51">
        <v>93056</v>
      </c>
      <c r="D10" s="51">
        <v>254467</v>
      </c>
      <c r="E10" s="85">
        <v>940</v>
      </c>
      <c r="F10" s="51">
        <f>'Brass_NARP 2018 - Cabecera'!C10+'Brass_NARP 2018 - Rural'!C10</f>
        <v>93056</v>
      </c>
      <c r="G10" s="31" t="s">
        <v>23</v>
      </c>
      <c r="H10" s="50">
        <v>42</v>
      </c>
      <c r="I10" s="53">
        <f t="shared" si="2"/>
        <v>93056</v>
      </c>
      <c r="J10" s="53">
        <f t="shared" si="0"/>
        <v>254467</v>
      </c>
      <c r="K10" s="54">
        <f t="shared" si="0"/>
        <v>940</v>
      </c>
      <c r="L10" s="55">
        <f t="shared" si="3"/>
        <v>1.0101444291609354E-2</v>
      </c>
      <c r="M10" s="55">
        <f t="shared" si="1"/>
        <v>2.7345576856946354</v>
      </c>
      <c r="N10" s="55">
        <f t="shared" si="4"/>
        <v>0.42426066024759285</v>
      </c>
      <c r="O10" s="55">
        <f>T29</f>
        <v>3.7993334658608138</v>
      </c>
      <c r="P10" s="55">
        <f t="shared" si="8"/>
        <v>1.3334130034029585</v>
      </c>
      <c r="Q10" s="55">
        <f t="shared" si="5"/>
        <v>1.3717917587535986</v>
      </c>
      <c r="R10" s="55">
        <f t="shared" si="7"/>
        <v>1.9934204067381462</v>
      </c>
      <c r="S10" s="32">
        <f t="shared" si="6"/>
        <v>1.5869403246935501E-2</v>
      </c>
    </row>
    <row r="11" spans="2:25" ht="16.2" thickBot="1" x14ac:dyDescent="0.35">
      <c r="B11" s="56" t="s">
        <v>10</v>
      </c>
      <c r="C11" s="51">
        <v>87287</v>
      </c>
      <c r="D11" s="86">
        <v>260128</v>
      </c>
      <c r="E11" s="87">
        <v>140</v>
      </c>
      <c r="F11" s="51">
        <f>'Brass_NARP 2018 - Cabecera'!C11+'Brass_NARP 2018 - Rural'!C11</f>
        <v>87287</v>
      </c>
      <c r="G11" s="33" t="s">
        <v>24</v>
      </c>
      <c r="H11" s="34">
        <v>47</v>
      </c>
      <c r="I11" s="35">
        <f t="shared" si="2"/>
        <v>87287</v>
      </c>
      <c r="J11" s="35">
        <f t="shared" si="0"/>
        <v>260128</v>
      </c>
      <c r="K11" s="57">
        <f t="shared" si="0"/>
        <v>140</v>
      </c>
      <c r="L11" s="36">
        <f t="shared" si="3"/>
        <v>1.6039043614742173E-3</v>
      </c>
      <c r="M11" s="36">
        <f t="shared" si="1"/>
        <v>2.9801459552968943</v>
      </c>
      <c r="N11" s="36">
        <f t="shared" si="4"/>
        <v>7.5383504989288211E-2</v>
      </c>
      <c r="O11" s="36">
        <f>T30</f>
        <v>4.8891620145703882</v>
      </c>
      <c r="P11" s="36">
        <f>(5*L10)+P10</f>
        <v>1.3839202248610054</v>
      </c>
      <c r="Q11" s="36">
        <f t="shared" si="5"/>
        <v>1.3917619731401289</v>
      </c>
      <c r="R11" s="36">
        <f>M11/Q11</f>
        <v>2.1412756008651486</v>
      </c>
      <c r="S11" s="37">
        <f t="shared" si="6"/>
        <v>2.5197391924336203E-3</v>
      </c>
    </row>
    <row r="12" spans="2:25" ht="16.2" thickBot="1" x14ac:dyDescent="0.35">
      <c r="C12" s="84"/>
      <c r="L12" s="27">
        <f>SUM(L4:L11)</f>
        <v>0.28003366258880591</v>
      </c>
      <c r="M12" s="58"/>
      <c r="N12" s="45">
        <f>SUM(N4:N11)</f>
        <v>7.3819538324977376</v>
      </c>
      <c r="O12" s="53"/>
      <c r="P12" s="59"/>
      <c r="Q12" s="59"/>
      <c r="R12" s="59"/>
      <c r="S12" s="60">
        <f>SUM(S5:S11)</f>
        <v>0.4373484127149202</v>
      </c>
    </row>
    <row r="13" spans="2:25" ht="16.2" thickBot="1" x14ac:dyDescent="0.35">
      <c r="K13" s="297" t="s">
        <v>32</v>
      </c>
      <c r="L13" s="299">
        <f>5*L12</f>
        <v>1.4001683129440297</v>
      </c>
      <c r="M13" s="59"/>
      <c r="N13" s="59"/>
      <c r="O13" s="59"/>
      <c r="P13" s="59"/>
      <c r="Q13" s="59"/>
      <c r="R13" s="301" t="s">
        <v>42</v>
      </c>
      <c r="S13" s="303">
        <f>5*S12</f>
        <v>2.1867420635746009</v>
      </c>
    </row>
    <row r="14" spans="2:25" ht="16.2" thickBot="1" x14ac:dyDescent="0.35">
      <c r="B14" s="305" t="s">
        <v>33</v>
      </c>
      <c r="C14" s="306"/>
      <c r="D14" s="306"/>
      <c r="E14" s="307"/>
      <c r="K14" s="298"/>
      <c r="L14" s="300"/>
      <c r="M14" s="59"/>
      <c r="N14" s="59"/>
      <c r="O14" s="59"/>
      <c r="P14" s="59"/>
      <c r="Q14" s="59"/>
      <c r="R14" s="302"/>
      <c r="S14" s="304"/>
    </row>
    <row r="15" spans="2:25" ht="63" thickBot="1" x14ac:dyDescent="0.35">
      <c r="B15" s="42" t="s">
        <v>1</v>
      </c>
      <c r="C15" s="2" t="s">
        <v>37</v>
      </c>
      <c r="D15" s="2" t="s">
        <v>34</v>
      </c>
      <c r="E15" s="43" t="s">
        <v>36</v>
      </c>
      <c r="R15" s="38" t="s">
        <v>62</v>
      </c>
      <c r="S15" s="61">
        <f>N12/L12</f>
        <v>26.360951623652493</v>
      </c>
      <c r="W15" s="39" t="s">
        <v>13</v>
      </c>
      <c r="X15" s="62">
        <f>M5/M6</f>
        <v>0.24512937899687939</v>
      </c>
    </row>
    <row r="16" spans="2:25" x14ac:dyDescent="0.3">
      <c r="B16" s="48" t="s">
        <v>3</v>
      </c>
      <c r="C16" s="63">
        <f>L4</f>
        <v>1.6457132551306426E-3</v>
      </c>
      <c r="D16" s="63">
        <f t="shared" ref="D16:D23" si="9">S4</f>
        <v>2.5854211061866039E-3</v>
      </c>
      <c r="E16" s="64">
        <f>100*((D16-C16)/C16)</f>
        <v>57.100339207109563</v>
      </c>
      <c r="G16" s="256" t="s">
        <v>61</v>
      </c>
      <c r="H16" s="257"/>
      <c r="I16" s="257"/>
      <c r="J16" s="257"/>
      <c r="K16" s="257"/>
      <c r="L16" s="257"/>
      <c r="M16" s="257"/>
      <c r="N16" s="257"/>
      <c r="O16" s="258"/>
      <c r="P16" s="5"/>
      <c r="Q16" s="262" t="s">
        <v>56</v>
      </c>
      <c r="R16" s="263"/>
      <c r="S16" s="263"/>
      <c r="T16" s="264"/>
      <c r="U16" s="5"/>
      <c r="V16" s="271" t="s">
        <v>59</v>
      </c>
      <c r="W16" s="272"/>
      <c r="X16" s="272"/>
      <c r="Y16" s="273"/>
    </row>
    <row r="17" spans="2:27" ht="16.2" thickBot="1" x14ac:dyDescent="0.35">
      <c r="B17" s="48" t="s">
        <v>4</v>
      </c>
      <c r="C17" s="63">
        <f>L5</f>
        <v>4.7365596855829334E-2</v>
      </c>
      <c r="D17" s="63">
        <f t="shared" si="9"/>
        <v>7.4411513327979906E-2</v>
      </c>
      <c r="E17" s="64">
        <f>100*((D17-C17)/C17)</f>
        <v>57.100339207109563</v>
      </c>
      <c r="G17" s="259"/>
      <c r="H17" s="260"/>
      <c r="I17" s="260"/>
      <c r="J17" s="260"/>
      <c r="K17" s="260"/>
      <c r="L17" s="260"/>
      <c r="M17" s="260"/>
      <c r="N17" s="260"/>
      <c r="O17" s="261"/>
      <c r="P17" s="5"/>
      <c r="Q17" s="265"/>
      <c r="R17" s="266"/>
      <c r="S17" s="266"/>
      <c r="T17" s="267"/>
      <c r="U17" s="5"/>
      <c r="V17" s="274"/>
      <c r="W17" s="275"/>
      <c r="X17" s="275"/>
      <c r="Y17" s="276"/>
    </row>
    <row r="18" spans="2:27" ht="16.2" thickBot="1" x14ac:dyDescent="0.35">
      <c r="B18" s="48" t="s">
        <v>5</v>
      </c>
      <c r="C18" s="63">
        <f t="shared" ref="C18:C23" si="10">L6</f>
        <v>7.660230604463214E-2</v>
      </c>
      <c r="D18" s="63">
        <f t="shared" si="9"/>
        <v>0.1203424826365853</v>
      </c>
      <c r="E18" s="64">
        <f t="shared" ref="E18:E23" si="11">100*((D18-C18)/C18)</f>
        <v>57.100339207109585</v>
      </c>
      <c r="G18" s="6" t="s">
        <v>54</v>
      </c>
      <c r="H18" s="280" t="s">
        <v>55</v>
      </c>
      <c r="I18" s="281"/>
      <c r="J18" s="281"/>
      <c r="K18" s="281"/>
      <c r="L18" s="281"/>
      <c r="M18" s="281"/>
      <c r="N18" s="281"/>
      <c r="O18" s="282"/>
      <c r="P18" s="5"/>
      <c r="Q18" s="268"/>
      <c r="R18" s="269"/>
      <c r="S18" s="269"/>
      <c r="T18" s="270"/>
      <c r="U18" s="5"/>
      <c r="V18" s="277"/>
      <c r="W18" s="278"/>
      <c r="X18" s="278"/>
      <c r="Y18" s="279"/>
    </row>
    <row r="19" spans="2:27" x14ac:dyDescent="0.3">
      <c r="B19" s="48" t="s">
        <v>6</v>
      </c>
      <c r="C19" s="63">
        <f t="shared" si="10"/>
        <v>6.7096649203671269E-2</v>
      </c>
      <c r="D19" s="63">
        <f t="shared" si="9"/>
        <v>0.10540906349557194</v>
      </c>
      <c r="E19" s="64">
        <f t="shared" si="11"/>
        <v>57.100339207109563</v>
      </c>
      <c r="G19" s="102" t="s">
        <v>3</v>
      </c>
      <c r="H19" s="103">
        <v>-1.7435</v>
      </c>
      <c r="I19" s="79">
        <v>-1.0257000000000001</v>
      </c>
      <c r="J19" s="79">
        <v>-0.30780000000000002</v>
      </c>
      <c r="K19" s="79">
        <v>0.40860000000000002</v>
      </c>
      <c r="L19" s="108">
        <v>1.1286</v>
      </c>
      <c r="M19" s="108">
        <v>1.855</v>
      </c>
      <c r="N19" s="108">
        <v>2.5486</v>
      </c>
      <c r="O19" s="104">
        <v>3.2879</v>
      </c>
      <c r="P19" s="5"/>
      <c r="Q19" s="283" t="s">
        <v>57</v>
      </c>
      <c r="R19" s="284"/>
      <c r="S19" s="285"/>
      <c r="T19" s="289" t="s">
        <v>58</v>
      </c>
      <c r="U19" s="5"/>
      <c r="V19" s="291" t="s">
        <v>60</v>
      </c>
      <c r="W19" s="292"/>
      <c r="X19" s="292"/>
      <c r="Y19" s="293" t="s">
        <v>45</v>
      </c>
    </row>
    <row r="20" spans="2:27" ht="16.2" thickBot="1" x14ac:dyDescent="0.35">
      <c r="B20" s="48" t="s">
        <v>7</v>
      </c>
      <c r="C20" s="63">
        <f t="shared" si="10"/>
        <v>4.7476419431964477E-2</v>
      </c>
      <c r="D20" s="63">
        <f t="shared" si="9"/>
        <v>7.4585615971006283E-2</v>
      </c>
      <c r="E20" s="64">
        <f>100*((D20-C20)/C20)</f>
        <v>57.100339207109585</v>
      </c>
      <c r="G20" s="7" t="s">
        <v>44</v>
      </c>
      <c r="H20" s="8">
        <v>1.1200000000000001</v>
      </c>
      <c r="I20" s="65">
        <v>1.31</v>
      </c>
      <c r="J20" s="65">
        <v>1.615</v>
      </c>
      <c r="K20" s="66">
        <v>1.95</v>
      </c>
      <c r="L20" s="66">
        <v>2.3050000000000002</v>
      </c>
      <c r="M20" s="67">
        <v>2.64</v>
      </c>
      <c r="N20" s="67">
        <v>2.9249999999999998</v>
      </c>
      <c r="O20" s="69">
        <v>3.17</v>
      </c>
      <c r="P20" s="5"/>
      <c r="Q20" s="286"/>
      <c r="R20" s="287"/>
      <c r="S20" s="288"/>
      <c r="T20" s="290"/>
      <c r="U20" s="5"/>
      <c r="V20" s="286"/>
      <c r="W20" s="287"/>
      <c r="X20" s="287"/>
      <c r="Y20" s="294"/>
    </row>
    <row r="21" spans="2:27" ht="16.2" thickBot="1" x14ac:dyDescent="0.35">
      <c r="B21" s="48" t="s">
        <v>8</v>
      </c>
      <c r="C21" s="63">
        <f t="shared" si="10"/>
        <v>2.8141629144494473E-2</v>
      </c>
      <c r="D21" s="63">
        <f t="shared" si="9"/>
        <v>4.4210594844407626E-2</v>
      </c>
      <c r="E21" s="64">
        <f t="shared" si="11"/>
        <v>57.10033920710957</v>
      </c>
      <c r="G21" s="7" t="s">
        <v>46</v>
      </c>
      <c r="H21" s="8">
        <v>2.5550000000000002</v>
      </c>
      <c r="I21" s="65">
        <v>2.69</v>
      </c>
      <c r="J21" s="65">
        <v>2.78</v>
      </c>
      <c r="K21" s="66">
        <v>2.84</v>
      </c>
      <c r="L21" s="66">
        <v>2.89</v>
      </c>
      <c r="M21" s="67">
        <v>2.9249999999999998</v>
      </c>
      <c r="N21" s="67">
        <v>2.96</v>
      </c>
      <c r="O21" s="69">
        <v>2.9849999999999999</v>
      </c>
      <c r="P21" s="9"/>
      <c r="Q21" s="99"/>
      <c r="R21" s="100" t="s">
        <v>72</v>
      </c>
      <c r="S21" s="101" t="s">
        <v>73</v>
      </c>
      <c r="T21" s="28" t="s">
        <v>74</v>
      </c>
      <c r="U21" s="9"/>
      <c r="V21" s="99"/>
      <c r="W21" s="100" t="s">
        <v>72</v>
      </c>
      <c r="X21" s="101" t="s">
        <v>73</v>
      </c>
      <c r="Y21" s="28" t="s">
        <v>74</v>
      </c>
    </row>
    <row r="22" spans="2:27" ht="16.2" thickBot="1" x14ac:dyDescent="0.35">
      <c r="B22" s="48" t="s">
        <v>9</v>
      </c>
      <c r="C22" s="63">
        <f t="shared" si="10"/>
        <v>1.0101444291609354E-2</v>
      </c>
      <c r="D22" s="63">
        <f t="shared" si="9"/>
        <v>1.5869403246935501E-2</v>
      </c>
      <c r="E22" s="64">
        <f t="shared" si="11"/>
        <v>57.100339207109563</v>
      </c>
      <c r="G22" s="7" t="s">
        <v>47</v>
      </c>
      <c r="H22" s="8">
        <v>2.9249999999999998</v>
      </c>
      <c r="I22" s="65">
        <v>2.96</v>
      </c>
      <c r="J22" s="65">
        <v>2.9849999999999999</v>
      </c>
      <c r="K22" s="66">
        <v>3.01</v>
      </c>
      <c r="L22" s="66">
        <v>3.0350000000000001</v>
      </c>
      <c r="M22" s="67">
        <v>3.0550000000000002</v>
      </c>
      <c r="N22" s="67">
        <v>3.0750000000000002</v>
      </c>
      <c r="O22" s="69">
        <v>3.0950000000000002</v>
      </c>
      <c r="P22" s="5"/>
      <c r="Q22" s="10" t="s">
        <v>43</v>
      </c>
      <c r="R22" s="70">
        <v>26.7</v>
      </c>
      <c r="S22" s="95">
        <v>25.7</v>
      </c>
      <c r="T22" s="105">
        <f>S15</f>
        <v>26.360951623652493</v>
      </c>
      <c r="V22" s="10" t="s">
        <v>43</v>
      </c>
      <c r="W22" s="21">
        <v>0.20499999999999999</v>
      </c>
      <c r="X22" s="22">
        <v>0.26800000000000002</v>
      </c>
      <c r="Y22" s="25">
        <f>X15</f>
        <v>0.24512937899687939</v>
      </c>
      <c r="AA22" s="71"/>
    </row>
    <row r="23" spans="2:27" ht="16.2" thickBot="1" x14ac:dyDescent="0.35">
      <c r="B23" s="56" t="s">
        <v>10</v>
      </c>
      <c r="C23" s="72">
        <f t="shared" si="10"/>
        <v>1.6039043614742173E-3</v>
      </c>
      <c r="D23" s="72">
        <f t="shared" si="9"/>
        <v>2.5197391924336203E-3</v>
      </c>
      <c r="E23" s="73">
        <f t="shared" si="11"/>
        <v>57.10033920710957</v>
      </c>
      <c r="G23" s="7" t="s">
        <v>48</v>
      </c>
      <c r="H23" s="8">
        <v>3.0550000000000002</v>
      </c>
      <c r="I23" s="65">
        <v>3.0750000000000002</v>
      </c>
      <c r="J23" s="65">
        <v>3.0950000000000002</v>
      </c>
      <c r="K23" s="66">
        <v>3.12</v>
      </c>
      <c r="L23" s="66">
        <v>3.14</v>
      </c>
      <c r="M23" s="67">
        <v>3.165</v>
      </c>
      <c r="N23" s="67">
        <v>3.19</v>
      </c>
      <c r="O23" s="69">
        <v>3.2149999999999999</v>
      </c>
      <c r="P23" s="5"/>
      <c r="Q23" s="107" t="s">
        <v>3</v>
      </c>
      <c r="R23" s="66">
        <v>1.855</v>
      </c>
      <c r="S23" s="66">
        <v>2.5486</v>
      </c>
      <c r="T23" s="106"/>
      <c r="U23" s="5" t="s">
        <v>90</v>
      </c>
      <c r="V23" s="107" t="s">
        <v>3</v>
      </c>
      <c r="W23" s="108">
        <v>1.1286</v>
      </c>
      <c r="X23" s="108">
        <v>1.855</v>
      </c>
      <c r="Y23" s="26">
        <f>($W$32*(X23-W23))+W23</f>
        <v>1.5912981095767171</v>
      </c>
    </row>
    <row r="24" spans="2:27" ht="16.2" thickBot="1" x14ac:dyDescent="0.35">
      <c r="G24" s="7" t="s">
        <v>49</v>
      </c>
      <c r="H24" s="8">
        <v>3.165</v>
      </c>
      <c r="I24" s="65">
        <v>3.19</v>
      </c>
      <c r="J24" s="65">
        <v>3.2149999999999999</v>
      </c>
      <c r="K24" s="66">
        <v>3.2450000000000001</v>
      </c>
      <c r="L24" s="66">
        <v>3.2850000000000001</v>
      </c>
      <c r="M24" s="67">
        <v>3.3250000000000002</v>
      </c>
      <c r="N24" s="67">
        <v>3.375</v>
      </c>
      <c r="O24" s="69">
        <v>3.4350000000000001</v>
      </c>
      <c r="P24" s="5"/>
      <c r="Q24" s="11" t="s">
        <v>44</v>
      </c>
      <c r="R24" s="66">
        <v>2.64</v>
      </c>
      <c r="S24" s="66">
        <v>2.9249999999999998</v>
      </c>
      <c r="T24" s="12"/>
      <c r="U24" s="5" t="s">
        <v>63</v>
      </c>
      <c r="V24" s="11" t="s">
        <v>44</v>
      </c>
      <c r="W24" s="66">
        <v>2.3050000000000002</v>
      </c>
      <c r="X24" s="67">
        <v>2.64</v>
      </c>
      <c r="Y24" s="26">
        <f>($W$32*(X24-W24))+W24</f>
        <v>2.5183863803802318</v>
      </c>
    </row>
    <row r="25" spans="2:27" ht="16.2" thickBot="1" x14ac:dyDescent="0.35">
      <c r="C25" s="245" t="s">
        <v>32</v>
      </c>
      <c r="D25" s="247" t="s">
        <v>35</v>
      </c>
      <c r="E25" s="249" t="s">
        <v>36</v>
      </c>
      <c r="G25" s="7" t="s">
        <v>50</v>
      </c>
      <c r="H25" s="8">
        <v>3.3250000000000002</v>
      </c>
      <c r="I25" s="65">
        <v>3.375</v>
      </c>
      <c r="J25" s="65">
        <v>3.4350000000000001</v>
      </c>
      <c r="K25" s="66">
        <v>3.51</v>
      </c>
      <c r="L25" s="66">
        <v>3.61</v>
      </c>
      <c r="M25" s="67">
        <v>3.74</v>
      </c>
      <c r="N25" s="67">
        <v>3.915</v>
      </c>
      <c r="O25" s="69">
        <v>4.1500000000000004</v>
      </c>
      <c r="P25" s="5"/>
      <c r="Q25" s="11" t="s">
        <v>46</v>
      </c>
      <c r="R25" s="66">
        <v>2.9249999999999998</v>
      </c>
      <c r="S25" s="66">
        <v>2.96</v>
      </c>
      <c r="T25" s="12"/>
      <c r="U25" s="5" t="s">
        <v>64</v>
      </c>
      <c r="V25" s="11" t="s">
        <v>46</v>
      </c>
      <c r="W25" s="66">
        <v>2.89</v>
      </c>
      <c r="X25" s="67">
        <v>2.9249999999999998</v>
      </c>
      <c r="Y25" s="26">
        <f>($W$32*(X25-W25))+W25</f>
        <v>2.9122940994427107</v>
      </c>
    </row>
    <row r="26" spans="2:27" ht="16.2" thickBot="1" x14ac:dyDescent="0.35">
      <c r="C26" s="246"/>
      <c r="D26" s="248"/>
      <c r="E26" s="250"/>
      <c r="G26" s="13" t="s">
        <v>51</v>
      </c>
      <c r="H26" s="14">
        <v>3.64</v>
      </c>
      <c r="I26" s="46">
        <v>3.895</v>
      </c>
      <c r="J26" s="46">
        <v>4.1500000000000004</v>
      </c>
      <c r="K26" s="20">
        <v>4.3949999999999996</v>
      </c>
      <c r="L26" s="20">
        <v>4.63</v>
      </c>
      <c r="M26" s="74">
        <v>4.84</v>
      </c>
      <c r="N26" s="74">
        <v>4.9850000000000003</v>
      </c>
      <c r="O26" s="76">
        <v>5</v>
      </c>
      <c r="P26" s="5"/>
      <c r="Q26" s="11" t="s">
        <v>47</v>
      </c>
      <c r="R26" s="66">
        <v>3.0550000000000002</v>
      </c>
      <c r="S26" s="66">
        <v>3.0750000000000002</v>
      </c>
      <c r="T26" s="18"/>
      <c r="U26" s="5" t="s">
        <v>65</v>
      </c>
      <c r="V26" s="11" t="s">
        <v>47</v>
      </c>
      <c r="W26" s="66">
        <v>3.0350000000000001</v>
      </c>
      <c r="X26" s="67">
        <v>3.0550000000000002</v>
      </c>
      <c r="Y26" s="29">
        <f>($W$32*(X26-W26))+W26</f>
        <v>3.0477394853958351</v>
      </c>
    </row>
    <row r="27" spans="2:27" ht="16.2" thickBot="1" x14ac:dyDescent="0.35">
      <c r="B27" s="77"/>
      <c r="C27" s="44">
        <f>L13</f>
        <v>1.4001683129440297</v>
      </c>
      <c r="D27" s="78">
        <f>S13</f>
        <v>2.1867420635746009</v>
      </c>
      <c r="E27" s="73">
        <f>100*((D27-C27)/C27)</f>
        <v>56.177085523146943</v>
      </c>
      <c r="G27" s="15" t="s">
        <v>52</v>
      </c>
      <c r="H27" s="8">
        <v>3.5999999999999997E-2</v>
      </c>
      <c r="I27" s="65">
        <v>0.113</v>
      </c>
      <c r="J27" s="65">
        <v>0.21299999999999999</v>
      </c>
      <c r="K27" s="65">
        <v>0.33</v>
      </c>
      <c r="L27" s="65">
        <v>0.46</v>
      </c>
      <c r="M27" s="68">
        <v>0.60499999999999998</v>
      </c>
      <c r="N27" s="68">
        <v>0.76400000000000001</v>
      </c>
      <c r="O27" s="69">
        <v>0.93899999999999995</v>
      </c>
      <c r="P27" s="5"/>
      <c r="Q27" s="11" t="s">
        <v>48</v>
      </c>
      <c r="R27" s="66">
        <v>3.165</v>
      </c>
      <c r="S27" s="66">
        <v>3.19</v>
      </c>
      <c r="T27" s="27">
        <f>($R$32*(S27-R27))+R27</f>
        <v>3.1734762094086877</v>
      </c>
      <c r="U27" s="5" t="s">
        <v>66</v>
      </c>
      <c r="V27" s="11" t="s">
        <v>48</v>
      </c>
      <c r="W27" s="66">
        <v>3.14</v>
      </c>
      <c r="X27" s="67">
        <v>3.165</v>
      </c>
      <c r="Y27" s="12"/>
    </row>
    <row r="28" spans="2:27" ht="16.2" thickBot="1" x14ac:dyDescent="0.35">
      <c r="G28" s="15" t="s">
        <v>53</v>
      </c>
      <c r="H28" s="8">
        <v>31.7</v>
      </c>
      <c r="I28" s="65">
        <v>30.7</v>
      </c>
      <c r="J28" s="79">
        <v>29.7</v>
      </c>
      <c r="K28" s="65">
        <v>28.7</v>
      </c>
      <c r="L28" s="65">
        <v>27.7</v>
      </c>
      <c r="M28" s="95">
        <v>26.7</v>
      </c>
      <c r="N28" s="95">
        <v>25.7</v>
      </c>
      <c r="O28" s="69">
        <v>24.7</v>
      </c>
      <c r="P28" s="5"/>
      <c r="Q28" s="11" t="s">
        <v>49</v>
      </c>
      <c r="R28" s="66">
        <v>3.3250000000000002</v>
      </c>
      <c r="S28" s="66">
        <v>3.375</v>
      </c>
      <c r="T28" s="26">
        <f>($R$32*(S28-R28))+R28</f>
        <v>3.3419524188173755</v>
      </c>
      <c r="U28" s="5" t="s">
        <v>67</v>
      </c>
      <c r="V28" s="11" t="s">
        <v>49</v>
      </c>
      <c r="W28" s="66">
        <v>3.2850000000000001</v>
      </c>
      <c r="X28" s="67">
        <v>3.3250000000000002</v>
      </c>
      <c r="Y28" s="12"/>
    </row>
    <row r="29" spans="2:27" ht="16.2" thickBot="1" x14ac:dyDescent="0.35">
      <c r="B29" s="80"/>
      <c r="G29" s="16" t="s">
        <v>13</v>
      </c>
      <c r="H29" s="14">
        <v>1.4E-2</v>
      </c>
      <c r="I29" s="46">
        <v>4.4999999999999998E-2</v>
      </c>
      <c r="J29" s="19">
        <v>0.09</v>
      </c>
      <c r="K29" s="19">
        <v>0.14299999999999999</v>
      </c>
      <c r="L29" s="23">
        <v>0.20499999999999999</v>
      </c>
      <c r="M29" s="24">
        <v>0.26800000000000002</v>
      </c>
      <c r="N29" s="75">
        <v>0.33</v>
      </c>
      <c r="O29" s="76">
        <v>0.38700000000000001</v>
      </c>
      <c r="Q29" s="11" t="s">
        <v>50</v>
      </c>
      <c r="R29" s="66">
        <v>3.74</v>
      </c>
      <c r="S29" s="66">
        <v>3.915</v>
      </c>
      <c r="T29" s="26">
        <f>($R$32*(S29-R29))+R29</f>
        <v>3.7993334658608138</v>
      </c>
      <c r="U29" s="5" t="s">
        <v>68</v>
      </c>
      <c r="V29" s="11" t="s">
        <v>50</v>
      </c>
      <c r="W29" s="66">
        <v>3.61</v>
      </c>
      <c r="X29" s="67">
        <v>3.74</v>
      </c>
      <c r="Y29" s="12"/>
    </row>
    <row r="30" spans="2:27" ht="16.2" thickBot="1" x14ac:dyDescent="0.35">
      <c r="Q30" s="17" t="s">
        <v>51</v>
      </c>
      <c r="R30" s="20">
        <v>4.84</v>
      </c>
      <c r="S30" s="20">
        <v>4.9850000000000003</v>
      </c>
      <c r="T30" s="29">
        <f>($R$32*(S30-R30))+R30</f>
        <v>4.8891620145703882</v>
      </c>
      <c r="U30" s="5" t="s">
        <v>69</v>
      </c>
      <c r="V30" s="17" t="s">
        <v>51</v>
      </c>
      <c r="W30" s="66">
        <v>4.63</v>
      </c>
      <c r="X30" s="74">
        <v>4.84</v>
      </c>
      <c r="Y30" s="18"/>
    </row>
    <row r="31" spans="2:27" ht="16.2" thickTop="1" x14ac:dyDescent="0.3">
      <c r="R31" s="81" t="s">
        <v>70</v>
      </c>
      <c r="W31" s="82" t="s">
        <v>70</v>
      </c>
    </row>
    <row r="32" spans="2:27" ht="16.2" thickBot="1" x14ac:dyDescent="0.35">
      <c r="R32" s="83">
        <f>((T22-R22)/(S22-R22))</f>
        <v>0.33904837634750606</v>
      </c>
      <c r="W32" s="83">
        <f>((Y22-W22)/(X22-W22))</f>
        <v>0.63697426979173632</v>
      </c>
    </row>
    <row r="33" spans="1:25" ht="16.2" thickTop="1" x14ac:dyDescent="0.3"/>
    <row r="34" spans="1:25" s="1" customFormat="1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/>
      <c r="R34"/>
      <c r="S34"/>
      <c r="T34"/>
      <c r="U34"/>
      <c r="V34"/>
      <c r="W34"/>
      <c r="X34"/>
      <c r="Y34"/>
    </row>
    <row r="35" spans="1:25" x14ac:dyDescent="0.3">
      <c r="Q35" s="1"/>
      <c r="R35" t="s">
        <v>71</v>
      </c>
      <c r="W35" t="s">
        <v>71</v>
      </c>
      <c r="Y35" s="1"/>
    </row>
    <row r="36" spans="1:25" x14ac:dyDescent="0.3">
      <c r="R36" t="s">
        <v>75</v>
      </c>
      <c r="W36" t="s">
        <v>75</v>
      </c>
    </row>
    <row r="38" spans="1:25" x14ac:dyDescent="0.3">
      <c r="P38" s="5"/>
    </row>
    <row r="39" spans="1:25" x14ac:dyDescent="0.3">
      <c r="P39" s="5"/>
    </row>
    <row r="40" spans="1:25" x14ac:dyDescent="0.3">
      <c r="P40" s="5"/>
      <c r="Q40" s="5"/>
      <c r="R40" s="5"/>
      <c r="S40" s="5"/>
    </row>
    <row r="41" spans="1:25" x14ac:dyDescent="0.3">
      <c r="P41" s="5"/>
      <c r="Q41" s="5"/>
      <c r="R41" s="5"/>
      <c r="S41" s="5"/>
    </row>
    <row r="42" spans="1:25" x14ac:dyDescent="0.3">
      <c r="P42" s="5"/>
      <c r="Q42" s="5"/>
      <c r="R42" s="5"/>
      <c r="S42" s="5"/>
    </row>
    <row r="43" spans="1:25" x14ac:dyDescent="0.3">
      <c r="P43" s="5"/>
      <c r="Q43" s="5"/>
      <c r="R43" s="5"/>
      <c r="S43" s="5"/>
    </row>
    <row r="44" spans="1:25" x14ac:dyDescent="0.3">
      <c r="P44" s="5"/>
      <c r="Q44" s="5"/>
      <c r="R44" s="5"/>
      <c r="S44" s="5"/>
    </row>
  </sheetData>
  <mergeCells count="29">
    <mergeCell ref="C25:C26"/>
    <mergeCell ref="D25:D26"/>
    <mergeCell ref="E25:E26"/>
    <mergeCell ref="G16:O17"/>
    <mergeCell ref="Q16:T18"/>
    <mergeCell ref="V16:Y18"/>
    <mergeCell ref="H18:O18"/>
    <mergeCell ref="Q19:S20"/>
    <mergeCell ref="T19:T20"/>
    <mergeCell ref="V19:X20"/>
    <mergeCell ref="Y19:Y20"/>
    <mergeCell ref="S2:S3"/>
    <mergeCell ref="K13:K14"/>
    <mergeCell ref="L13:L14"/>
    <mergeCell ref="R13:R14"/>
    <mergeCell ref="S13:S14"/>
    <mergeCell ref="Q2:Q3"/>
    <mergeCell ref="R2:R3"/>
    <mergeCell ref="B14:E14"/>
    <mergeCell ref="M2:M3"/>
    <mergeCell ref="N2:N3"/>
    <mergeCell ref="O2:O3"/>
    <mergeCell ref="P2:P3"/>
    <mergeCell ref="B2:E2"/>
    <mergeCell ref="G2:G3"/>
    <mergeCell ref="H2:H3"/>
    <mergeCell ref="I2:I3"/>
    <mergeCell ref="J2:K2"/>
    <mergeCell ref="L2:L3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BDB0F-928A-9C44-A74B-3B54042B66EA}">
  <dimension ref="A1:AA44"/>
  <sheetViews>
    <sheetView topLeftCell="A7" zoomScale="112" zoomScaleNormal="150" zoomScalePageLayoutView="150" workbookViewId="0">
      <selection activeCell="D16" sqref="D16:D23"/>
    </sheetView>
  </sheetViews>
  <sheetFormatPr defaultColWidth="11.19921875" defaultRowHeight="15.6" x14ac:dyDescent="0.3"/>
  <cols>
    <col min="2" max="2" width="13.5" customWidth="1"/>
    <col min="3" max="3" width="14.19921875" customWidth="1"/>
    <col min="4" max="4" width="13.796875" customWidth="1"/>
    <col min="5" max="5" width="13.69921875" customWidth="1"/>
    <col min="6" max="6" width="11.69921875" customWidth="1"/>
    <col min="7" max="7" width="15.5" customWidth="1"/>
    <col min="8" max="8" width="14.5" bestFit="1" customWidth="1"/>
    <col min="9" max="9" width="11.796875" customWidth="1"/>
    <col min="10" max="10" width="14.296875" bestFit="1" customWidth="1"/>
    <col min="15" max="15" width="14.19921875" customWidth="1"/>
    <col min="19" max="19" width="11.796875" bestFit="1" customWidth="1"/>
    <col min="21" max="21" width="13.796875" customWidth="1"/>
    <col min="25" max="25" width="13.296875" customWidth="1"/>
    <col min="32" max="32" width="11.796875" bestFit="1" customWidth="1"/>
    <col min="33" max="33" width="11.296875" customWidth="1"/>
    <col min="34" max="34" width="12.19921875" customWidth="1"/>
    <col min="35" max="35" width="11.5" customWidth="1"/>
    <col min="36" max="36" width="12" customWidth="1"/>
    <col min="37" max="37" width="11.5" customWidth="1"/>
    <col min="38" max="38" width="11.296875" customWidth="1"/>
    <col min="39" max="39" width="10.19921875" customWidth="1"/>
    <col min="40" max="40" width="11.69921875" customWidth="1"/>
    <col min="41" max="41" width="10.69921875" customWidth="1"/>
    <col min="42" max="42" width="9.296875" customWidth="1"/>
    <col min="43" max="43" width="12.796875" bestFit="1" customWidth="1"/>
    <col min="44" max="44" width="16" bestFit="1" customWidth="1"/>
    <col min="50" max="50" width="11.5" bestFit="1" customWidth="1"/>
  </cols>
  <sheetData>
    <row r="1" spans="2:25" ht="16.2" thickBot="1" x14ac:dyDescent="0.35"/>
    <row r="2" spans="2:25" x14ac:dyDescent="0.3">
      <c r="B2" s="312" t="s">
        <v>0</v>
      </c>
      <c r="C2" s="313"/>
      <c r="D2" s="313"/>
      <c r="E2" s="314"/>
      <c r="G2" s="315" t="s">
        <v>28</v>
      </c>
      <c r="H2" s="317" t="s">
        <v>14</v>
      </c>
      <c r="I2" s="319" t="s">
        <v>29</v>
      </c>
      <c r="J2" s="321" t="s">
        <v>31</v>
      </c>
      <c r="K2" s="321"/>
      <c r="L2" s="308" t="s">
        <v>25</v>
      </c>
      <c r="M2" s="308" t="s">
        <v>26</v>
      </c>
      <c r="N2" s="310" t="s">
        <v>16</v>
      </c>
      <c r="O2" s="310" t="s">
        <v>17</v>
      </c>
      <c r="P2" s="308" t="s">
        <v>41</v>
      </c>
      <c r="Q2" s="308" t="s">
        <v>40</v>
      </c>
      <c r="R2" s="308" t="s">
        <v>12</v>
      </c>
      <c r="S2" s="295" t="s">
        <v>27</v>
      </c>
    </row>
    <row r="3" spans="2:25" x14ac:dyDescent="0.3">
      <c r="B3" s="40" t="s">
        <v>1</v>
      </c>
      <c r="C3" s="47" t="s">
        <v>2</v>
      </c>
      <c r="D3" s="47" t="s">
        <v>11</v>
      </c>
      <c r="E3" s="41" t="s">
        <v>76</v>
      </c>
      <c r="G3" s="316"/>
      <c r="H3" s="318"/>
      <c r="I3" s="320"/>
      <c r="J3" s="4" t="s">
        <v>15</v>
      </c>
      <c r="K3" s="4" t="s">
        <v>30</v>
      </c>
      <c r="L3" s="309"/>
      <c r="M3" s="309"/>
      <c r="N3" s="311"/>
      <c r="O3" s="311"/>
      <c r="P3" s="309"/>
      <c r="Q3" s="309"/>
      <c r="R3" s="309"/>
      <c r="S3" s="296"/>
    </row>
    <row r="4" spans="2:25" x14ac:dyDescent="0.3">
      <c r="B4" s="48" t="s">
        <v>3</v>
      </c>
      <c r="C4" s="51">
        <v>87555</v>
      </c>
      <c r="D4" s="51">
        <v>493</v>
      </c>
      <c r="E4" s="49">
        <v>85</v>
      </c>
      <c r="G4" s="30" t="s">
        <v>84</v>
      </c>
      <c r="H4" s="3">
        <v>12</v>
      </c>
      <c r="I4" s="52">
        <f>C4</f>
        <v>87555</v>
      </c>
      <c r="J4" s="53">
        <f>D4</f>
        <v>493</v>
      </c>
      <c r="K4" s="54">
        <f t="shared" ref="J4:K11" si="0">E4</f>
        <v>85</v>
      </c>
      <c r="L4" s="55">
        <f>K4/I4</f>
        <v>9.7081834275598194E-4</v>
      </c>
      <c r="M4" s="55">
        <f t="shared" ref="M4:M11" si="1">J4/I4</f>
        <v>5.6307463879846954E-3</v>
      </c>
      <c r="N4" s="55">
        <f>L4*H4</f>
        <v>1.1649820113071783E-2</v>
      </c>
      <c r="O4" s="55">
        <f>Y23</f>
        <v>1.5261923719824231</v>
      </c>
      <c r="P4" s="55">
        <f>(5*L3)+P3</f>
        <v>0</v>
      </c>
      <c r="Q4" s="55">
        <f>P4+O4*L4</f>
        <v>1.4816555492947971E-3</v>
      </c>
      <c r="R4" s="55">
        <f>M4/Q4</f>
        <v>3.8003072918430219</v>
      </c>
      <c r="S4" s="32">
        <f>$R$6*L4</f>
        <v>1.5721117881520971E-3</v>
      </c>
    </row>
    <row r="5" spans="2:25" x14ac:dyDescent="0.3">
      <c r="B5" s="48" t="s">
        <v>4</v>
      </c>
      <c r="C5" s="51">
        <v>93640</v>
      </c>
      <c r="D5" s="51">
        <v>13925</v>
      </c>
      <c r="E5" s="85">
        <v>3626</v>
      </c>
      <c r="G5" s="31" t="s">
        <v>18</v>
      </c>
      <c r="H5" s="50">
        <v>17</v>
      </c>
      <c r="I5" s="52">
        <f>C5</f>
        <v>93640</v>
      </c>
      <c r="J5" s="53">
        <f>D5</f>
        <v>13925</v>
      </c>
      <c r="K5" s="54">
        <f t="shared" si="0"/>
        <v>3626</v>
      </c>
      <c r="L5" s="55">
        <f>K5/I5</f>
        <v>3.8722768047842804E-2</v>
      </c>
      <c r="M5" s="55">
        <f t="shared" si="1"/>
        <v>0.14870781717214865</v>
      </c>
      <c r="N5" s="55">
        <f>L5*H5</f>
        <v>0.65828705681332766</v>
      </c>
      <c r="O5" s="55">
        <f>Y24</f>
        <v>2.4883610195678854</v>
      </c>
      <c r="P5" s="55">
        <v>0</v>
      </c>
      <c r="Q5" s="55">
        <f>P5+O5*L5</f>
        <v>9.6356226580020854E-2</v>
      </c>
      <c r="R5" s="55">
        <f>M5/Q5</f>
        <v>1.5433130006253557</v>
      </c>
      <c r="S5" s="32">
        <f>$R$6*L5</f>
        <v>6.2706396693201466E-2</v>
      </c>
    </row>
    <row r="6" spans="2:25" x14ac:dyDescent="0.3">
      <c r="B6" s="48" t="s">
        <v>5</v>
      </c>
      <c r="C6" s="51">
        <v>92221</v>
      </c>
      <c r="D6" s="51">
        <v>57265</v>
      </c>
      <c r="E6" s="85">
        <v>6018</v>
      </c>
      <c r="G6" s="31" t="s">
        <v>19</v>
      </c>
      <c r="H6" s="50">
        <v>22</v>
      </c>
      <c r="I6" s="53">
        <f t="shared" ref="I6:I11" si="2">C6</f>
        <v>92221</v>
      </c>
      <c r="J6" s="53">
        <f t="shared" si="0"/>
        <v>57265</v>
      </c>
      <c r="K6" s="54">
        <f t="shared" si="0"/>
        <v>6018</v>
      </c>
      <c r="L6" s="55">
        <f t="shared" ref="L6:L11" si="3">K6/I6</f>
        <v>6.5256286529098581E-2</v>
      </c>
      <c r="M6" s="55">
        <f t="shared" si="1"/>
        <v>0.62095401264354111</v>
      </c>
      <c r="N6" s="55">
        <f t="shared" ref="N6:N11" si="4">L6*H6</f>
        <v>1.4356383036401688</v>
      </c>
      <c r="O6" s="55">
        <f>Y25</f>
        <v>2.9091571214473908</v>
      </c>
      <c r="P6" s="55">
        <f>(5*L5)+P5</f>
        <v>0.19361384023921402</v>
      </c>
      <c r="Q6" s="55">
        <f t="shared" ref="Q6:Q11" si="5">P6+O6*L6</f>
        <v>0.38345463091455256</v>
      </c>
      <c r="R6" s="55">
        <f>M6/Q6</f>
        <v>1.6193676189606689</v>
      </c>
      <c r="S6" s="32">
        <f t="shared" ref="S6:S11" si="6">$R$6*L6</f>
        <v>0.10567391733884154</v>
      </c>
    </row>
    <row r="7" spans="2:25" x14ac:dyDescent="0.3">
      <c r="B7" s="48" t="s">
        <v>6</v>
      </c>
      <c r="C7" s="51">
        <v>87837</v>
      </c>
      <c r="D7" s="51">
        <v>102613</v>
      </c>
      <c r="E7" s="85">
        <v>5408</v>
      </c>
      <c r="G7" s="31" t="s">
        <v>20</v>
      </c>
      <c r="H7" s="50">
        <v>27</v>
      </c>
      <c r="I7" s="53">
        <f t="shared" si="2"/>
        <v>87837</v>
      </c>
      <c r="J7" s="53">
        <f t="shared" si="0"/>
        <v>102613</v>
      </c>
      <c r="K7" s="54">
        <f t="shared" si="0"/>
        <v>5408</v>
      </c>
      <c r="L7" s="55">
        <f t="shared" si="3"/>
        <v>6.1568587269601648E-2</v>
      </c>
      <c r="M7" s="55">
        <f t="shared" si="1"/>
        <v>1.1682206814895773</v>
      </c>
      <c r="N7" s="55">
        <f t="shared" si="4"/>
        <v>1.6623518562792445</v>
      </c>
      <c r="O7" s="55">
        <f>Y26</f>
        <v>3.0459469265413666</v>
      </c>
      <c r="P7" s="55">
        <f>(5*L6)+P6</f>
        <v>0.51989527288470694</v>
      </c>
      <c r="Q7" s="55">
        <f t="shared" si="5"/>
        <v>0.70742992205004396</v>
      </c>
      <c r="R7" s="55">
        <f t="shared" ref="R7:R10" si="7">M7/Q7</f>
        <v>1.6513588767976042</v>
      </c>
      <c r="S7" s="32">
        <f t="shared" si="6"/>
        <v>9.9702176569546969E-2</v>
      </c>
    </row>
    <row r="8" spans="2:25" x14ac:dyDescent="0.3">
      <c r="B8" s="48" t="s">
        <v>7</v>
      </c>
      <c r="C8" s="51">
        <v>80481</v>
      </c>
      <c r="D8" s="51">
        <v>139074</v>
      </c>
      <c r="E8" s="85">
        <v>3613</v>
      </c>
      <c r="G8" s="31" t="s">
        <v>21</v>
      </c>
      <c r="H8" s="50">
        <v>32</v>
      </c>
      <c r="I8" s="53">
        <f t="shared" si="2"/>
        <v>80481</v>
      </c>
      <c r="J8" s="53">
        <f t="shared" si="0"/>
        <v>139074</v>
      </c>
      <c r="K8" s="54">
        <f t="shared" si="0"/>
        <v>3613</v>
      </c>
      <c r="L8" s="55">
        <f t="shared" si="3"/>
        <v>4.4892583342652302E-2</v>
      </c>
      <c r="M8" s="55">
        <f t="shared" si="1"/>
        <v>1.7280351884295673</v>
      </c>
      <c r="N8" s="55">
        <f t="shared" si="4"/>
        <v>1.4365626669648737</v>
      </c>
      <c r="O8" s="55">
        <f>T27</f>
        <v>3.1667070849825163</v>
      </c>
      <c r="P8" s="55">
        <f t="shared" ref="P8:P10" si="8">(5*L7)+P7</f>
        <v>0.82773820923271524</v>
      </c>
      <c r="Q8" s="55">
        <f t="shared" si="5"/>
        <v>0.96989987096706032</v>
      </c>
      <c r="R8" s="55">
        <f t="shared" si="7"/>
        <v>1.7816634893523506</v>
      </c>
      <c r="S8" s="32">
        <f t="shared" si="6"/>
        <v>7.2697595796584247E-2</v>
      </c>
    </row>
    <row r="9" spans="2:25" x14ac:dyDescent="0.3">
      <c r="B9" s="48" t="s">
        <v>8</v>
      </c>
      <c r="C9" s="51">
        <v>76566</v>
      </c>
      <c r="D9" s="51">
        <v>161544</v>
      </c>
      <c r="E9" s="85">
        <v>2007</v>
      </c>
      <c r="G9" s="31" t="s">
        <v>22</v>
      </c>
      <c r="H9" s="50">
        <v>37</v>
      </c>
      <c r="I9" s="53">
        <f t="shared" si="2"/>
        <v>76566</v>
      </c>
      <c r="J9" s="53">
        <f t="shared" si="0"/>
        <v>161544</v>
      </c>
      <c r="K9" s="54">
        <f t="shared" si="0"/>
        <v>2007</v>
      </c>
      <c r="L9" s="55">
        <f t="shared" si="3"/>
        <v>2.6212679257111512E-2</v>
      </c>
      <c r="M9" s="55">
        <f t="shared" si="1"/>
        <v>2.109865997962542</v>
      </c>
      <c r="N9" s="55">
        <f t="shared" si="4"/>
        <v>0.9698691325131259</v>
      </c>
      <c r="O9" s="55">
        <f>T28</f>
        <v>3.3277313359720266</v>
      </c>
      <c r="P9" s="55">
        <f t="shared" si="8"/>
        <v>1.0522011259459767</v>
      </c>
      <c r="Q9" s="55">
        <f t="shared" si="5"/>
        <v>1.1394298801096507</v>
      </c>
      <c r="R9" s="55">
        <f t="shared" si="7"/>
        <v>1.8516856849141987</v>
      </c>
      <c r="S9" s="32">
        <f t="shared" si="6"/>
        <v>4.2447963995168383E-2</v>
      </c>
    </row>
    <row r="10" spans="2:25" x14ac:dyDescent="0.3">
      <c r="B10" s="48" t="s">
        <v>9</v>
      </c>
      <c r="C10" s="51">
        <v>65763</v>
      </c>
      <c r="D10" s="51">
        <v>163177</v>
      </c>
      <c r="E10" s="85">
        <v>566</v>
      </c>
      <c r="G10" s="31" t="s">
        <v>23</v>
      </c>
      <c r="H10" s="50">
        <v>42</v>
      </c>
      <c r="I10" s="53">
        <f t="shared" si="2"/>
        <v>65763</v>
      </c>
      <c r="J10" s="53">
        <f t="shared" si="0"/>
        <v>163177</v>
      </c>
      <c r="K10" s="54">
        <f t="shared" si="0"/>
        <v>566</v>
      </c>
      <c r="L10" s="55">
        <f t="shared" si="3"/>
        <v>8.6066633213205002E-3</v>
      </c>
      <c r="M10" s="55">
        <f t="shared" si="1"/>
        <v>2.4812888706415461</v>
      </c>
      <c r="N10" s="55">
        <f t="shared" si="4"/>
        <v>0.36147985949546102</v>
      </c>
      <c r="O10" s="55">
        <f>T29</f>
        <v>3.7488768419090857</v>
      </c>
      <c r="P10" s="55">
        <f t="shared" si="8"/>
        <v>1.1832645222315343</v>
      </c>
      <c r="Q10" s="55">
        <f t="shared" si="5"/>
        <v>1.2155298430429411</v>
      </c>
      <c r="R10" s="55">
        <f t="shared" si="7"/>
        <v>2.0413228723615053</v>
      </c>
      <c r="S10" s="32">
        <f t="shared" si="6"/>
        <v>1.3937351889842901E-2</v>
      </c>
    </row>
    <row r="11" spans="2:25" ht="16.2" thickBot="1" x14ac:dyDescent="0.35">
      <c r="B11" s="56" t="s">
        <v>10</v>
      </c>
      <c r="C11" s="51">
        <v>61952</v>
      </c>
      <c r="D11" s="86">
        <v>166987</v>
      </c>
      <c r="E11" s="87">
        <v>66</v>
      </c>
      <c r="G11" s="33" t="s">
        <v>24</v>
      </c>
      <c r="H11" s="34">
        <v>47</v>
      </c>
      <c r="I11" s="35">
        <f t="shared" si="2"/>
        <v>61952</v>
      </c>
      <c r="J11" s="35">
        <f t="shared" si="0"/>
        <v>166987</v>
      </c>
      <c r="K11" s="57">
        <f t="shared" si="0"/>
        <v>66</v>
      </c>
      <c r="L11" s="36">
        <f t="shared" si="3"/>
        <v>1.065340909090909E-3</v>
      </c>
      <c r="M11" s="36">
        <f t="shared" si="1"/>
        <v>2.6954254907024793</v>
      </c>
      <c r="N11" s="36">
        <f t="shared" si="4"/>
        <v>5.0071022727272721E-2</v>
      </c>
      <c r="O11" s="36">
        <f>T30</f>
        <v>4.8543395138531382</v>
      </c>
      <c r="P11" s="36">
        <f>(5*L10)+P10</f>
        <v>1.2262978388381369</v>
      </c>
      <c r="Q11" s="36">
        <f t="shared" si="5"/>
        <v>1.2314693653088611</v>
      </c>
      <c r="R11" s="36">
        <f>M11/Q11</f>
        <v>2.1887880987006509</v>
      </c>
      <c r="S11" s="37">
        <f t="shared" si="6"/>
        <v>1.7251785713359399E-3</v>
      </c>
    </row>
    <row r="12" spans="2:25" ht="16.2" thickBot="1" x14ac:dyDescent="0.35">
      <c r="C12" s="84"/>
      <c r="L12" s="27">
        <f>SUM(L4:L11)</f>
        <v>0.24729572701947428</v>
      </c>
      <c r="M12" s="58"/>
      <c r="N12" s="45">
        <f>SUM(N4:N11)</f>
        <v>6.5859097185465458</v>
      </c>
      <c r="O12" s="53"/>
      <c r="P12" s="59"/>
      <c r="Q12" s="59"/>
      <c r="R12" s="59"/>
      <c r="S12" s="60">
        <f>SUM(S5:S11)</f>
        <v>0.39889058085452139</v>
      </c>
    </row>
    <row r="13" spans="2:25" ht="16.2" thickBot="1" x14ac:dyDescent="0.35">
      <c r="K13" s="297" t="s">
        <v>32</v>
      </c>
      <c r="L13" s="299">
        <f>5*L12</f>
        <v>1.2364786350973713</v>
      </c>
      <c r="M13" s="59"/>
      <c r="N13" s="59"/>
      <c r="O13" s="59"/>
      <c r="P13" s="59"/>
      <c r="Q13" s="59"/>
      <c r="R13" s="301" t="s">
        <v>42</v>
      </c>
      <c r="S13" s="303">
        <f>5*S12</f>
        <v>1.9944529042726069</v>
      </c>
    </row>
    <row r="14" spans="2:25" ht="16.2" thickBot="1" x14ac:dyDescent="0.35">
      <c r="B14" s="305" t="s">
        <v>33</v>
      </c>
      <c r="C14" s="306"/>
      <c r="D14" s="306"/>
      <c r="E14" s="307"/>
      <c r="K14" s="298"/>
      <c r="L14" s="300"/>
      <c r="M14" s="59"/>
      <c r="N14" s="59"/>
      <c r="O14" s="59"/>
      <c r="P14" s="59"/>
      <c r="Q14" s="59"/>
      <c r="R14" s="302"/>
      <c r="S14" s="304"/>
    </row>
    <row r="15" spans="2:25" ht="63" thickBot="1" x14ac:dyDescent="0.35">
      <c r="B15" s="42" t="s">
        <v>1</v>
      </c>
      <c r="C15" s="2" t="s">
        <v>37</v>
      </c>
      <c r="D15" s="2" t="s">
        <v>34</v>
      </c>
      <c r="E15" s="43" t="s">
        <v>36</v>
      </c>
      <c r="R15" s="38" t="s">
        <v>62</v>
      </c>
      <c r="S15" s="61">
        <f>N12/L12</f>
        <v>26.631716600699342</v>
      </c>
      <c r="W15" s="39" t="s">
        <v>13</v>
      </c>
      <c r="X15" s="62">
        <f>M5/M6</f>
        <v>0.23948281860530377</v>
      </c>
    </row>
    <row r="16" spans="2:25" x14ac:dyDescent="0.3">
      <c r="B16" s="48" t="s">
        <v>3</v>
      </c>
      <c r="C16" s="63">
        <f>L4</f>
        <v>9.7081834275598194E-4</v>
      </c>
      <c r="D16" s="63">
        <f t="shared" ref="D16" si="9">S4</f>
        <v>1.5721117881520971E-3</v>
      </c>
      <c r="E16" s="64">
        <f>100*((D16-C16)/C16)</f>
        <v>61.936761896066905</v>
      </c>
      <c r="G16" s="256" t="s">
        <v>61</v>
      </c>
      <c r="H16" s="257"/>
      <c r="I16" s="257"/>
      <c r="J16" s="257"/>
      <c r="K16" s="257"/>
      <c r="L16" s="257"/>
      <c r="M16" s="257"/>
      <c r="N16" s="257"/>
      <c r="O16" s="258"/>
      <c r="P16" s="5"/>
      <c r="Q16" s="262" t="s">
        <v>56</v>
      </c>
      <c r="R16" s="263"/>
      <c r="S16" s="263"/>
      <c r="T16" s="264"/>
      <c r="U16" s="5"/>
      <c r="V16" s="271" t="s">
        <v>59</v>
      </c>
      <c r="W16" s="272"/>
      <c r="X16" s="272"/>
      <c r="Y16" s="273"/>
    </row>
    <row r="17" spans="2:27" ht="16.2" thickBot="1" x14ac:dyDescent="0.35">
      <c r="B17" s="48" t="s">
        <v>4</v>
      </c>
      <c r="C17" s="63">
        <f>L5</f>
        <v>3.8722768047842804E-2</v>
      </c>
      <c r="D17" s="63">
        <f t="shared" ref="D17:D23" si="10">S5</f>
        <v>6.2706396693201466E-2</v>
      </c>
      <c r="E17" s="64">
        <f>100*((D17-C17)/C17)</f>
        <v>61.936761896066884</v>
      </c>
      <c r="G17" s="259"/>
      <c r="H17" s="260"/>
      <c r="I17" s="260"/>
      <c r="J17" s="260"/>
      <c r="K17" s="260"/>
      <c r="L17" s="260"/>
      <c r="M17" s="260"/>
      <c r="N17" s="260"/>
      <c r="O17" s="261"/>
      <c r="P17" s="5"/>
      <c r="Q17" s="265"/>
      <c r="R17" s="266"/>
      <c r="S17" s="266"/>
      <c r="T17" s="267"/>
      <c r="U17" s="5"/>
      <c r="V17" s="274"/>
      <c r="W17" s="275"/>
      <c r="X17" s="275"/>
      <c r="Y17" s="276"/>
    </row>
    <row r="18" spans="2:27" ht="16.2" thickBot="1" x14ac:dyDescent="0.35">
      <c r="B18" s="48" t="s">
        <v>5</v>
      </c>
      <c r="C18" s="63">
        <f t="shared" ref="C18:C23" si="11">L6</f>
        <v>6.5256286529098581E-2</v>
      </c>
      <c r="D18" s="63">
        <f t="shared" si="10"/>
        <v>0.10567391733884154</v>
      </c>
      <c r="E18" s="64">
        <f t="shared" ref="E18:E23" si="12">100*((D18-C18)/C18)</f>
        <v>61.936761896066898</v>
      </c>
      <c r="G18" s="6" t="s">
        <v>54</v>
      </c>
      <c r="H18" s="280" t="s">
        <v>55</v>
      </c>
      <c r="I18" s="281"/>
      <c r="J18" s="281"/>
      <c r="K18" s="281"/>
      <c r="L18" s="281"/>
      <c r="M18" s="281"/>
      <c r="N18" s="281"/>
      <c r="O18" s="282"/>
      <c r="P18" s="5"/>
      <c r="Q18" s="268"/>
      <c r="R18" s="269"/>
      <c r="S18" s="269"/>
      <c r="T18" s="270"/>
      <c r="U18" s="5"/>
      <c r="V18" s="277"/>
      <c r="W18" s="278"/>
      <c r="X18" s="278"/>
      <c r="Y18" s="279"/>
    </row>
    <row r="19" spans="2:27" x14ac:dyDescent="0.3">
      <c r="B19" s="48" t="s">
        <v>6</v>
      </c>
      <c r="C19" s="63">
        <f t="shared" si="11"/>
        <v>6.1568587269601648E-2</v>
      </c>
      <c r="D19" s="63">
        <f t="shared" si="10"/>
        <v>9.9702176569546969E-2</v>
      </c>
      <c r="E19" s="64">
        <f t="shared" si="12"/>
        <v>61.936761896066884</v>
      </c>
      <c r="G19" s="102" t="s">
        <v>3</v>
      </c>
      <c r="H19" s="103">
        <v>-1.7435</v>
      </c>
      <c r="I19" s="79">
        <v>-1.0257000000000001</v>
      </c>
      <c r="J19" s="79">
        <v>-0.30780000000000002</v>
      </c>
      <c r="K19" s="79">
        <v>0.40860000000000002</v>
      </c>
      <c r="L19" s="108">
        <v>1.1286</v>
      </c>
      <c r="M19" s="108">
        <v>1.855</v>
      </c>
      <c r="N19" s="79">
        <v>2.5486</v>
      </c>
      <c r="O19" s="104">
        <v>3.2879</v>
      </c>
      <c r="P19" s="5"/>
      <c r="Q19" s="283" t="s">
        <v>57</v>
      </c>
      <c r="R19" s="284"/>
      <c r="S19" s="285"/>
      <c r="T19" s="289" t="s">
        <v>58</v>
      </c>
      <c r="U19" s="5"/>
      <c r="V19" s="291" t="s">
        <v>60</v>
      </c>
      <c r="W19" s="292"/>
      <c r="X19" s="292"/>
      <c r="Y19" s="293" t="s">
        <v>45</v>
      </c>
    </row>
    <row r="20" spans="2:27" ht="16.2" thickBot="1" x14ac:dyDescent="0.35">
      <c r="B20" s="48" t="s">
        <v>7</v>
      </c>
      <c r="C20" s="63">
        <f t="shared" si="11"/>
        <v>4.4892583342652302E-2</v>
      </c>
      <c r="D20" s="63">
        <f t="shared" si="10"/>
        <v>7.2697595796584247E-2</v>
      </c>
      <c r="E20" s="64">
        <f>100*((D20-C20)/C20)</f>
        <v>61.936761896066898</v>
      </c>
      <c r="G20" s="7" t="s">
        <v>44</v>
      </c>
      <c r="H20" s="8">
        <v>1.1200000000000001</v>
      </c>
      <c r="I20" s="65">
        <v>1.31</v>
      </c>
      <c r="J20" s="65">
        <v>1.615</v>
      </c>
      <c r="K20" s="66">
        <v>1.95</v>
      </c>
      <c r="L20" s="66">
        <v>2.3050000000000002</v>
      </c>
      <c r="M20" s="67">
        <v>2.64</v>
      </c>
      <c r="N20" s="68">
        <v>2.9249999999999998</v>
      </c>
      <c r="O20" s="69">
        <v>3.17</v>
      </c>
      <c r="P20" s="5"/>
      <c r="Q20" s="286"/>
      <c r="R20" s="287"/>
      <c r="S20" s="288"/>
      <c r="T20" s="290"/>
      <c r="U20" s="5"/>
      <c r="V20" s="286"/>
      <c r="W20" s="287"/>
      <c r="X20" s="287"/>
      <c r="Y20" s="294"/>
    </row>
    <row r="21" spans="2:27" ht="16.2" thickBot="1" x14ac:dyDescent="0.35">
      <c r="B21" s="48" t="s">
        <v>8</v>
      </c>
      <c r="C21" s="63">
        <f t="shared" si="11"/>
        <v>2.6212679257111512E-2</v>
      </c>
      <c r="D21" s="63">
        <f t="shared" si="10"/>
        <v>4.2447963995168383E-2</v>
      </c>
      <c r="E21" s="64">
        <f t="shared" si="12"/>
        <v>61.936761896066884</v>
      </c>
      <c r="G21" s="7" t="s">
        <v>46</v>
      </c>
      <c r="H21" s="8">
        <v>2.5550000000000002</v>
      </c>
      <c r="I21" s="65">
        <v>2.69</v>
      </c>
      <c r="J21" s="65">
        <v>2.78</v>
      </c>
      <c r="K21" s="66">
        <v>2.84</v>
      </c>
      <c r="L21" s="66">
        <v>2.89</v>
      </c>
      <c r="M21" s="67">
        <v>2.9249999999999998</v>
      </c>
      <c r="N21" s="68">
        <v>2.96</v>
      </c>
      <c r="O21" s="69">
        <v>2.9849999999999999</v>
      </c>
      <c r="P21" s="9"/>
      <c r="Q21" s="99"/>
      <c r="R21" s="100" t="s">
        <v>72</v>
      </c>
      <c r="S21" s="101" t="s">
        <v>73</v>
      </c>
      <c r="T21" s="28" t="s">
        <v>74</v>
      </c>
      <c r="U21" s="9"/>
      <c r="V21" s="99"/>
      <c r="W21" s="100" t="s">
        <v>72</v>
      </c>
      <c r="X21" s="101" t="s">
        <v>73</v>
      </c>
      <c r="Y21" s="28" t="s">
        <v>74</v>
      </c>
    </row>
    <row r="22" spans="2:27" ht="16.2" thickBot="1" x14ac:dyDescent="0.35">
      <c r="B22" s="48" t="s">
        <v>9</v>
      </c>
      <c r="C22" s="63">
        <f t="shared" si="11"/>
        <v>8.6066633213205002E-3</v>
      </c>
      <c r="D22" s="63">
        <f t="shared" si="10"/>
        <v>1.3937351889842901E-2</v>
      </c>
      <c r="E22" s="64">
        <f t="shared" si="12"/>
        <v>61.936761896066898</v>
      </c>
      <c r="G22" s="7" t="s">
        <v>47</v>
      </c>
      <c r="H22" s="8">
        <v>2.9249999999999998</v>
      </c>
      <c r="I22" s="65">
        <v>2.96</v>
      </c>
      <c r="J22" s="65">
        <v>2.9849999999999999</v>
      </c>
      <c r="K22" s="66">
        <v>3.01</v>
      </c>
      <c r="L22" s="66">
        <v>3.0350000000000001</v>
      </c>
      <c r="M22" s="67">
        <v>3.0550000000000002</v>
      </c>
      <c r="N22" s="68">
        <v>3.0750000000000002</v>
      </c>
      <c r="O22" s="69">
        <v>3.0950000000000002</v>
      </c>
      <c r="P22" s="5"/>
      <c r="Q22" s="10" t="s">
        <v>43</v>
      </c>
      <c r="R22" s="70">
        <v>27.7</v>
      </c>
      <c r="S22" s="95">
        <v>26.7</v>
      </c>
      <c r="T22" s="105">
        <f>S15</f>
        <v>26.631716600699342</v>
      </c>
      <c r="V22" s="10" t="s">
        <v>43</v>
      </c>
      <c r="W22" s="21">
        <v>0.20499999999999999</v>
      </c>
      <c r="X22" s="22">
        <v>0.26800000000000002</v>
      </c>
      <c r="Y22" s="25">
        <f>X15</f>
        <v>0.23948281860530377</v>
      </c>
      <c r="AA22" s="71"/>
    </row>
    <row r="23" spans="2:27" ht="16.2" thickBot="1" x14ac:dyDescent="0.35">
      <c r="B23" s="56" t="s">
        <v>10</v>
      </c>
      <c r="C23" s="72">
        <f t="shared" si="11"/>
        <v>1.065340909090909E-3</v>
      </c>
      <c r="D23" s="72">
        <f t="shared" si="10"/>
        <v>1.7251785713359399E-3</v>
      </c>
      <c r="E23" s="73">
        <f t="shared" si="12"/>
        <v>61.936761896066905</v>
      </c>
      <c r="G23" s="7" t="s">
        <v>48</v>
      </c>
      <c r="H23" s="8">
        <v>3.0550000000000002</v>
      </c>
      <c r="I23" s="65">
        <v>3.0750000000000002</v>
      </c>
      <c r="J23" s="65">
        <v>3.0950000000000002</v>
      </c>
      <c r="K23" s="66">
        <v>3.12</v>
      </c>
      <c r="L23" s="66">
        <v>3.14</v>
      </c>
      <c r="M23" s="67">
        <v>3.165</v>
      </c>
      <c r="N23" s="68">
        <v>3.19</v>
      </c>
      <c r="O23" s="69">
        <v>3.2149999999999999</v>
      </c>
      <c r="P23" s="5"/>
      <c r="Q23" s="107" t="s">
        <v>3</v>
      </c>
      <c r="R23" s="66">
        <v>1.1286</v>
      </c>
      <c r="S23" s="66">
        <v>1.855</v>
      </c>
      <c r="T23" s="106"/>
      <c r="V23" s="107" t="s">
        <v>3</v>
      </c>
      <c r="W23" s="108">
        <v>1.1286</v>
      </c>
      <c r="X23" s="108">
        <v>1.855</v>
      </c>
      <c r="Y23" s="26">
        <f>($W$32*(X23-W23))+W23</f>
        <v>1.5261923719824231</v>
      </c>
    </row>
    <row r="24" spans="2:27" ht="16.2" thickBot="1" x14ac:dyDescent="0.35">
      <c r="G24" s="7" t="s">
        <v>49</v>
      </c>
      <c r="H24" s="8">
        <v>3.165</v>
      </c>
      <c r="I24" s="65">
        <v>3.19</v>
      </c>
      <c r="J24" s="65">
        <v>3.2149999999999999</v>
      </c>
      <c r="K24" s="66">
        <v>3.2450000000000001</v>
      </c>
      <c r="L24" s="66">
        <v>3.2850000000000001</v>
      </c>
      <c r="M24" s="67">
        <v>3.3250000000000002</v>
      </c>
      <c r="N24" s="68">
        <v>3.375</v>
      </c>
      <c r="O24" s="69">
        <v>3.4350000000000001</v>
      </c>
      <c r="P24" s="5"/>
      <c r="Q24" s="11" t="s">
        <v>44</v>
      </c>
      <c r="R24" s="66">
        <v>2.3050000000000002</v>
      </c>
      <c r="S24" s="66">
        <v>2.64</v>
      </c>
      <c r="T24" s="12"/>
      <c r="U24" s="5" t="s">
        <v>63</v>
      </c>
      <c r="V24" s="11" t="s">
        <v>44</v>
      </c>
      <c r="W24" s="66">
        <v>2.3050000000000002</v>
      </c>
      <c r="X24" s="67">
        <v>2.64</v>
      </c>
      <c r="Y24" s="26">
        <f>($W$32*(X24-W24))+W24</f>
        <v>2.4883610195678854</v>
      </c>
    </row>
    <row r="25" spans="2:27" ht="16.2" thickBot="1" x14ac:dyDescent="0.35">
      <c r="C25" s="245" t="s">
        <v>32</v>
      </c>
      <c r="D25" s="247" t="s">
        <v>35</v>
      </c>
      <c r="E25" s="249" t="s">
        <v>36</v>
      </c>
      <c r="G25" s="7" t="s">
        <v>50</v>
      </c>
      <c r="H25" s="8">
        <v>3.3250000000000002</v>
      </c>
      <c r="I25" s="65">
        <v>3.375</v>
      </c>
      <c r="J25" s="65">
        <v>3.4350000000000001</v>
      </c>
      <c r="K25" s="66">
        <v>3.51</v>
      </c>
      <c r="L25" s="66">
        <v>3.61</v>
      </c>
      <c r="M25" s="67">
        <v>3.74</v>
      </c>
      <c r="N25" s="68">
        <v>3.915</v>
      </c>
      <c r="O25" s="69">
        <v>4.1500000000000004</v>
      </c>
      <c r="P25" s="5"/>
      <c r="Q25" s="11" t="s">
        <v>46</v>
      </c>
      <c r="R25" s="66">
        <v>2.89</v>
      </c>
      <c r="S25" s="66">
        <v>2.9249999999999998</v>
      </c>
      <c r="T25" s="12"/>
      <c r="U25" s="5" t="s">
        <v>64</v>
      </c>
      <c r="V25" s="11" t="s">
        <v>46</v>
      </c>
      <c r="W25" s="66">
        <v>2.89</v>
      </c>
      <c r="X25" s="67">
        <v>2.9249999999999998</v>
      </c>
      <c r="Y25" s="26">
        <f>($W$32*(X25-W25))+W25</f>
        <v>2.9091571214473908</v>
      </c>
    </row>
    <row r="26" spans="2:27" ht="16.2" thickBot="1" x14ac:dyDescent="0.35">
      <c r="C26" s="246"/>
      <c r="D26" s="248"/>
      <c r="E26" s="250"/>
      <c r="G26" s="13" t="s">
        <v>51</v>
      </c>
      <c r="H26" s="14">
        <v>3.64</v>
      </c>
      <c r="I26" s="46">
        <v>3.895</v>
      </c>
      <c r="J26" s="46">
        <v>4.1500000000000004</v>
      </c>
      <c r="K26" s="20">
        <v>4.3949999999999996</v>
      </c>
      <c r="L26" s="20">
        <v>4.63</v>
      </c>
      <c r="M26" s="74">
        <v>4.84</v>
      </c>
      <c r="N26" s="75">
        <v>4.9850000000000003</v>
      </c>
      <c r="O26" s="76">
        <v>5</v>
      </c>
      <c r="P26" s="5"/>
      <c r="Q26" s="11" t="s">
        <v>47</v>
      </c>
      <c r="R26" s="66">
        <v>3.0350000000000001</v>
      </c>
      <c r="S26" s="66">
        <v>3.0550000000000002</v>
      </c>
      <c r="T26" s="18"/>
      <c r="U26" s="5" t="s">
        <v>65</v>
      </c>
      <c r="V26" s="11" t="s">
        <v>47</v>
      </c>
      <c r="W26" s="66">
        <v>3.0350000000000001</v>
      </c>
      <c r="X26" s="67">
        <v>3.0550000000000002</v>
      </c>
      <c r="Y26" s="29">
        <f>($W$32*(X26-W26))+W26</f>
        <v>3.0459469265413666</v>
      </c>
    </row>
    <row r="27" spans="2:27" ht="16.2" thickBot="1" x14ac:dyDescent="0.35">
      <c r="B27" s="77"/>
      <c r="C27" s="44">
        <f>L13</f>
        <v>1.2364786350973713</v>
      </c>
      <c r="D27" s="78">
        <f>S13</f>
        <v>1.9944529042726069</v>
      </c>
      <c r="E27" s="73">
        <f>100*((D27-C27)/C27)</f>
        <v>61.301040524290649</v>
      </c>
      <c r="G27" s="15" t="s">
        <v>52</v>
      </c>
      <c r="H27" s="8">
        <v>3.5999999999999997E-2</v>
      </c>
      <c r="I27" s="65">
        <v>0.113</v>
      </c>
      <c r="J27" s="65">
        <v>0.21299999999999999</v>
      </c>
      <c r="K27" s="65">
        <v>0.33</v>
      </c>
      <c r="L27" s="65">
        <v>0.46</v>
      </c>
      <c r="M27" s="68">
        <v>0.60499999999999998</v>
      </c>
      <c r="N27" s="68">
        <v>0.76400000000000001</v>
      </c>
      <c r="O27" s="69">
        <v>0.93899999999999995</v>
      </c>
      <c r="P27" s="5"/>
      <c r="Q27" s="11" t="s">
        <v>48</v>
      </c>
      <c r="R27" s="66">
        <v>3.14</v>
      </c>
      <c r="S27" s="66">
        <v>3.165</v>
      </c>
      <c r="T27" s="27">
        <f>($R$32*(S27-R27))+R27</f>
        <v>3.1667070849825163</v>
      </c>
      <c r="U27" s="5" t="s">
        <v>66</v>
      </c>
      <c r="V27" s="11" t="s">
        <v>48</v>
      </c>
      <c r="W27" s="66">
        <v>3.14</v>
      </c>
      <c r="X27" s="67">
        <v>3.165</v>
      </c>
      <c r="Y27" s="12"/>
    </row>
    <row r="28" spans="2:27" ht="16.2" thickBot="1" x14ac:dyDescent="0.35">
      <c r="G28" s="15" t="s">
        <v>53</v>
      </c>
      <c r="H28" s="8">
        <v>31.7</v>
      </c>
      <c r="I28" s="65">
        <v>30.7</v>
      </c>
      <c r="J28" s="79">
        <v>29.7</v>
      </c>
      <c r="K28" s="65">
        <v>28.7</v>
      </c>
      <c r="L28" s="70">
        <v>27.7</v>
      </c>
      <c r="M28" s="95">
        <v>26.7</v>
      </c>
      <c r="N28" s="68">
        <v>25.7</v>
      </c>
      <c r="O28" s="69">
        <v>24.7</v>
      </c>
      <c r="P28" s="5"/>
      <c r="Q28" s="11" t="s">
        <v>49</v>
      </c>
      <c r="R28" s="66">
        <v>3.2850000000000001</v>
      </c>
      <c r="S28" s="66">
        <v>3.3250000000000002</v>
      </c>
      <c r="T28" s="26">
        <f>($R$32*(S28-R28))+R28</f>
        <v>3.3277313359720266</v>
      </c>
      <c r="U28" s="5" t="s">
        <v>67</v>
      </c>
      <c r="V28" s="11" t="s">
        <v>49</v>
      </c>
      <c r="W28" s="66">
        <v>3.2850000000000001</v>
      </c>
      <c r="X28" s="67">
        <v>3.3250000000000002</v>
      </c>
      <c r="Y28" s="12"/>
    </row>
    <row r="29" spans="2:27" ht="16.2" thickBot="1" x14ac:dyDescent="0.35">
      <c r="B29" s="80"/>
      <c r="G29" s="16" t="s">
        <v>13</v>
      </c>
      <c r="H29" s="14">
        <v>1.4E-2</v>
      </c>
      <c r="I29" s="46">
        <v>4.4999999999999998E-2</v>
      </c>
      <c r="J29" s="19">
        <v>0.09</v>
      </c>
      <c r="K29" s="19">
        <v>0.14299999999999999</v>
      </c>
      <c r="L29" s="23">
        <v>0.20499999999999999</v>
      </c>
      <c r="M29" s="24">
        <v>0.26800000000000002</v>
      </c>
      <c r="N29" s="75">
        <v>0.33</v>
      </c>
      <c r="O29" s="76">
        <v>0.38700000000000001</v>
      </c>
      <c r="Q29" s="11" t="s">
        <v>50</v>
      </c>
      <c r="R29" s="66">
        <v>3.61</v>
      </c>
      <c r="S29" s="66">
        <v>3.74</v>
      </c>
      <c r="T29" s="26">
        <f>($R$32*(S29-R29))+R29</f>
        <v>3.7488768419090857</v>
      </c>
      <c r="U29" s="5" t="s">
        <v>68</v>
      </c>
      <c r="V29" s="11" t="s">
        <v>50</v>
      </c>
      <c r="W29" s="66">
        <v>3.61</v>
      </c>
      <c r="X29" s="67">
        <v>3.74</v>
      </c>
      <c r="Y29" s="12"/>
    </row>
    <row r="30" spans="2:27" ht="16.2" thickBot="1" x14ac:dyDescent="0.35">
      <c r="Q30" s="17" t="s">
        <v>51</v>
      </c>
      <c r="R30" s="20">
        <v>4.63</v>
      </c>
      <c r="S30" s="20">
        <v>4.84</v>
      </c>
      <c r="T30" s="29">
        <f>($R$32*(S30-R30))+R30</f>
        <v>4.8543395138531382</v>
      </c>
      <c r="U30" s="5" t="s">
        <v>69</v>
      </c>
      <c r="V30" s="17" t="s">
        <v>51</v>
      </c>
      <c r="W30" s="66">
        <v>4.63</v>
      </c>
      <c r="X30" s="74">
        <v>4.84</v>
      </c>
      <c r="Y30" s="18"/>
    </row>
    <row r="31" spans="2:27" ht="16.2" thickTop="1" x14ac:dyDescent="0.3">
      <c r="R31" s="81" t="s">
        <v>70</v>
      </c>
      <c r="W31" s="82" t="s">
        <v>70</v>
      </c>
    </row>
    <row r="32" spans="2:27" ht="16.2" thickBot="1" x14ac:dyDescent="0.35">
      <c r="R32" s="83">
        <f>((T22-R22)/(S22-R22))</f>
        <v>1.0682833993006575</v>
      </c>
      <c r="W32" s="83">
        <f>((Y22-W22)/(X22-W22))</f>
        <v>0.54734632706831365</v>
      </c>
    </row>
    <row r="33" spans="1:25" ht="16.2" thickTop="1" x14ac:dyDescent="0.3"/>
    <row r="34" spans="1:25" s="1" customFormat="1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/>
      <c r="R34"/>
      <c r="S34"/>
      <c r="T34"/>
      <c r="U34"/>
      <c r="V34"/>
      <c r="W34"/>
      <c r="X34"/>
      <c r="Y34"/>
    </row>
    <row r="35" spans="1:25" x14ac:dyDescent="0.3">
      <c r="Q35" s="1"/>
      <c r="R35" t="s">
        <v>71</v>
      </c>
      <c r="W35" t="s">
        <v>71</v>
      </c>
      <c r="Y35" s="1"/>
    </row>
    <row r="36" spans="1:25" x14ac:dyDescent="0.3">
      <c r="R36" t="s">
        <v>75</v>
      </c>
      <c r="W36" t="s">
        <v>75</v>
      </c>
    </row>
    <row r="38" spans="1:25" x14ac:dyDescent="0.3">
      <c r="P38" s="5"/>
    </row>
    <row r="39" spans="1:25" x14ac:dyDescent="0.3">
      <c r="P39" s="5"/>
    </row>
    <row r="40" spans="1:25" x14ac:dyDescent="0.3">
      <c r="P40" s="5"/>
      <c r="Q40" s="5"/>
      <c r="R40" s="5"/>
      <c r="S40" s="5"/>
    </row>
    <row r="41" spans="1:25" x14ac:dyDescent="0.3">
      <c r="P41" s="5"/>
      <c r="Q41" s="5"/>
      <c r="R41" s="5"/>
      <c r="S41" s="5"/>
    </row>
    <row r="42" spans="1:25" x14ac:dyDescent="0.3">
      <c r="P42" s="5"/>
      <c r="Q42" s="5"/>
      <c r="R42" s="5"/>
      <c r="S42" s="5"/>
    </row>
    <row r="43" spans="1:25" x14ac:dyDescent="0.3">
      <c r="P43" s="5"/>
      <c r="Q43" s="5"/>
      <c r="R43" s="5"/>
      <c r="S43" s="5"/>
    </row>
    <row r="44" spans="1:25" x14ac:dyDescent="0.3">
      <c r="P44" s="5"/>
      <c r="Q44" s="5"/>
      <c r="R44" s="5"/>
      <c r="S44" s="5"/>
    </row>
  </sheetData>
  <mergeCells count="29">
    <mergeCell ref="C25:C26"/>
    <mergeCell ref="D25:D26"/>
    <mergeCell ref="E25:E26"/>
    <mergeCell ref="G16:O17"/>
    <mergeCell ref="Q16:T18"/>
    <mergeCell ref="V16:Y18"/>
    <mergeCell ref="H18:O18"/>
    <mergeCell ref="Q19:S20"/>
    <mergeCell ref="T19:T20"/>
    <mergeCell ref="V19:X20"/>
    <mergeCell ref="Y19:Y20"/>
    <mergeCell ref="S2:S3"/>
    <mergeCell ref="K13:K14"/>
    <mergeCell ref="L13:L14"/>
    <mergeCell ref="R13:R14"/>
    <mergeCell ref="S13:S14"/>
    <mergeCell ref="Q2:Q3"/>
    <mergeCell ref="R2:R3"/>
    <mergeCell ref="B14:E14"/>
    <mergeCell ref="M2:M3"/>
    <mergeCell ref="N2:N3"/>
    <mergeCell ref="O2:O3"/>
    <mergeCell ref="P2:P3"/>
    <mergeCell ref="B2:E2"/>
    <mergeCell ref="G2:G3"/>
    <mergeCell ref="H2:H3"/>
    <mergeCell ref="I2:I3"/>
    <mergeCell ref="J2:K2"/>
    <mergeCell ref="L2:L3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22FA7-62CC-BE47-9868-8641A6B48622}">
  <dimension ref="A1:AA44"/>
  <sheetViews>
    <sheetView topLeftCell="A11" zoomScale="150" zoomScaleNormal="150" zoomScalePageLayoutView="150" workbookViewId="0">
      <selection activeCell="D16" sqref="D16:D23"/>
    </sheetView>
  </sheetViews>
  <sheetFormatPr defaultColWidth="11.19921875" defaultRowHeight="15.6" x14ac:dyDescent="0.3"/>
  <cols>
    <col min="2" max="2" width="13.5" customWidth="1"/>
    <col min="3" max="3" width="14.19921875" customWidth="1"/>
    <col min="4" max="4" width="13.796875" customWidth="1"/>
    <col min="5" max="5" width="13.69921875" customWidth="1"/>
    <col min="6" max="6" width="11.69921875" customWidth="1"/>
    <col min="7" max="7" width="15.5" customWidth="1"/>
    <col min="8" max="8" width="14.5" bestFit="1" customWidth="1"/>
    <col min="9" max="9" width="11.796875" customWidth="1"/>
    <col min="10" max="10" width="14.296875" bestFit="1" customWidth="1"/>
    <col min="15" max="15" width="14.19921875" customWidth="1"/>
    <col min="19" max="19" width="11.796875" bestFit="1" customWidth="1"/>
    <col min="21" max="21" width="13.796875" customWidth="1"/>
    <col min="25" max="25" width="13.296875" customWidth="1"/>
    <col min="32" max="32" width="11.796875" bestFit="1" customWidth="1"/>
    <col min="33" max="33" width="11.296875" customWidth="1"/>
    <col min="34" max="34" width="12.19921875" customWidth="1"/>
    <col min="35" max="35" width="11.5" customWidth="1"/>
    <col min="36" max="36" width="12" customWidth="1"/>
    <col min="37" max="37" width="11.5" customWidth="1"/>
    <col min="38" max="38" width="11.296875" customWidth="1"/>
    <col min="39" max="39" width="10.19921875" customWidth="1"/>
    <col min="40" max="40" width="11.69921875" customWidth="1"/>
    <col min="41" max="41" width="10.69921875" customWidth="1"/>
    <col min="42" max="42" width="9.296875" customWidth="1"/>
    <col min="43" max="43" width="12.796875" bestFit="1" customWidth="1"/>
    <col min="44" max="44" width="16" bestFit="1" customWidth="1"/>
    <col min="50" max="50" width="11.5" bestFit="1" customWidth="1"/>
  </cols>
  <sheetData>
    <row r="1" spans="2:25" ht="16.2" thickBot="1" x14ac:dyDescent="0.35"/>
    <row r="2" spans="2:25" x14ac:dyDescent="0.3">
      <c r="B2" s="312" t="s">
        <v>0</v>
      </c>
      <c r="C2" s="313"/>
      <c r="D2" s="313"/>
      <c r="E2" s="314"/>
      <c r="G2" s="315" t="s">
        <v>28</v>
      </c>
      <c r="H2" s="317" t="s">
        <v>14</v>
      </c>
      <c r="I2" s="319" t="s">
        <v>29</v>
      </c>
      <c r="J2" s="321" t="s">
        <v>31</v>
      </c>
      <c r="K2" s="321"/>
      <c r="L2" s="308" t="s">
        <v>25</v>
      </c>
      <c r="M2" s="308" t="s">
        <v>26</v>
      </c>
      <c r="N2" s="310" t="s">
        <v>16</v>
      </c>
      <c r="O2" s="310" t="s">
        <v>17</v>
      </c>
      <c r="P2" s="308" t="s">
        <v>41</v>
      </c>
      <c r="Q2" s="308" t="s">
        <v>40</v>
      </c>
      <c r="R2" s="308" t="s">
        <v>12</v>
      </c>
      <c r="S2" s="295" t="s">
        <v>27</v>
      </c>
    </row>
    <row r="3" spans="2:25" x14ac:dyDescent="0.3">
      <c r="B3" s="40" t="s">
        <v>1</v>
      </c>
      <c r="C3" s="47" t="s">
        <v>2</v>
      </c>
      <c r="D3" s="47" t="s">
        <v>11</v>
      </c>
      <c r="E3" s="41" t="s">
        <v>76</v>
      </c>
      <c r="G3" s="316"/>
      <c r="H3" s="318"/>
      <c r="I3" s="320"/>
      <c r="J3" s="4" t="s">
        <v>15</v>
      </c>
      <c r="K3" s="4" t="s">
        <v>30</v>
      </c>
      <c r="L3" s="309"/>
      <c r="M3" s="309"/>
      <c r="N3" s="311"/>
      <c r="O3" s="311"/>
      <c r="P3" s="309"/>
      <c r="Q3" s="309"/>
      <c r="R3" s="309"/>
      <c r="S3" s="296"/>
    </row>
    <row r="4" spans="2:25" x14ac:dyDescent="0.3">
      <c r="B4" s="48" t="s">
        <v>3</v>
      </c>
      <c r="C4" s="51">
        <v>45518</v>
      </c>
      <c r="D4" s="51">
        <v>1091</v>
      </c>
      <c r="E4" s="49">
        <v>134</v>
      </c>
      <c r="G4" s="30" t="s">
        <v>84</v>
      </c>
      <c r="H4" s="3">
        <v>12</v>
      </c>
      <c r="I4" s="52">
        <f>C4</f>
        <v>45518</v>
      </c>
      <c r="J4" s="53">
        <f>D4</f>
        <v>1091</v>
      </c>
      <c r="K4" s="54">
        <f t="shared" ref="J4:K11" si="0">E4</f>
        <v>134</v>
      </c>
      <c r="L4" s="55">
        <f>K4/I4</f>
        <v>2.9438903291005756E-3</v>
      </c>
      <c r="M4" s="55">
        <f t="shared" ref="M4:M11" si="1">J4/I4</f>
        <v>2.3968539918274089E-2</v>
      </c>
      <c r="N4" s="55">
        <f>L4*H4</f>
        <v>3.5326683949206905E-2</v>
      </c>
      <c r="O4" s="55">
        <f>Y23</f>
        <v>1.613606114072875</v>
      </c>
      <c r="P4" s="55">
        <f>(5*L3)+P3</f>
        <v>0</v>
      </c>
      <c r="Q4" s="55">
        <f>P4+O4*L4</f>
        <v>4.7502794341966973E-3</v>
      </c>
      <c r="R4" s="55">
        <f>M4/Q4</f>
        <v>5.0457115734555353</v>
      </c>
      <c r="S4" s="32">
        <f>$R$6*L4</f>
        <v>4.4954628008994791E-3</v>
      </c>
    </row>
    <row r="5" spans="2:25" x14ac:dyDescent="0.3">
      <c r="B5" s="48" t="s">
        <v>4</v>
      </c>
      <c r="C5" s="51">
        <v>44266</v>
      </c>
      <c r="D5" s="51">
        <v>10500</v>
      </c>
      <c r="E5" s="85">
        <v>2906</v>
      </c>
      <c r="G5" s="31" t="s">
        <v>18</v>
      </c>
      <c r="H5" s="50">
        <v>17</v>
      </c>
      <c r="I5" s="52">
        <f>C5</f>
        <v>44266</v>
      </c>
      <c r="J5" s="53">
        <f>D5</f>
        <v>10500</v>
      </c>
      <c r="K5" s="54">
        <f t="shared" si="0"/>
        <v>2906</v>
      </c>
      <c r="L5" s="55">
        <f>K5/I5</f>
        <v>6.5648579044865138E-2</v>
      </c>
      <c r="M5" s="55">
        <f t="shared" si="1"/>
        <v>0.23720236750553472</v>
      </c>
      <c r="N5" s="55">
        <f>L5*H5</f>
        <v>1.1160258437627073</v>
      </c>
      <c r="O5" s="55">
        <f>Y24</f>
        <v>2.5286743505154368</v>
      </c>
      <c r="P5" s="55">
        <v>0</v>
      </c>
      <c r="Q5" s="55">
        <f>P5+O5*L5</f>
        <v>0.16600387797853566</v>
      </c>
      <c r="R5" s="55">
        <f>M5/Q5</f>
        <v>1.4288965438277594</v>
      </c>
      <c r="S5" s="32">
        <f>$R$6*L5</f>
        <v>0.10024855277753036</v>
      </c>
    </row>
    <row r="6" spans="2:25" x14ac:dyDescent="0.3">
      <c r="B6" s="48" t="s">
        <v>5</v>
      </c>
      <c r="C6" s="51">
        <v>39433</v>
      </c>
      <c r="D6" s="51">
        <v>37859</v>
      </c>
      <c r="E6" s="85">
        <v>4067</v>
      </c>
      <c r="G6" s="31" t="s">
        <v>19</v>
      </c>
      <c r="H6" s="50">
        <v>22</v>
      </c>
      <c r="I6" s="53">
        <f t="shared" ref="I6:I11" si="2">C6</f>
        <v>39433</v>
      </c>
      <c r="J6" s="53">
        <f t="shared" si="0"/>
        <v>37859</v>
      </c>
      <c r="K6" s="54">
        <f t="shared" si="0"/>
        <v>4067</v>
      </c>
      <c r="L6" s="55">
        <f t="shared" ref="L6:L11" si="3">K6/I6</f>
        <v>0.10313696650013948</v>
      </c>
      <c r="M6" s="55">
        <f t="shared" si="1"/>
        <v>0.96008419344204088</v>
      </c>
      <c r="N6" s="55">
        <f t="shared" ref="N6:N11" si="4">L6*H6</f>
        <v>2.2690132630030684</v>
      </c>
      <c r="O6" s="55">
        <f>Y25</f>
        <v>2.9133689619941499</v>
      </c>
      <c r="P6" s="55">
        <f>(5*L5)+P5</f>
        <v>0.3282428952243257</v>
      </c>
      <c r="Q6" s="55">
        <f t="shared" ref="Q6:Q11" si="5">P6+O6*L6</f>
        <v>0.62871893226006248</v>
      </c>
      <c r="R6" s="55">
        <f>M6/Q6</f>
        <v>1.5270483266518096</v>
      </c>
      <c r="S6" s="32">
        <f t="shared" ref="S6:S11" si="6">$R$6*L6</f>
        <v>0.15749513210998173</v>
      </c>
    </row>
    <row r="7" spans="2:25" x14ac:dyDescent="0.3">
      <c r="B7" s="48" t="s">
        <v>6</v>
      </c>
      <c r="C7" s="51">
        <v>36044</v>
      </c>
      <c r="D7" s="51">
        <v>61389</v>
      </c>
      <c r="E7" s="85">
        <v>2904</v>
      </c>
      <c r="G7" s="31" t="s">
        <v>20</v>
      </c>
      <c r="H7" s="50">
        <v>27</v>
      </c>
      <c r="I7" s="53">
        <f t="shared" si="2"/>
        <v>36044</v>
      </c>
      <c r="J7" s="53">
        <f t="shared" si="0"/>
        <v>61389</v>
      </c>
      <c r="K7" s="54">
        <f t="shared" si="0"/>
        <v>2904</v>
      </c>
      <c r="L7" s="55">
        <f t="shared" si="3"/>
        <v>8.0568194429031181E-2</v>
      </c>
      <c r="M7" s="55">
        <f t="shared" si="1"/>
        <v>1.7031683497946954</v>
      </c>
      <c r="N7" s="55">
        <f t="shared" si="4"/>
        <v>2.175341249583842</v>
      </c>
      <c r="O7" s="55">
        <f>Y26</f>
        <v>3.0483536925680861</v>
      </c>
      <c r="P7" s="55">
        <f>(5*L6)+P6</f>
        <v>0.84392772772502311</v>
      </c>
      <c r="Q7" s="55">
        <f t="shared" si="5"/>
        <v>1.0895280807163039</v>
      </c>
      <c r="R7" s="55">
        <f t="shared" ref="R7:R10" si="7">M7/Q7</f>
        <v>1.5632165704944083</v>
      </c>
      <c r="S7" s="32">
        <f t="shared" si="6"/>
        <v>0.12303152648420972</v>
      </c>
    </row>
    <row r="8" spans="2:25" x14ac:dyDescent="0.3">
      <c r="B8" s="48" t="s">
        <v>7</v>
      </c>
      <c r="C8" s="51">
        <v>33702</v>
      </c>
      <c r="D8" s="51">
        <v>80430</v>
      </c>
      <c r="E8" s="85">
        <v>1808</v>
      </c>
      <c r="G8" s="31" t="s">
        <v>21</v>
      </c>
      <c r="H8" s="50">
        <v>32</v>
      </c>
      <c r="I8" s="53">
        <f t="shared" si="2"/>
        <v>33702</v>
      </c>
      <c r="J8" s="53">
        <f t="shared" si="0"/>
        <v>80430</v>
      </c>
      <c r="K8" s="54">
        <f t="shared" si="0"/>
        <v>1808</v>
      </c>
      <c r="L8" s="55">
        <f t="shared" si="3"/>
        <v>5.3646667853539852E-2</v>
      </c>
      <c r="M8" s="55">
        <f t="shared" si="1"/>
        <v>2.386505251913833</v>
      </c>
      <c r="N8" s="55">
        <f t="shared" si="4"/>
        <v>1.7166933713132753</v>
      </c>
      <c r="O8" s="55">
        <f>T27</f>
        <v>3.1824629213299795</v>
      </c>
      <c r="P8" s="55">
        <f t="shared" ref="P8:P10" si="8">(5*L7)+P7</f>
        <v>1.246768699870179</v>
      </c>
      <c r="Q8" s="55">
        <f t="shared" si="5"/>
        <v>1.4174972311669745</v>
      </c>
      <c r="R8" s="55">
        <f t="shared" si="7"/>
        <v>1.6836048772731</v>
      </c>
      <c r="S8" s="32">
        <f t="shared" si="6"/>
        <v>8.1921054376193458E-2</v>
      </c>
    </row>
    <row r="9" spans="2:25" x14ac:dyDescent="0.3">
      <c r="B9" s="48" t="s">
        <v>8</v>
      </c>
      <c r="C9" s="51">
        <v>30926</v>
      </c>
      <c r="D9" s="51">
        <v>88663</v>
      </c>
      <c r="E9" s="85">
        <v>1018</v>
      </c>
      <c r="G9" s="31" t="s">
        <v>22</v>
      </c>
      <c r="H9" s="50">
        <v>37</v>
      </c>
      <c r="I9" s="53">
        <f t="shared" si="2"/>
        <v>30926</v>
      </c>
      <c r="J9" s="53">
        <f t="shared" si="0"/>
        <v>88663</v>
      </c>
      <c r="K9" s="54">
        <f t="shared" si="0"/>
        <v>1018</v>
      </c>
      <c r="L9" s="55">
        <f t="shared" si="3"/>
        <v>3.2917286425661253E-2</v>
      </c>
      <c r="M9" s="55">
        <f t="shared" si="1"/>
        <v>2.8669404384660155</v>
      </c>
      <c r="N9" s="55">
        <f t="shared" si="4"/>
        <v>1.2179395977494665</v>
      </c>
      <c r="O9" s="55">
        <f>T28</f>
        <v>3.3599258426599596</v>
      </c>
      <c r="P9" s="55">
        <f t="shared" si="8"/>
        <v>1.5150020391378782</v>
      </c>
      <c r="Q9" s="55">
        <f t="shared" si="5"/>
        <v>1.6256016804696973</v>
      </c>
      <c r="R9" s="55">
        <f t="shared" si="7"/>
        <v>1.7636180331934996</v>
      </c>
      <c r="S9" s="32">
        <f t="shared" si="6"/>
        <v>5.0266287154224341E-2</v>
      </c>
    </row>
    <row r="10" spans="2:25" x14ac:dyDescent="0.3">
      <c r="B10" s="48" t="s">
        <v>9</v>
      </c>
      <c r="C10" s="51">
        <v>27293</v>
      </c>
      <c r="D10" s="51">
        <v>91290</v>
      </c>
      <c r="E10" s="85">
        <v>374</v>
      </c>
      <c r="G10" s="31" t="s">
        <v>23</v>
      </c>
      <c r="H10" s="50">
        <v>42</v>
      </c>
      <c r="I10" s="53">
        <f t="shared" si="2"/>
        <v>27293</v>
      </c>
      <c r="J10" s="53">
        <f t="shared" si="0"/>
        <v>91290</v>
      </c>
      <c r="K10" s="54">
        <f t="shared" si="0"/>
        <v>374</v>
      </c>
      <c r="L10" s="55">
        <f t="shared" si="3"/>
        <v>1.3703147327153482E-2</v>
      </c>
      <c r="M10" s="55">
        <f t="shared" si="1"/>
        <v>3.3448136884915547</v>
      </c>
      <c r="N10" s="55">
        <f t="shared" si="4"/>
        <v>0.57553218774044623</v>
      </c>
      <c r="O10" s="55">
        <f>T29</f>
        <v>3.8622404493098581</v>
      </c>
      <c r="P10" s="55">
        <f t="shared" si="8"/>
        <v>1.6795884712661846</v>
      </c>
      <c r="Q10" s="55">
        <f t="shared" si="5"/>
        <v>1.7325133211559691</v>
      </c>
      <c r="R10" s="55">
        <f t="shared" si="7"/>
        <v>1.930613547178861</v>
      </c>
      <c r="S10" s="32">
        <f t="shared" si="6"/>
        <v>2.0925368195792941E-2</v>
      </c>
    </row>
    <row r="11" spans="2:25" ht="16.2" thickBot="1" x14ac:dyDescent="0.35">
      <c r="B11" s="56" t="s">
        <v>10</v>
      </c>
      <c r="C11" s="51">
        <v>25335</v>
      </c>
      <c r="D11" s="86">
        <v>93146</v>
      </c>
      <c r="E11" s="87">
        <v>74</v>
      </c>
      <c r="G11" s="33" t="s">
        <v>24</v>
      </c>
      <c r="H11" s="34">
        <v>47</v>
      </c>
      <c r="I11" s="35">
        <f t="shared" si="2"/>
        <v>25335</v>
      </c>
      <c r="J11" s="35">
        <f t="shared" si="0"/>
        <v>93146</v>
      </c>
      <c r="K11" s="57">
        <f t="shared" si="0"/>
        <v>74</v>
      </c>
      <c r="L11" s="36">
        <f t="shared" si="3"/>
        <v>2.9208604697059403E-3</v>
      </c>
      <c r="M11" s="36">
        <f t="shared" si="1"/>
        <v>3.6765739096112098</v>
      </c>
      <c r="N11" s="36">
        <f t="shared" si="4"/>
        <v>0.1372804420761792</v>
      </c>
      <c r="O11" s="36">
        <f>T30</f>
        <v>4.9412849437138826</v>
      </c>
      <c r="P11" s="36">
        <f>(5*L10)+P10</f>
        <v>1.748104207901952</v>
      </c>
      <c r="Q11" s="36">
        <f t="shared" si="5"/>
        <v>1.762537011763599</v>
      </c>
      <c r="R11" s="36">
        <f>M11/Q11</f>
        <v>2.0859555771441194</v>
      </c>
      <c r="S11" s="37">
        <f t="shared" si="6"/>
        <v>4.460295092647875E-3</v>
      </c>
    </row>
    <row r="12" spans="2:25" ht="16.2" thickBot="1" x14ac:dyDescent="0.35">
      <c r="C12" s="84"/>
      <c r="L12" s="27">
        <f>SUM(L4:L11)</f>
        <v>0.35548559237919691</v>
      </c>
      <c r="M12" s="58"/>
      <c r="N12" s="45">
        <f>SUM(N4:N11)</f>
        <v>9.2431526391781915</v>
      </c>
      <c r="O12" s="53"/>
      <c r="P12" s="59"/>
      <c r="Q12" s="59"/>
      <c r="R12" s="59"/>
      <c r="S12" s="60">
        <f>SUM(S5:S11)</f>
        <v>0.53834821619058049</v>
      </c>
    </row>
    <row r="13" spans="2:25" ht="16.2" thickBot="1" x14ac:dyDescent="0.35">
      <c r="K13" s="297" t="s">
        <v>32</v>
      </c>
      <c r="L13" s="299">
        <f>5*L12</f>
        <v>1.7774279618959845</v>
      </c>
      <c r="M13" s="59"/>
      <c r="N13" s="59"/>
      <c r="O13" s="59"/>
      <c r="P13" s="59"/>
      <c r="Q13" s="59"/>
      <c r="R13" s="301" t="s">
        <v>42</v>
      </c>
      <c r="S13" s="303">
        <f>5*S12</f>
        <v>2.6917410809529025</v>
      </c>
    </row>
    <row r="14" spans="2:25" ht="16.2" thickBot="1" x14ac:dyDescent="0.35">
      <c r="B14" s="305" t="s">
        <v>33</v>
      </c>
      <c r="C14" s="306"/>
      <c r="D14" s="306"/>
      <c r="E14" s="307"/>
      <c r="K14" s="298"/>
      <c r="L14" s="300"/>
      <c r="M14" s="59"/>
      <c r="N14" s="59"/>
      <c r="O14" s="59"/>
      <c r="P14" s="59"/>
      <c r="Q14" s="59"/>
      <c r="R14" s="302"/>
      <c r="S14" s="304"/>
    </row>
    <row r="15" spans="2:25" ht="63" thickBot="1" x14ac:dyDescent="0.35">
      <c r="B15" s="42" t="s">
        <v>1</v>
      </c>
      <c r="C15" s="2" t="s">
        <v>37</v>
      </c>
      <c r="D15" s="2" t="s">
        <v>34</v>
      </c>
      <c r="E15" s="43" t="s">
        <v>36</v>
      </c>
      <c r="R15" s="38" t="s">
        <v>62</v>
      </c>
      <c r="S15" s="61">
        <f>N12/L12</f>
        <v>26.001483146800812</v>
      </c>
      <c r="W15" s="39" t="s">
        <v>13</v>
      </c>
      <c r="X15" s="62">
        <f>M5/M6</f>
        <v>0.24706413158947016</v>
      </c>
    </row>
    <row r="16" spans="2:25" x14ac:dyDescent="0.3">
      <c r="B16" s="48" t="s">
        <v>3</v>
      </c>
      <c r="C16" s="63">
        <f>L4</f>
        <v>2.9438903291005756E-3</v>
      </c>
      <c r="D16" s="63">
        <f t="shared" ref="D16:D23" si="9">S4</f>
        <v>4.4954628008994791E-3</v>
      </c>
      <c r="E16" s="64">
        <f>100*((D16-C16)/C16)</f>
        <v>52.704832665180966</v>
      </c>
      <c r="G16" s="256" t="s">
        <v>61</v>
      </c>
      <c r="H16" s="257"/>
      <c r="I16" s="257"/>
      <c r="J16" s="257"/>
      <c r="K16" s="257"/>
      <c r="L16" s="257"/>
      <c r="M16" s="257"/>
      <c r="N16" s="257"/>
      <c r="O16" s="258"/>
      <c r="P16" s="5"/>
      <c r="Q16" s="262" t="s">
        <v>56</v>
      </c>
      <c r="R16" s="263"/>
      <c r="S16" s="263"/>
      <c r="T16" s="264"/>
      <c r="U16" s="5"/>
      <c r="V16" s="271" t="s">
        <v>59</v>
      </c>
      <c r="W16" s="272"/>
      <c r="X16" s="272"/>
      <c r="Y16" s="273"/>
    </row>
    <row r="17" spans="2:27" ht="16.2" thickBot="1" x14ac:dyDescent="0.35">
      <c r="B17" s="48" t="s">
        <v>4</v>
      </c>
      <c r="C17" s="63">
        <f>L5</f>
        <v>6.5648579044865138E-2</v>
      </c>
      <c r="D17" s="63">
        <f t="shared" si="9"/>
        <v>0.10024855277753036</v>
      </c>
      <c r="E17" s="64">
        <f>100*((D17-C17)/C17)</f>
        <v>52.704832665180966</v>
      </c>
      <c r="G17" s="259"/>
      <c r="H17" s="260"/>
      <c r="I17" s="260"/>
      <c r="J17" s="260"/>
      <c r="K17" s="260"/>
      <c r="L17" s="260"/>
      <c r="M17" s="260"/>
      <c r="N17" s="260"/>
      <c r="O17" s="261"/>
      <c r="P17" s="5"/>
      <c r="Q17" s="265"/>
      <c r="R17" s="266"/>
      <c r="S17" s="266"/>
      <c r="T17" s="267"/>
      <c r="U17" s="5"/>
      <c r="V17" s="274"/>
      <c r="W17" s="275"/>
      <c r="X17" s="275"/>
      <c r="Y17" s="276"/>
    </row>
    <row r="18" spans="2:27" ht="16.2" thickBot="1" x14ac:dyDescent="0.35">
      <c r="B18" s="48" t="s">
        <v>5</v>
      </c>
      <c r="C18" s="63">
        <f t="shared" ref="C18:C23" si="10">L6</f>
        <v>0.10313696650013948</v>
      </c>
      <c r="D18" s="63">
        <f t="shared" si="9"/>
        <v>0.15749513210998173</v>
      </c>
      <c r="E18" s="64">
        <f t="shared" ref="E18:E23" si="11">100*((D18-C18)/C18)</f>
        <v>52.704832665180945</v>
      </c>
      <c r="G18" s="6" t="s">
        <v>54</v>
      </c>
      <c r="H18" s="280" t="s">
        <v>55</v>
      </c>
      <c r="I18" s="281"/>
      <c r="J18" s="281"/>
      <c r="K18" s="281"/>
      <c r="L18" s="281"/>
      <c r="M18" s="281"/>
      <c r="N18" s="281"/>
      <c r="O18" s="282"/>
      <c r="P18" s="5"/>
      <c r="Q18" s="268"/>
      <c r="R18" s="269"/>
      <c r="S18" s="269"/>
      <c r="T18" s="270"/>
      <c r="U18" s="5"/>
      <c r="V18" s="277"/>
      <c r="W18" s="278"/>
      <c r="X18" s="278"/>
      <c r="Y18" s="279"/>
    </row>
    <row r="19" spans="2:27" x14ac:dyDescent="0.3">
      <c r="B19" s="48" t="s">
        <v>6</v>
      </c>
      <c r="C19" s="63">
        <f t="shared" si="10"/>
        <v>8.0568194429031181E-2</v>
      </c>
      <c r="D19" s="63">
        <f t="shared" si="9"/>
        <v>0.12303152648420972</v>
      </c>
      <c r="E19" s="64">
        <f t="shared" si="11"/>
        <v>52.704832665180966</v>
      </c>
      <c r="G19" s="102" t="s">
        <v>3</v>
      </c>
      <c r="H19" s="103">
        <v>-1.7435</v>
      </c>
      <c r="I19" s="79">
        <v>-1.0257000000000001</v>
      </c>
      <c r="J19" s="79">
        <v>-0.30780000000000002</v>
      </c>
      <c r="K19" s="79">
        <v>0.40860000000000002</v>
      </c>
      <c r="L19" s="108">
        <v>1.1286</v>
      </c>
      <c r="M19" s="108">
        <v>1.855</v>
      </c>
      <c r="N19" s="108">
        <v>2.5486</v>
      </c>
      <c r="O19" s="104">
        <v>3.2879</v>
      </c>
      <c r="P19" s="5"/>
      <c r="Q19" s="283" t="s">
        <v>57</v>
      </c>
      <c r="R19" s="284"/>
      <c r="S19" s="285"/>
      <c r="T19" s="289" t="s">
        <v>58</v>
      </c>
      <c r="U19" s="5"/>
      <c r="V19" s="291" t="s">
        <v>60</v>
      </c>
      <c r="W19" s="292"/>
      <c r="X19" s="292"/>
      <c r="Y19" s="293" t="s">
        <v>45</v>
      </c>
    </row>
    <row r="20" spans="2:27" ht="16.2" thickBot="1" x14ac:dyDescent="0.35">
      <c r="B20" s="48" t="s">
        <v>7</v>
      </c>
      <c r="C20" s="63">
        <f t="shared" si="10"/>
        <v>5.3646667853539852E-2</v>
      </c>
      <c r="D20" s="63">
        <f t="shared" si="9"/>
        <v>8.1921054376193458E-2</v>
      </c>
      <c r="E20" s="64">
        <f>100*((D20-C20)/C20)</f>
        <v>52.704832665180966</v>
      </c>
      <c r="G20" s="7" t="s">
        <v>44</v>
      </c>
      <c r="H20" s="8">
        <v>1.1200000000000001</v>
      </c>
      <c r="I20" s="65">
        <v>1.31</v>
      </c>
      <c r="J20" s="65">
        <v>1.615</v>
      </c>
      <c r="K20" s="66">
        <v>1.95</v>
      </c>
      <c r="L20" s="66">
        <v>2.3050000000000002</v>
      </c>
      <c r="M20" s="67">
        <v>2.64</v>
      </c>
      <c r="N20" s="67">
        <v>2.9249999999999998</v>
      </c>
      <c r="O20" s="69">
        <v>3.17</v>
      </c>
      <c r="P20" s="5"/>
      <c r="Q20" s="286"/>
      <c r="R20" s="287"/>
      <c r="S20" s="288"/>
      <c r="T20" s="290"/>
      <c r="U20" s="5"/>
      <c r="V20" s="286"/>
      <c r="W20" s="287"/>
      <c r="X20" s="287"/>
      <c r="Y20" s="294"/>
    </row>
    <row r="21" spans="2:27" ht="16.2" thickBot="1" x14ac:dyDescent="0.35">
      <c r="B21" s="48" t="s">
        <v>8</v>
      </c>
      <c r="C21" s="63">
        <f t="shared" si="10"/>
        <v>3.2917286425661253E-2</v>
      </c>
      <c r="D21" s="63">
        <f t="shared" si="9"/>
        <v>5.0266287154224341E-2</v>
      </c>
      <c r="E21" s="64">
        <f t="shared" si="11"/>
        <v>52.704832665180959</v>
      </c>
      <c r="G21" s="7" t="s">
        <v>46</v>
      </c>
      <c r="H21" s="8">
        <v>2.5550000000000002</v>
      </c>
      <c r="I21" s="65">
        <v>2.69</v>
      </c>
      <c r="J21" s="65">
        <v>2.78</v>
      </c>
      <c r="K21" s="66">
        <v>2.84</v>
      </c>
      <c r="L21" s="66">
        <v>2.89</v>
      </c>
      <c r="M21" s="67">
        <v>2.9249999999999998</v>
      </c>
      <c r="N21" s="67">
        <v>2.96</v>
      </c>
      <c r="O21" s="69">
        <v>2.9849999999999999</v>
      </c>
      <c r="P21" s="9"/>
      <c r="Q21" s="99"/>
      <c r="R21" s="100" t="s">
        <v>72</v>
      </c>
      <c r="S21" s="101" t="s">
        <v>73</v>
      </c>
      <c r="T21" s="28" t="s">
        <v>74</v>
      </c>
      <c r="U21" s="9"/>
      <c r="V21" s="99"/>
      <c r="W21" s="100" t="s">
        <v>72</v>
      </c>
      <c r="X21" s="101" t="s">
        <v>73</v>
      </c>
      <c r="Y21" s="28" t="s">
        <v>74</v>
      </c>
    </row>
    <row r="22" spans="2:27" ht="16.2" thickBot="1" x14ac:dyDescent="0.35">
      <c r="B22" s="48" t="s">
        <v>9</v>
      </c>
      <c r="C22" s="63">
        <f t="shared" si="10"/>
        <v>1.3703147327153482E-2</v>
      </c>
      <c r="D22" s="63">
        <f t="shared" si="9"/>
        <v>2.0925368195792941E-2</v>
      </c>
      <c r="E22" s="64">
        <f t="shared" si="11"/>
        <v>52.704832665180945</v>
      </c>
      <c r="G22" s="7" t="s">
        <v>47</v>
      </c>
      <c r="H22" s="8">
        <v>2.9249999999999998</v>
      </c>
      <c r="I22" s="65">
        <v>2.96</v>
      </c>
      <c r="J22" s="65">
        <v>2.9849999999999999</v>
      </c>
      <c r="K22" s="66">
        <v>3.01</v>
      </c>
      <c r="L22" s="66">
        <v>3.0350000000000001</v>
      </c>
      <c r="M22" s="67">
        <v>3.0550000000000002</v>
      </c>
      <c r="N22" s="67">
        <v>3.0750000000000002</v>
      </c>
      <c r="O22" s="69">
        <v>3.0950000000000002</v>
      </c>
      <c r="P22" s="5"/>
      <c r="Q22" s="10" t="s">
        <v>43</v>
      </c>
      <c r="R22" s="70">
        <v>26.7</v>
      </c>
      <c r="S22" s="95">
        <v>25.7</v>
      </c>
      <c r="T22" s="105">
        <f>S15</f>
        <v>26.001483146800812</v>
      </c>
      <c r="V22" s="10" t="s">
        <v>43</v>
      </c>
      <c r="W22" s="21">
        <v>0.20499999999999999</v>
      </c>
      <c r="X22" s="22">
        <v>0.26800000000000002</v>
      </c>
      <c r="Y22" s="25">
        <f>X15</f>
        <v>0.24706413158947016</v>
      </c>
      <c r="AA22" s="71"/>
    </row>
    <row r="23" spans="2:27" ht="16.2" thickBot="1" x14ac:dyDescent="0.35">
      <c r="B23" s="56" t="s">
        <v>10</v>
      </c>
      <c r="C23" s="72">
        <f t="shared" si="10"/>
        <v>2.9208604697059403E-3</v>
      </c>
      <c r="D23" s="72">
        <f t="shared" si="9"/>
        <v>4.460295092647875E-3</v>
      </c>
      <c r="E23" s="73">
        <f t="shared" si="11"/>
        <v>52.704832665180966</v>
      </c>
      <c r="G23" s="7" t="s">
        <v>48</v>
      </c>
      <c r="H23" s="8">
        <v>3.0550000000000002</v>
      </c>
      <c r="I23" s="65">
        <v>3.0750000000000002</v>
      </c>
      <c r="J23" s="65">
        <v>3.0950000000000002</v>
      </c>
      <c r="K23" s="66">
        <v>3.12</v>
      </c>
      <c r="L23" s="66">
        <v>3.14</v>
      </c>
      <c r="M23" s="67">
        <v>3.165</v>
      </c>
      <c r="N23" s="67">
        <v>3.19</v>
      </c>
      <c r="O23" s="69">
        <v>3.2149999999999999</v>
      </c>
      <c r="P23" s="5"/>
      <c r="Q23" s="107" t="s">
        <v>3</v>
      </c>
      <c r="R23" s="66">
        <v>1.855</v>
      </c>
      <c r="S23" s="66">
        <v>2.5486</v>
      </c>
      <c r="T23" s="106"/>
      <c r="V23" s="107" t="s">
        <v>3</v>
      </c>
      <c r="W23" s="108">
        <v>1.1286</v>
      </c>
      <c r="X23" s="108">
        <v>1.855</v>
      </c>
      <c r="Y23" s="26">
        <f>($W$32*(X23-W23))+W23</f>
        <v>1.613606114072875</v>
      </c>
    </row>
    <row r="24" spans="2:27" ht="16.2" thickBot="1" x14ac:dyDescent="0.35">
      <c r="G24" s="7" t="s">
        <v>49</v>
      </c>
      <c r="H24" s="8">
        <v>3.165</v>
      </c>
      <c r="I24" s="65">
        <v>3.19</v>
      </c>
      <c r="J24" s="65">
        <v>3.2149999999999999</v>
      </c>
      <c r="K24" s="66">
        <v>3.2450000000000001</v>
      </c>
      <c r="L24" s="66">
        <v>3.2850000000000001</v>
      </c>
      <c r="M24" s="67">
        <v>3.3250000000000002</v>
      </c>
      <c r="N24" s="67">
        <v>3.375</v>
      </c>
      <c r="O24" s="69">
        <v>3.4350000000000001</v>
      </c>
      <c r="P24" s="5"/>
      <c r="Q24" s="11" t="s">
        <v>44</v>
      </c>
      <c r="R24" s="66">
        <v>2.64</v>
      </c>
      <c r="S24" s="66">
        <v>2.9249999999999998</v>
      </c>
      <c r="T24" s="12"/>
      <c r="U24" s="5" t="s">
        <v>63</v>
      </c>
      <c r="V24" s="11" t="s">
        <v>44</v>
      </c>
      <c r="W24" s="66">
        <v>2.3050000000000002</v>
      </c>
      <c r="X24" s="67">
        <v>2.64</v>
      </c>
      <c r="Y24" s="26">
        <f>($W$32*(X24-W24))+W24</f>
        <v>2.5286743505154368</v>
      </c>
    </row>
    <row r="25" spans="2:27" ht="16.2" thickBot="1" x14ac:dyDescent="0.35">
      <c r="C25" s="245" t="s">
        <v>32</v>
      </c>
      <c r="D25" s="247" t="s">
        <v>35</v>
      </c>
      <c r="E25" s="249" t="s">
        <v>36</v>
      </c>
      <c r="G25" s="7" t="s">
        <v>50</v>
      </c>
      <c r="H25" s="8">
        <v>3.3250000000000002</v>
      </c>
      <c r="I25" s="65">
        <v>3.375</v>
      </c>
      <c r="J25" s="65">
        <v>3.4350000000000001</v>
      </c>
      <c r="K25" s="66">
        <v>3.51</v>
      </c>
      <c r="L25" s="66">
        <v>3.61</v>
      </c>
      <c r="M25" s="67">
        <v>3.74</v>
      </c>
      <c r="N25" s="67">
        <v>3.915</v>
      </c>
      <c r="O25" s="69">
        <v>4.1500000000000004</v>
      </c>
      <c r="P25" s="5"/>
      <c r="Q25" s="11" t="s">
        <v>46</v>
      </c>
      <c r="R25" s="66">
        <v>2.9249999999999998</v>
      </c>
      <c r="S25" s="66">
        <v>2.96</v>
      </c>
      <c r="T25" s="12"/>
      <c r="U25" s="5" t="s">
        <v>64</v>
      </c>
      <c r="V25" s="11" t="s">
        <v>46</v>
      </c>
      <c r="W25" s="66">
        <v>2.89</v>
      </c>
      <c r="X25" s="67">
        <v>2.9249999999999998</v>
      </c>
      <c r="Y25" s="26">
        <f>($W$32*(X25-W25))+W25</f>
        <v>2.9133689619941499</v>
      </c>
    </row>
    <row r="26" spans="2:27" ht="16.2" thickBot="1" x14ac:dyDescent="0.35">
      <c r="C26" s="246"/>
      <c r="D26" s="248"/>
      <c r="E26" s="250"/>
      <c r="G26" s="13" t="s">
        <v>51</v>
      </c>
      <c r="H26" s="14">
        <v>3.64</v>
      </c>
      <c r="I26" s="46">
        <v>3.895</v>
      </c>
      <c r="J26" s="46">
        <v>4.1500000000000004</v>
      </c>
      <c r="K26" s="20">
        <v>4.3949999999999996</v>
      </c>
      <c r="L26" s="20">
        <v>4.63</v>
      </c>
      <c r="M26" s="74">
        <v>4.84</v>
      </c>
      <c r="N26" s="74">
        <v>4.9850000000000003</v>
      </c>
      <c r="O26" s="76">
        <v>5</v>
      </c>
      <c r="P26" s="5"/>
      <c r="Q26" s="11" t="s">
        <v>47</v>
      </c>
      <c r="R26" s="66">
        <v>3.0550000000000002</v>
      </c>
      <c r="S26" s="66">
        <v>3.0750000000000002</v>
      </c>
      <c r="T26" s="18"/>
      <c r="U26" s="5" t="s">
        <v>65</v>
      </c>
      <c r="V26" s="11" t="s">
        <v>47</v>
      </c>
      <c r="W26" s="66">
        <v>3.0350000000000001</v>
      </c>
      <c r="X26" s="67">
        <v>3.0550000000000002</v>
      </c>
      <c r="Y26" s="29">
        <f>($W$32*(X26-W26))+W26</f>
        <v>3.0483536925680861</v>
      </c>
    </row>
    <row r="27" spans="2:27" ht="16.2" thickBot="1" x14ac:dyDescent="0.35">
      <c r="B27" s="77"/>
      <c r="C27" s="44">
        <f>L13</f>
        <v>1.7774279618959845</v>
      </c>
      <c r="D27" s="78">
        <f>S13</f>
        <v>2.6917410809529025</v>
      </c>
      <c r="E27" s="73">
        <f>100*((D27-C27)/C27)</f>
        <v>51.440234915716033</v>
      </c>
      <c r="G27" s="15" t="s">
        <v>52</v>
      </c>
      <c r="H27" s="8">
        <v>3.5999999999999997E-2</v>
      </c>
      <c r="I27" s="65">
        <v>0.113</v>
      </c>
      <c r="J27" s="65">
        <v>0.21299999999999999</v>
      </c>
      <c r="K27" s="65">
        <v>0.33</v>
      </c>
      <c r="L27" s="65">
        <v>0.46</v>
      </c>
      <c r="M27" s="68">
        <v>0.60499999999999998</v>
      </c>
      <c r="N27" s="68">
        <v>0.76400000000000001</v>
      </c>
      <c r="O27" s="69">
        <v>0.93899999999999995</v>
      </c>
      <c r="P27" s="5"/>
      <c r="Q27" s="11" t="s">
        <v>48</v>
      </c>
      <c r="R27" s="66">
        <v>3.165</v>
      </c>
      <c r="S27" s="66">
        <v>3.19</v>
      </c>
      <c r="T27" s="27">
        <f>($R$32*(S27-R27))+R27</f>
        <v>3.1824629213299795</v>
      </c>
      <c r="U27" s="5" t="s">
        <v>66</v>
      </c>
      <c r="V27" s="11" t="s">
        <v>48</v>
      </c>
      <c r="W27" s="66">
        <v>3.14</v>
      </c>
      <c r="X27" s="67">
        <v>3.165</v>
      </c>
      <c r="Y27" s="12"/>
    </row>
    <row r="28" spans="2:27" ht="16.2" thickBot="1" x14ac:dyDescent="0.35">
      <c r="G28" s="15" t="s">
        <v>53</v>
      </c>
      <c r="H28" s="8">
        <v>31.7</v>
      </c>
      <c r="I28" s="65">
        <v>30.7</v>
      </c>
      <c r="J28" s="79">
        <v>29.7</v>
      </c>
      <c r="K28" s="65">
        <v>28.7</v>
      </c>
      <c r="L28" s="65">
        <v>27.7</v>
      </c>
      <c r="M28" s="95">
        <v>26.7</v>
      </c>
      <c r="N28" s="95">
        <v>25.7</v>
      </c>
      <c r="O28" s="69">
        <v>24.7</v>
      </c>
      <c r="P28" s="5"/>
      <c r="Q28" s="11" t="s">
        <v>49</v>
      </c>
      <c r="R28" s="66">
        <v>3.3250000000000002</v>
      </c>
      <c r="S28" s="66">
        <v>3.375</v>
      </c>
      <c r="T28" s="26">
        <f>($R$32*(S28-R28))+R28</f>
        <v>3.3599258426599596</v>
      </c>
      <c r="U28" s="5" t="s">
        <v>67</v>
      </c>
      <c r="V28" s="11" t="s">
        <v>49</v>
      </c>
      <c r="W28" s="66">
        <v>3.2850000000000001</v>
      </c>
      <c r="X28" s="67">
        <v>3.3250000000000002</v>
      </c>
      <c r="Y28" s="12"/>
    </row>
    <row r="29" spans="2:27" ht="16.2" thickBot="1" x14ac:dyDescent="0.35">
      <c r="B29" s="80"/>
      <c r="G29" s="16" t="s">
        <v>13</v>
      </c>
      <c r="H29" s="14">
        <v>1.4E-2</v>
      </c>
      <c r="I29" s="46">
        <v>4.4999999999999998E-2</v>
      </c>
      <c r="J29" s="19">
        <v>0.09</v>
      </c>
      <c r="K29" s="19">
        <v>0.14299999999999999</v>
      </c>
      <c r="L29" s="23">
        <v>0.20499999999999999</v>
      </c>
      <c r="M29" s="24">
        <v>0.26800000000000002</v>
      </c>
      <c r="N29" s="75">
        <v>0.33</v>
      </c>
      <c r="O29" s="76">
        <v>0.38700000000000001</v>
      </c>
      <c r="Q29" s="11" t="s">
        <v>50</v>
      </c>
      <c r="R29" s="66">
        <v>3.74</v>
      </c>
      <c r="S29" s="66">
        <v>3.915</v>
      </c>
      <c r="T29" s="26">
        <f>($R$32*(S29-R29))+R29</f>
        <v>3.8622404493098581</v>
      </c>
      <c r="U29" s="5" t="s">
        <v>68</v>
      </c>
      <c r="V29" s="11" t="s">
        <v>50</v>
      </c>
      <c r="W29" s="66">
        <v>3.61</v>
      </c>
      <c r="X29" s="67">
        <v>3.74</v>
      </c>
      <c r="Y29" s="12"/>
    </row>
    <row r="30" spans="2:27" ht="16.2" thickBot="1" x14ac:dyDescent="0.35">
      <c r="Q30" s="17" t="s">
        <v>51</v>
      </c>
      <c r="R30" s="20">
        <v>4.84</v>
      </c>
      <c r="S30" s="20">
        <v>4.9850000000000003</v>
      </c>
      <c r="T30" s="29">
        <f>($R$32*(S30-R30))+R30</f>
        <v>4.9412849437138826</v>
      </c>
      <c r="U30" s="5" t="s">
        <v>69</v>
      </c>
      <c r="V30" s="17" t="s">
        <v>51</v>
      </c>
      <c r="W30" s="66">
        <v>4.63</v>
      </c>
      <c r="X30" s="74">
        <v>4.84</v>
      </c>
      <c r="Y30" s="18"/>
    </row>
    <row r="31" spans="2:27" ht="16.2" thickTop="1" x14ac:dyDescent="0.3">
      <c r="R31" s="81" t="s">
        <v>70</v>
      </c>
      <c r="W31" s="82" t="s">
        <v>70</v>
      </c>
    </row>
    <row r="32" spans="2:27" ht="16.2" thickBot="1" x14ac:dyDescent="0.35">
      <c r="R32" s="83">
        <f>((T22-R22)/(S22-R22))</f>
        <v>0.69851685319918744</v>
      </c>
      <c r="W32" s="83">
        <f>((Y22-W22)/(X22-W22))</f>
        <v>0.66768462840428811</v>
      </c>
    </row>
    <row r="33" spans="1:25" ht="16.2" thickTop="1" x14ac:dyDescent="0.3"/>
    <row r="34" spans="1:25" s="1" customFormat="1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/>
      <c r="R34"/>
      <c r="S34"/>
      <c r="T34"/>
      <c r="U34"/>
      <c r="V34"/>
      <c r="W34"/>
      <c r="X34"/>
      <c r="Y34"/>
    </row>
    <row r="35" spans="1:25" x14ac:dyDescent="0.3">
      <c r="Q35" s="1"/>
      <c r="R35" t="s">
        <v>71</v>
      </c>
      <c r="W35" t="s">
        <v>71</v>
      </c>
      <c r="Y35" s="1"/>
    </row>
    <row r="36" spans="1:25" x14ac:dyDescent="0.3">
      <c r="R36" t="s">
        <v>75</v>
      </c>
      <c r="W36" t="s">
        <v>75</v>
      </c>
    </row>
    <row r="38" spans="1:25" x14ac:dyDescent="0.3">
      <c r="P38" s="5"/>
    </row>
    <row r="39" spans="1:25" x14ac:dyDescent="0.3">
      <c r="P39" s="5"/>
    </row>
    <row r="40" spans="1:25" x14ac:dyDescent="0.3">
      <c r="P40" s="5"/>
      <c r="Q40" s="5"/>
      <c r="R40" s="5"/>
      <c r="S40" s="5"/>
    </row>
    <row r="41" spans="1:25" x14ac:dyDescent="0.3">
      <c r="P41" s="5"/>
      <c r="Q41" s="5"/>
      <c r="R41" s="5"/>
      <c r="S41" s="5"/>
    </row>
    <row r="42" spans="1:25" x14ac:dyDescent="0.3">
      <c r="P42" s="5"/>
      <c r="Q42" s="5"/>
      <c r="R42" s="5"/>
      <c r="S42" s="5"/>
    </row>
    <row r="43" spans="1:25" x14ac:dyDescent="0.3">
      <c r="P43" s="5"/>
      <c r="Q43" s="5"/>
      <c r="R43" s="5"/>
      <c r="S43" s="5"/>
    </row>
    <row r="44" spans="1:25" x14ac:dyDescent="0.3">
      <c r="P44" s="5"/>
      <c r="Q44" s="5"/>
      <c r="R44" s="5"/>
      <c r="S44" s="5"/>
    </row>
  </sheetData>
  <mergeCells count="29">
    <mergeCell ref="C25:C26"/>
    <mergeCell ref="D25:D26"/>
    <mergeCell ref="E25:E26"/>
    <mergeCell ref="G16:O17"/>
    <mergeCell ref="Q16:T18"/>
    <mergeCell ref="V16:Y18"/>
    <mergeCell ref="H18:O18"/>
    <mergeCell ref="Q19:S20"/>
    <mergeCell ref="T19:T20"/>
    <mergeCell ref="V19:X20"/>
    <mergeCell ref="Y19:Y20"/>
    <mergeCell ref="S2:S3"/>
    <mergeCell ref="K13:K14"/>
    <mergeCell ref="L13:L14"/>
    <mergeCell ref="R13:R14"/>
    <mergeCell ref="S13:S14"/>
    <mergeCell ref="Q2:Q3"/>
    <mergeCell ref="R2:R3"/>
    <mergeCell ref="B14:E14"/>
    <mergeCell ref="M2:M3"/>
    <mergeCell ref="N2:N3"/>
    <mergeCell ref="O2:O3"/>
    <mergeCell ref="P2:P3"/>
    <mergeCell ref="B2:E2"/>
    <mergeCell ref="G2:G3"/>
    <mergeCell ref="H2:H3"/>
    <mergeCell ref="I2:I3"/>
    <mergeCell ref="J2:K2"/>
    <mergeCell ref="L2:L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F448-7E60-654D-A9E4-67175892E9FB}">
  <sheetPr>
    <tabColor rgb="FFFFFF00"/>
  </sheetPr>
  <dimension ref="A5"/>
  <sheetViews>
    <sheetView topLeftCell="A33" zoomScale="69" workbookViewId="0">
      <selection activeCell="E62" sqref="E62"/>
    </sheetView>
  </sheetViews>
  <sheetFormatPr defaultColWidth="11.19921875" defaultRowHeight="15.6" x14ac:dyDescent="0.3"/>
  <cols>
    <col min="1" max="1" width="5.69921875" customWidth="1"/>
  </cols>
  <sheetData>
    <row r="5" customFormat="1" x14ac:dyDescent="0.3"/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4F09C-2B54-5C4F-92F7-E941DFCD7624}">
  <sheetPr>
    <tabColor theme="3" tint="0.39997558519241921"/>
  </sheetPr>
  <dimension ref="A2:AX61"/>
  <sheetViews>
    <sheetView topLeftCell="A42" workbookViewId="0">
      <selection activeCell="C95" sqref="C95"/>
    </sheetView>
  </sheetViews>
  <sheetFormatPr defaultColWidth="10.796875" defaultRowHeight="14.4" x14ac:dyDescent="0.3"/>
  <cols>
    <col min="1" max="1" width="19.5" style="94" customWidth="1"/>
    <col min="2" max="2" width="12" style="94" bestFit="1" customWidth="1"/>
    <col min="3" max="9" width="10.796875" style="94"/>
    <col min="10" max="50" width="10.796875" style="93"/>
    <col min="51" max="16384" width="10.796875" style="94"/>
  </cols>
  <sheetData>
    <row r="2" spans="1:50" s="98" customFormat="1" x14ac:dyDescent="0.3">
      <c r="B2" s="98" t="s">
        <v>96</v>
      </c>
      <c r="C2" s="98" t="s">
        <v>105</v>
      </c>
      <c r="D2" s="98" t="s">
        <v>96</v>
      </c>
      <c r="E2" s="98" t="s">
        <v>97</v>
      </c>
      <c r="F2" s="98" t="s">
        <v>104</v>
      </c>
      <c r="G2" s="98" t="s">
        <v>114</v>
      </c>
      <c r="H2" s="98" t="s">
        <v>105</v>
      </c>
      <c r="I2" s="98" t="s">
        <v>96</v>
      </c>
      <c r="J2" s="98" t="s">
        <v>95</v>
      </c>
      <c r="K2" s="98" t="s">
        <v>97</v>
      </c>
      <c r="L2" s="98" t="s">
        <v>106</v>
      </c>
      <c r="M2" s="98" t="s">
        <v>99</v>
      </c>
    </row>
    <row r="4" spans="1:50" x14ac:dyDescent="0.3">
      <c r="A4" s="122" t="s">
        <v>115</v>
      </c>
      <c r="B4" s="143" t="s">
        <v>103</v>
      </c>
      <c r="G4" s="122" t="s">
        <v>115</v>
      </c>
      <c r="H4" s="143" t="s">
        <v>119</v>
      </c>
      <c r="J4" s="94"/>
      <c r="K4" s="94"/>
    </row>
    <row r="5" spans="1:50" ht="26.4" x14ac:dyDescent="0.3">
      <c r="A5" s="90" t="s">
        <v>82</v>
      </c>
      <c r="B5" s="96" t="s">
        <v>93</v>
      </c>
      <c r="C5" s="96" t="s">
        <v>94</v>
      </c>
      <c r="D5" s="97" t="s">
        <v>85</v>
      </c>
      <c r="E5" s="123"/>
      <c r="F5" s="123"/>
      <c r="G5" s="90" t="s">
        <v>82</v>
      </c>
      <c r="H5" s="96" t="s">
        <v>93</v>
      </c>
      <c r="I5" s="96" t="s">
        <v>94</v>
      </c>
      <c r="J5" s="97" t="s">
        <v>121</v>
      </c>
      <c r="K5" s="123"/>
      <c r="N5" s="93" t="s">
        <v>117</v>
      </c>
      <c r="O5" s="143" t="s">
        <v>103</v>
      </c>
      <c r="P5" s="143"/>
      <c r="Q5" s="143"/>
      <c r="R5" s="143" t="s">
        <v>119</v>
      </c>
      <c r="AV5" s="94"/>
      <c r="AW5" s="94"/>
      <c r="AX5" s="94"/>
    </row>
    <row r="6" spans="1:50" ht="15.6" x14ac:dyDescent="0.3">
      <c r="A6" s="88" t="s">
        <v>3</v>
      </c>
      <c r="B6" s="126">
        <v>91172</v>
      </c>
      <c r="C6" s="126">
        <v>53507</v>
      </c>
      <c r="D6" s="126">
        <v>144679</v>
      </c>
      <c r="E6" s="71"/>
      <c r="F6" s="71"/>
      <c r="G6" s="88" t="s">
        <v>3</v>
      </c>
      <c r="H6" s="126">
        <v>1151573</v>
      </c>
      <c r="I6" s="126">
        <v>332949</v>
      </c>
      <c r="J6" s="126">
        <v>1484522</v>
      </c>
      <c r="K6" s="71"/>
      <c r="N6" s="93" t="s">
        <v>82</v>
      </c>
      <c r="O6" s="93" t="s">
        <v>125</v>
      </c>
      <c r="P6" s="93" t="s">
        <v>126</v>
      </c>
      <c r="Q6" s="93" t="s">
        <v>127</v>
      </c>
      <c r="R6" s="93" t="s">
        <v>128</v>
      </c>
      <c r="S6" s="93" t="s">
        <v>129</v>
      </c>
      <c r="T6" s="93" t="s">
        <v>130</v>
      </c>
      <c r="AV6" s="94"/>
      <c r="AW6" s="94"/>
      <c r="AX6" s="94"/>
    </row>
    <row r="7" spans="1:50" ht="15.6" x14ac:dyDescent="0.3">
      <c r="A7" s="88" t="s">
        <v>77</v>
      </c>
      <c r="B7" s="126">
        <v>96416</v>
      </c>
      <c r="C7" s="126">
        <v>49018</v>
      </c>
      <c r="D7" s="126">
        <v>145434</v>
      </c>
      <c r="E7" s="71"/>
      <c r="F7" s="71"/>
      <c r="G7" s="88" t="s">
        <v>77</v>
      </c>
      <c r="H7" s="126">
        <v>1279002</v>
      </c>
      <c r="I7" s="126">
        <v>322479</v>
      </c>
      <c r="J7" s="126">
        <v>1601481</v>
      </c>
      <c r="K7" s="71"/>
      <c r="N7" s="93" t="s">
        <v>3</v>
      </c>
      <c r="O7" s="145">
        <v>2.8078796121616288E-3</v>
      </c>
      <c r="P7" s="145">
        <v>2.2426972171865362E-3</v>
      </c>
      <c r="Q7" s="145">
        <v>2.5988567794911492E-3</v>
      </c>
      <c r="R7" s="145">
        <v>2.7360319621590277E-3</v>
      </c>
      <c r="S7" s="145">
        <v>4.6891850260569684E-3</v>
      </c>
      <c r="T7" s="145">
        <v>3.1740856652848525E-3</v>
      </c>
      <c r="AV7" s="94"/>
      <c r="AW7" s="94"/>
      <c r="AX7" s="94"/>
    </row>
    <row r="8" spans="1:50" ht="15.6" x14ac:dyDescent="0.3">
      <c r="A8" s="88" t="s">
        <v>78</v>
      </c>
      <c r="B8" s="126">
        <v>94459</v>
      </c>
      <c r="C8" s="126">
        <v>41761</v>
      </c>
      <c r="D8" s="126">
        <v>136220</v>
      </c>
      <c r="E8" s="71"/>
      <c r="F8" s="71"/>
      <c r="G8" s="88" t="s">
        <v>78</v>
      </c>
      <c r="H8" s="126">
        <v>1421536</v>
      </c>
      <c r="I8" s="126">
        <v>278210</v>
      </c>
      <c r="J8" s="126">
        <v>1699746</v>
      </c>
      <c r="K8" s="71"/>
      <c r="N8" s="93" t="s">
        <v>77</v>
      </c>
      <c r="O8" s="145">
        <v>4.8095785925911391E-2</v>
      </c>
      <c r="P8" s="145">
        <v>3.4207774780026255E-2</v>
      </c>
      <c r="Q8" s="145">
        <v>4.3414882352132242E-2</v>
      </c>
      <c r="R8" s="145">
        <v>6.3751571494287437E-2</v>
      </c>
      <c r="S8" s="145">
        <v>9.1651278240330009E-2</v>
      </c>
      <c r="T8" s="145">
        <v>6.9369539819704382E-2</v>
      </c>
      <c r="AV8" s="94"/>
      <c r="AW8" s="94"/>
      <c r="AX8" s="94"/>
    </row>
    <row r="9" spans="1:50" ht="15.6" x14ac:dyDescent="0.3">
      <c r="A9" s="88" t="s">
        <v>38</v>
      </c>
      <c r="B9" s="126">
        <v>89789</v>
      </c>
      <c r="C9" s="126">
        <v>37530</v>
      </c>
      <c r="D9" s="126">
        <v>127319</v>
      </c>
      <c r="E9" s="71"/>
      <c r="F9" s="71"/>
      <c r="G9" s="88" t="s">
        <v>38</v>
      </c>
      <c r="H9" s="126">
        <v>1372054</v>
      </c>
      <c r="I9" s="126">
        <v>254833</v>
      </c>
      <c r="J9" s="126">
        <v>1626887</v>
      </c>
      <c r="K9" s="71"/>
      <c r="N9" s="93" t="s">
        <v>78</v>
      </c>
      <c r="O9" s="145">
        <v>7.1222974897236432E-2</v>
      </c>
      <c r="P9" s="145">
        <v>4.6726587346613918E-2</v>
      </c>
      <c r="Q9" s="145">
        <v>6.3713111143738066E-2</v>
      </c>
      <c r="R9" s="145">
        <v>9.5972242217985212E-2</v>
      </c>
      <c r="S9" s="145">
        <v>0.12471155848608666</v>
      </c>
      <c r="T9" s="145">
        <v>0.10067621868208544</v>
      </c>
      <c r="AV9" s="94"/>
      <c r="AW9" s="94"/>
      <c r="AX9" s="94"/>
    </row>
    <row r="10" spans="1:50" ht="15.6" x14ac:dyDescent="0.3">
      <c r="A10" s="88" t="s">
        <v>79</v>
      </c>
      <c r="B10" s="126">
        <v>82044</v>
      </c>
      <c r="C10" s="126">
        <v>34747</v>
      </c>
      <c r="D10" s="126">
        <v>116791</v>
      </c>
      <c r="E10" s="71"/>
      <c r="F10" s="71"/>
      <c r="G10" s="88" t="s">
        <v>79</v>
      </c>
      <c r="H10" s="126">
        <v>1253223</v>
      </c>
      <c r="I10" s="126">
        <v>241132</v>
      </c>
      <c r="J10" s="126">
        <v>1494355</v>
      </c>
      <c r="K10" s="71"/>
      <c r="N10" s="93" t="s">
        <v>38</v>
      </c>
      <c r="O10" s="145">
        <v>5.9728871860856729E-2</v>
      </c>
      <c r="P10" s="145">
        <v>3.5918047548242349E-2</v>
      </c>
      <c r="Q10" s="145">
        <v>5.2710121819995445E-2</v>
      </c>
      <c r="R10" s="145">
        <v>8.7734995871399782E-2</v>
      </c>
      <c r="S10" s="145">
        <v>9.5858260016020075E-2</v>
      </c>
      <c r="T10" s="145">
        <v>8.9007411086326219E-2</v>
      </c>
      <c r="AV10" s="94"/>
      <c r="AW10" s="94"/>
      <c r="AX10" s="94"/>
    </row>
    <row r="11" spans="1:50" ht="15.6" x14ac:dyDescent="0.3">
      <c r="A11" s="88" t="s">
        <v>39</v>
      </c>
      <c r="B11" s="126">
        <v>77956</v>
      </c>
      <c r="C11" s="126">
        <v>31809</v>
      </c>
      <c r="D11" s="126">
        <v>109765</v>
      </c>
      <c r="E11" s="71"/>
      <c r="F11" s="71"/>
      <c r="G11" s="88" t="s">
        <v>39</v>
      </c>
      <c r="H11" s="126">
        <v>1226294</v>
      </c>
      <c r="I11" s="126">
        <v>238427</v>
      </c>
      <c r="J11" s="126">
        <v>1464721</v>
      </c>
      <c r="K11" s="71"/>
      <c r="N11" s="93" t="s">
        <v>79</v>
      </c>
      <c r="O11" s="145">
        <v>4.0307814602819216E-2</v>
      </c>
      <c r="P11" s="145">
        <v>2.3368511201723903E-2</v>
      </c>
      <c r="Q11" s="145">
        <v>3.5268128537301678E-2</v>
      </c>
      <c r="R11" s="145">
        <v>6.5334373392951159E-2</v>
      </c>
      <c r="S11" s="145">
        <v>6.3473369662116919E-2</v>
      </c>
      <c r="T11" s="145">
        <v>6.503407824780591E-2</v>
      </c>
      <c r="AV11" s="94"/>
      <c r="AW11" s="94"/>
      <c r="AX11" s="94"/>
    </row>
    <row r="12" spans="1:50" ht="15.6" x14ac:dyDescent="0.3">
      <c r="A12" s="88" t="s">
        <v>80</v>
      </c>
      <c r="B12" s="126">
        <v>66840</v>
      </c>
      <c r="C12" s="126">
        <v>28035</v>
      </c>
      <c r="D12" s="126">
        <v>94875</v>
      </c>
      <c r="E12" s="71"/>
      <c r="F12" s="71"/>
      <c r="G12" s="88" t="s">
        <v>80</v>
      </c>
      <c r="H12" s="126">
        <v>1057964</v>
      </c>
      <c r="I12" s="126">
        <v>213627</v>
      </c>
      <c r="J12" s="126">
        <v>1271591</v>
      </c>
      <c r="K12" s="71"/>
      <c r="N12" s="93" t="s">
        <v>39</v>
      </c>
      <c r="O12" s="145">
        <v>2.2397809530248069E-2</v>
      </c>
      <c r="P12" s="145">
        <v>1.2982374807758226E-2</v>
      </c>
      <c r="Q12" s="145">
        <v>1.9669293490639093E-2</v>
      </c>
      <c r="R12" s="145">
        <v>3.6182774566426566E-2</v>
      </c>
      <c r="S12" s="145">
        <v>3.4607157099818819E-2</v>
      </c>
      <c r="T12" s="145">
        <v>3.5926295861123038E-2</v>
      </c>
      <c r="AV12" s="94"/>
      <c r="AW12" s="94"/>
      <c r="AX12" s="94"/>
    </row>
    <row r="13" spans="1:50" ht="15.6" x14ac:dyDescent="0.3">
      <c r="A13" s="88" t="s">
        <v>81</v>
      </c>
      <c r="B13" s="126">
        <v>62898</v>
      </c>
      <c r="C13" s="126">
        <v>25976</v>
      </c>
      <c r="D13" s="126">
        <v>88874</v>
      </c>
      <c r="E13" s="71"/>
      <c r="F13" s="71"/>
      <c r="G13" s="88" t="s">
        <v>81</v>
      </c>
      <c r="H13" s="126">
        <v>1039563</v>
      </c>
      <c r="I13" s="126">
        <v>208719</v>
      </c>
      <c r="J13" s="126">
        <v>1248282</v>
      </c>
      <c r="K13" s="71"/>
      <c r="N13" s="93" t="s">
        <v>80</v>
      </c>
      <c r="O13" s="145">
        <v>6.4033512866546981E-3</v>
      </c>
      <c r="P13" s="145">
        <v>5.2434456928838954E-3</v>
      </c>
      <c r="Q13" s="145">
        <v>6.0606060606060606E-3</v>
      </c>
      <c r="R13" s="145">
        <v>9.7162523330190983E-3</v>
      </c>
      <c r="S13" s="145">
        <v>1.1204364695238814E-2</v>
      </c>
      <c r="T13" s="145">
        <v>9.9662548728325379E-3</v>
      </c>
      <c r="AV13" s="94"/>
      <c r="AW13" s="94"/>
      <c r="AX13" s="94"/>
    </row>
    <row r="14" spans="1:50" ht="15.6" x14ac:dyDescent="0.3">
      <c r="A14" s="88" t="s">
        <v>83</v>
      </c>
      <c r="B14" s="91"/>
      <c r="C14" s="91"/>
      <c r="D14" s="91"/>
      <c r="E14" s="91"/>
      <c r="F14" s="91"/>
      <c r="G14" s="88" t="s">
        <v>83</v>
      </c>
      <c r="H14" s="91"/>
      <c r="I14" s="91"/>
      <c r="J14" s="91"/>
      <c r="K14" s="91"/>
      <c r="N14" s="93" t="s">
        <v>81</v>
      </c>
      <c r="O14" s="145">
        <v>5.5645648510286498E-4</v>
      </c>
      <c r="P14" s="145">
        <v>6.5445026178010475E-4</v>
      </c>
      <c r="Q14" s="145">
        <v>5.8509800391565582E-4</v>
      </c>
      <c r="R14" s="145">
        <v>5.9731479931462029E-4</v>
      </c>
      <c r="S14" s="145">
        <v>1.0638879799160371E-3</v>
      </c>
      <c r="T14" s="145">
        <v>6.7532817103827501E-4</v>
      </c>
      <c r="AV14" s="94"/>
      <c r="AW14" s="94"/>
      <c r="AX14" s="94"/>
    </row>
    <row r="15" spans="1:50" x14ac:dyDescent="0.3">
      <c r="J15" s="94"/>
      <c r="K15" s="94"/>
      <c r="N15" s="93" t="s">
        <v>83</v>
      </c>
      <c r="O15" s="146">
        <v>1.243565322944147</v>
      </c>
      <c r="P15" s="146">
        <v>0.79550595819514314</v>
      </c>
      <c r="Q15" s="146">
        <v>1.1071062070416413</v>
      </c>
      <c r="R15" s="146">
        <v>1.7964476233769195</v>
      </c>
      <c r="S15" s="146">
        <v>2.1128493808976363</v>
      </c>
      <c r="T15" s="146">
        <v>1.8532756337045788</v>
      </c>
      <c r="AV15" s="94"/>
      <c r="AW15" s="94"/>
      <c r="AX15" s="94"/>
    </row>
    <row r="16" spans="1:50" x14ac:dyDescent="0.3">
      <c r="A16" s="122" t="s">
        <v>116</v>
      </c>
      <c r="G16" s="122" t="s">
        <v>116</v>
      </c>
      <c r="J16" s="94"/>
      <c r="K16" s="94"/>
      <c r="AV16" s="94"/>
      <c r="AW16" s="94"/>
      <c r="AX16" s="94"/>
    </row>
    <row r="17" spans="1:50" ht="26.4" x14ac:dyDescent="0.3">
      <c r="A17" s="90" t="s">
        <v>82</v>
      </c>
      <c r="B17" s="96" t="s">
        <v>93</v>
      </c>
      <c r="C17" s="96" t="s">
        <v>94</v>
      </c>
      <c r="D17" s="97" t="s">
        <v>85</v>
      </c>
      <c r="E17" s="125" t="s">
        <v>118</v>
      </c>
      <c r="F17" s="123"/>
      <c r="G17" s="90" t="s">
        <v>82</v>
      </c>
      <c r="H17" s="96" t="s">
        <v>93</v>
      </c>
      <c r="I17" s="96" t="s">
        <v>94</v>
      </c>
      <c r="J17" s="97" t="s">
        <v>121</v>
      </c>
      <c r="K17" s="125" t="s">
        <v>118</v>
      </c>
      <c r="AV17" s="94"/>
      <c r="AW17" s="94"/>
      <c r="AX17" s="94"/>
    </row>
    <row r="18" spans="1:50" ht="15.6" x14ac:dyDescent="0.3">
      <c r="A18" s="88" t="s">
        <v>3</v>
      </c>
      <c r="B18">
        <v>256</v>
      </c>
      <c r="C18">
        <v>120</v>
      </c>
      <c r="D18" s="124">
        <v>376</v>
      </c>
      <c r="F18" s="71"/>
      <c r="G18" s="88" t="s">
        <v>3</v>
      </c>
      <c r="H18">
        <v>3126</v>
      </c>
      <c r="I18">
        <v>1549</v>
      </c>
      <c r="J18" s="124">
        <v>4712</v>
      </c>
      <c r="K18" s="94">
        <v>37</v>
      </c>
      <c r="O18" s="143" t="s">
        <v>103</v>
      </c>
      <c r="P18" s="143"/>
      <c r="Q18" s="143"/>
      <c r="R18" s="143" t="s">
        <v>119</v>
      </c>
      <c r="AV18" s="94"/>
      <c r="AW18" s="94"/>
      <c r="AX18" s="94"/>
    </row>
    <row r="19" spans="1:50" ht="15.6" x14ac:dyDescent="0.3">
      <c r="A19" s="88" t="s">
        <v>77</v>
      </c>
      <c r="B19">
        <v>4635</v>
      </c>
      <c r="C19">
        <v>1676</v>
      </c>
      <c r="D19" s="124">
        <v>6314</v>
      </c>
      <c r="E19">
        <v>3</v>
      </c>
      <c r="G19" s="88" t="s">
        <v>77</v>
      </c>
      <c r="H19">
        <v>80927</v>
      </c>
      <c r="I19">
        <v>29334</v>
      </c>
      <c r="J19" s="124">
        <v>111094</v>
      </c>
      <c r="K19">
        <v>833</v>
      </c>
      <c r="N19" s="93" t="s">
        <v>82</v>
      </c>
      <c r="O19" s="93" t="s">
        <v>125</v>
      </c>
      <c r="P19" s="93" t="s">
        <v>126</v>
      </c>
      <c r="Q19" s="93" t="s">
        <v>127</v>
      </c>
      <c r="R19" s="93" t="s">
        <v>128</v>
      </c>
      <c r="S19" s="93" t="s">
        <v>129</v>
      </c>
      <c r="T19" s="93" t="s">
        <v>130</v>
      </c>
      <c r="AV19" s="94"/>
      <c r="AW19" s="94"/>
      <c r="AX19" s="94"/>
    </row>
    <row r="20" spans="1:50" ht="15.6" x14ac:dyDescent="0.3">
      <c r="A20" s="88" t="s">
        <v>78</v>
      </c>
      <c r="B20">
        <v>6723</v>
      </c>
      <c r="C20" s="94">
        <v>1950</v>
      </c>
      <c r="D20" s="124">
        <v>8679</v>
      </c>
      <c r="E20">
        <v>6</v>
      </c>
      <c r="F20"/>
      <c r="G20" s="88" t="s">
        <v>78</v>
      </c>
      <c r="H20">
        <v>135327</v>
      </c>
      <c r="I20" s="94">
        <v>34416</v>
      </c>
      <c r="J20" s="124">
        <v>171124</v>
      </c>
      <c r="K20">
        <v>1381</v>
      </c>
      <c r="N20" s="93" t="s">
        <v>3</v>
      </c>
      <c r="O20" s="147">
        <v>1.1163601588255192E-2</v>
      </c>
      <c r="P20" s="147">
        <v>1.3900106369601394E-2</v>
      </c>
      <c r="Q20" s="147">
        <v>1.1600998305572818E-2</v>
      </c>
      <c r="R20" s="147">
        <v>7.5575657905784842E-3</v>
      </c>
      <c r="S20" s="147">
        <v>1.0975039389043345E-2</v>
      </c>
      <c r="T20" s="147">
        <v>8.4907373740388953E-3</v>
      </c>
      <c r="AV20" s="94"/>
      <c r="AW20" s="94"/>
      <c r="AX20" s="94"/>
    </row>
    <row r="21" spans="1:50" ht="15.6" x14ac:dyDescent="0.3">
      <c r="A21" s="88" t="s">
        <v>38</v>
      </c>
      <c r="B21">
        <v>5359</v>
      </c>
      <c r="C21" s="94">
        <v>1347</v>
      </c>
      <c r="D21" s="124">
        <v>6711</v>
      </c>
      <c r="E21">
        <v>5</v>
      </c>
      <c r="G21" s="88" t="s">
        <v>38</v>
      </c>
      <c r="H21">
        <v>119688</v>
      </c>
      <c r="I21" s="94">
        <v>24288</v>
      </c>
      <c r="J21" s="124">
        <v>144805</v>
      </c>
      <c r="K21">
        <v>829</v>
      </c>
      <c r="N21" s="93" t="s">
        <v>77</v>
      </c>
      <c r="O21" s="147">
        <v>0.19121980508898664</v>
      </c>
      <c r="P21" s="147">
        <v>0.21201779021522899</v>
      </c>
      <c r="Q21" s="147">
        <v>0.19379905063577385</v>
      </c>
      <c r="R21" s="147">
        <v>0.17609688135391779</v>
      </c>
      <c r="S21" s="147">
        <v>0.214509852597907</v>
      </c>
      <c r="T21" s="147">
        <v>0.18556479140085994</v>
      </c>
      <c r="AV21" s="94"/>
      <c r="AW21" s="94"/>
      <c r="AX21" s="94"/>
    </row>
    <row r="22" spans="1:50" ht="15.6" x14ac:dyDescent="0.3">
      <c r="A22" s="88" t="s">
        <v>79</v>
      </c>
      <c r="B22">
        <v>3303</v>
      </c>
      <c r="C22">
        <v>811</v>
      </c>
      <c r="D22" s="124">
        <v>4119</v>
      </c>
      <c r="E22">
        <v>5</v>
      </c>
      <c r="G22" s="88" t="s">
        <v>79</v>
      </c>
      <c r="H22">
        <v>81523</v>
      </c>
      <c r="I22">
        <v>15239</v>
      </c>
      <c r="J22" s="124">
        <v>97184</v>
      </c>
      <c r="K22">
        <v>422</v>
      </c>
      <c r="N22" s="93" t="s">
        <v>78</v>
      </c>
      <c r="O22" s="147">
        <v>0.28316916161193306</v>
      </c>
      <c r="P22" s="147">
        <v>0.28960865935402885</v>
      </c>
      <c r="Q22" s="147">
        <v>0.28440801365206403</v>
      </c>
      <c r="R22" s="147">
        <v>0.26509797570471483</v>
      </c>
      <c r="S22" s="147">
        <v>0.29188745145437461</v>
      </c>
      <c r="T22" s="147">
        <v>0.26931073158801522</v>
      </c>
      <c r="AV22" s="94"/>
      <c r="AW22" s="94"/>
      <c r="AX22" s="94"/>
    </row>
    <row r="23" spans="1:50" ht="15.6" x14ac:dyDescent="0.3">
      <c r="A23" s="88" t="s">
        <v>39</v>
      </c>
      <c r="B23">
        <v>1742</v>
      </c>
      <c r="C23">
        <v>412</v>
      </c>
      <c r="D23" s="124">
        <v>2159</v>
      </c>
      <c r="E23">
        <v>5</v>
      </c>
      <c r="G23" s="88" t="s">
        <v>39</v>
      </c>
      <c r="H23">
        <v>44181</v>
      </c>
      <c r="I23">
        <v>8216</v>
      </c>
      <c r="J23" s="124">
        <v>52622</v>
      </c>
      <c r="K23">
        <v>225</v>
      </c>
      <c r="N23" s="93" t="s">
        <v>38</v>
      </c>
      <c r="O23" s="147">
        <v>0.23747076829167449</v>
      </c>
      <c r="P23" s="147">
        <v>0.2226179609458368</v>
      </c>
      <c r="Q23" s="147">
        <v>0.23529193249349911</v>
      </c>
      <c r="R23" s="147">
        <v>0.24234475788470194</v>
      </c>
      <c r="S23" s="147">
        <v>0.22435629509071067</v>
      </c>
      <c r="T23" s="147">
        <v>0.23809645723890427</v>
      </c>
      <c r="AV23" s="94"/>
      <c r="AW23" s="94"/>
      <c r="AX23" s="94"/>
    </row>
    <row r="24" spans="1:50" ht="15.6" x14ac:dyDescent="0.3">
      <c r="A24" s="88" t="s">
        <v>80</v>
      </c>
      <c r="B24">
        <v>428</v>
      </c>
      <c r="C24">
        <v>147</v>
      </c>
      <c r="D24" s="124">
        <v>575</v>
      </c>
      <c r="F24" s="71"/>
      <c r="G24" s="88" t="s">
        <v>80</v>
      </c>
      <c r="H24">
        <v>10247</v>
      </c>
      <c r="I24">
        <v>2386</v>
      </c>
      <c r="J24" s="124">
        <v>12673</v>
      </c>
      <c r="K24" s="94">
        <v>40</v>
      </c>
      <c r="N24" s="93" t="s">
        <v>79</v>
      </c>
      <c r="O24" s="147">
        <v>0.16025629488178583</v>
      </c>
      <c r="P24" s="147">
        <v>0.14483666761341804</v>
      </c>
      <c r="Q24" s="147">
        <v>0.1574328768829158</v>
      </c>
      <c r="R24" s="147">
        <v>0.18046895362794349</v>
      </c>
      <c r="S24" s="147">
        <v>0.14855944654050399</v>
      </c>
      <c r="T24" s="147">
        <v>0.17396735217455467</v>
      </c>
      <c r="AV24" s="94"/>
      <c r="AW24" s="94"/>
      <c r="AX24" s="94"/>
    </row>
    <row r="25" spans="1:50" ht="15.6" x14ac:dyDescent="0.3">
      <c r="A25" s="88" t="s">
        <v>81</v>
      </c>
      <c r="B25">
        <v>35</v>
      </c>
      <c r="C25">
        <v>17</v>
      </c>
      <c r="D25" s="124">
        <v>52</v>
      </c>
      <c r="F25" s="71"/>
      <c r="G25" s="88" t="s">
        <v>81</v>
      </c>
      <c r="H25">
        <v>618</v>
      </c>
      <c r="I25">
        <v>221</v>
      </c>
      <c r="J25" s="124">
        <v>843</v>
      </c>
      <c r="K25" s="94">
        <v>4</v>
      </c>
      <c r="N25" s="93" t="s">
        <v>39</v>
      </c>
      <c r="O25" s="147">
        <v>8.9049480954357108E-2</v>
      </c>
      <c r="P25" s="147">
        <v>8.0464000835679159E-2</v>
      </c>
      <c r="Q25" s="147">
        <v>8.7801468036802097E-2</v>
      </c>
      <c r="R25" s="147">
        <v>9.9945359942233233E-2</v>
      </c>
      <c r="S25" s="147">
        <v>8.0998064738917006E-2</v>
      </c>
      <c r="T25" s="147">
        <v>9.6103500392274679E-2</v>
      </c>
      <c r="AV25" s="94"/>
      <c r="AW25" s="94"/>
      <c r="AX25" s="94"/>
    </row>
    <row r="26" spans="1:50" ht="15.6" x14ac:dyDescent="0.3">
      <c r="A26" s="88"/>
      <c r="B26" s="91"/>
      <c r="C26" s="91"/>
      <c r="D26" s="91"/>
      <c r="E26" s="91"/>
      <c r="F26" s="91"/>
      <c r="G26" s="88"/>
      <c r="H26" s="91"/>
      <c r="I26" s="91"/>
      <c r="J26" s="91"/>
      <c r="K26" s="91"/>
      <c r="N26" s="93" t="s">
        <v>80</v>
      </c>
      <c r="O26" s="147">
        <v>2.5458521185964395E-2</v>
      </c>
      <c r="P26" s="147">
        <v>3.2498570166216184E-2</v>
      </c>
      <c r="Q26" s="147">
        <v>2.7053849675241295E-2</v>
      </c>
      <c r="R26" s="147">
        <v>2.6838581295924733E-2</v>
      </c>
      <c r="S26" s="147">
        <v>2.6223819955096539E-2</v>
      </c>
      <c r="T26" s="147">
        <v>2.6659914586886976E-2</v>
      </c>
      <c r="AV26" s="94"/>
      <c r="AW26" s="94"/>
      <c r="AX26" s="94"/>
    </row>
    <row r="27" spans="1:50" x14ac:dyDescent="0.3">
      <c r="A27" s="122" t="s">
        <v>116</v>
      </c>
      <c r="B27" s="94" t="s">
        <v>120</v>
      </c>
      <c r="G27" s="122" t="s">
        <v>116</v>
      </c>
      <c r="H27" s="94" t="s">
        <v>120</v>
      </c>
      <c r="J27" s="94"/>
      <c r="K27" s="94"/>
      <c r="N27" s="93" t="s">
        <v>81</v>
      </c>
      <c r="O27" s="147">
        <v>2.2123663970432584E-3</v>
      </c>
      <c r="P27" s="147">
        <v>4.0562444999905209E-3</v>
      </c>
      <c r="Q27" s="147">
        <v>2.6118103181309526E-3</v>
      </c>
      <c r="R27" s="147">
        <v>1.6499243999855157E-3</v>
      </c>
      <c r="S27" s="147">
        <v>2.4900302334468832E-3</v>
      </c>
      <c r="T27" s="147">
        <v>1.8065152444653452E-3</v>
      </c>
      <c r="AV27" s="94"/>
      <c r="AW27" s="94"/>
      <c r="AX27" s="94"/>
    </row>
    <row r="28" spans="1:50" ht="26.4" x14ac:dyDescent="0.3">
      <c r="A28" s="90" t="s">
        <v>82</v>
      </c>
      <c r="B28" s="96" t="s">
        <v>93</v>
      </c>
      <c r="C28" s="96" t="s">
        <v>94</v>
      </c>
      <c r="D28" s="97" t="s">
        <v>85</v>
      </c>
      <c r="E28" s="125" t="s">
        <v>118</v>
      </c>
      <c r="F28" s="123"/>
      <c r="G28" s="90" t="s">
        <v>82</v>
      </c>
      <c r="H28" s="96" t="s">
        <v>93</v>
      </c>
      <c r="I28" s="96" t="s">
        <v>94</v>
      </c>
      <c r="J28" s="97" t="s">
        <v>121</v>
      </c>
      <c r="K28" s="125" t="s">
        <v>118</v>
      </c>
      <c r="N28" s="93" t="s">
        <v>83</v>
      </c>
      <c r="O28" s="93">
        <v>1</v>
      </c>
      <c r="P28" s="93">
        <v>1</v>
      </c>
      <c r="Q28" s="93">
        <v>0.99999999999999989</v>
      </c>
      <c r="R28" s="93">
        <v>1</v>
      </c>
      <c r="S28" s="93">
        <v>1.0000000000000002</v>
      </c>
      <c r="T28" s="93">
        <v>1</v>
      </c>
      <c r="AV28" s="94"/>
      <c r="AW28" s="94"/>
      <c r="AX28" s="94"/>
    </row>
    <row r="29" spans="1:50" ht="15.6" x14ac:dyDescent="0.3">
      <c r="A29" s="88" t="s">
        <v>3</v>
      </c>
      <c r="B29">
        <v>256</v>
      </c>
      <c r="C29">
        <v>120</v>
      </c>
      <c r="D29" s="124">
        <v>376</v>
      </c>
      <c r="F29" s="71"/>
      <c r="G29" s="88" t="s">
        <v>3</v>
      </c>
      <c r="H29" s="126">
        <f>H18+($K18*(H18/($J18-$K18)))</f>
        <v>3150.7405347593581</v>
      </c>
      <c r="I29" s="126">
        <f>I18+($K18*(I18/($J18-$K18)))</f>
        <v>1561.2594652406417</v>
      </c>
      <c r="J29" s="124">
        <v>4712</v>
      </c>
      <c r="K29" s="94">
        <v>37</v>
      </c>
      <c r="AX29" s="94"/>
    </row>
    <row r="30" spans="1:50" ht="15.6" x14ac:dyDescent="0.3">
      <c r="A30" s="88" t="s">
        <v>77</v>
      </c>
      <c r="B30" s="126">
        <f>B19+($E19*(B19/($D19-$E19)))</f>
        <v>4637.2032958326727</v>
      </c>
      <c r="C30" s="126">
        <f>C19+($E19*(C19/($D19-$E19)))</f>
        <v>1676.7967041673269</v>
      </c>
      <c r="D30" s="124">
        <v>6314</v>
      </c>
      <c r="E30"/>
      <c r="G30" s="88" t="s">
        <v>77</v>
      </c>
      <c r="H30" s="126">
        <f t="shared" ref="H30:I30" si="0">H19+($K19*(H19/($J19-$K19)))</f>
        <v>81538.387444336622</v>
      </c>
      <c r="I30" s="126">
        <f t="shared" si="0"/>
        <v>29555.612555663381</v>
      </c>
      <c r="J30" s="124">
        <v>111094</v>
      </c>
      <c r="K30">
        <v>833</v>
      </c>
    </row>
    <row r="31" spans="1:50" ht="15.6" x14ac:dyDescent="0.3">
      <c r="A31" s="88" t="s">
        <v>78</v>
      </c>
      <c r="B31" s="126">
        <f t="shared" ref="B31:C31" si="1">B20+($E20*(B20/($D20-$E20)))</f>
        <v>6727.6509858180561</v>
      </c>
      <c r="C31" s="126">
        <f t="shared" si="1"/>
        <v>1951.3490141819439</v>
      </c>
      <c r="D31" s="124">
        <v>8679</v>
      </c>
      <c r="E31"/>
      <c r="F31"/>
      <c r="G31" s="88" t="s">
        <v>78</v>
      </c>
      <c r="H31" s="126">
        <f t="shared" ref="H31:I31" si="2">H20+($K20*(H20/($J20-$K20)))</f>
        <v>136427.99731358583</v>
      </c>
      <c r="I31" s="126">
        <f t="shared" si="2"/>
        <v>34696.002686414169</v>
      </c>
      <c r="J31" s="124">
        <v>171124</v>
      </c>
      <c r="K31">
        <v>1381</v>
      </c>
    </row>
    <row r="32" spans="1:50" ht="15.6" x14ac:dyDescent="0.3">
      <c r="A32" s="88" t="s">
        <v>38</v>
      </c>
      <c r="B32" s="126">
        <f t="shared" ref="B32:C32" si="3">B21+($E21*(B21/($D21-$E21)))</f>
        <v>5362.9956755144649</v>
      </c>
      <c r="C32" s="126">
        <f t="shared" si="3"/>
        <v>1348.0043244855353</v>
      </c>
      <c r="D32" s="124">
        <v>6711</v>
      </c>
      <c r="E32"/>
      <c r="G32" s="88" t="s">
        <v>38</v>
      </c>
      <c r="H32" s="126">
        <f t="shared" ref="H32:I32" si="4">H21+($K21*(H21/($J21-$K21)))</f>
        <v>120377.15202533755</v>
      </c>
      <c r="I32" s="126">
        <f t="shared" si="4"/>
        <v>24427.847974662443</v>
      </c>
      <c r="J32" s="124">
        <v>144805</v>
      </c>
      <c r="K32">
        <v>829</v>
      </c>
    </row>
    <row r="33" spans="1:11" ht="15.6" x14ac:dyDescent="0.3">
      <c r="A33" s="88" t="s">
        <v>79</v>
      </c>
      <c r="B33" s="126">
        <f t="shared" ref="B33:C33" si="5">B22+($E22*(B22/($D22-$E22)))</f>
        <v>3307.0143412736998</v>
      </c>
      <c r="C33" s="126">
        <f t="shared" si="5"/>
        <v>811.98565872630047</v>
      </c>
      <c r="D33" s="124">
        <v>4119</v>
      </c>
      <c r="E33"/>
      <c r="G33" s="88" t="s">
        <v>79</v>
      </c>
      <c r="H33" s="126">
        <f t="shared" ref="H33:I33" si="6">H22+($K22*(H22/($J22-$K22)))</f>
        <v>81878.539426634423</v>
      </c>
      <c r="I33" s="126">
        <f t="shared" si="6"/>
        <v>15305.460573365577</v>
      </c>
      <c r="J33" s="124">
        <v>97184</v>
      </c>
      <c r="K33">
        <v>422</v>
      </c>
    </row>
    <row r="34" spans="1:11" ht="15.6" x14ac:dyDescent="0.3">
      <c r="A34" s="88" t="s">
        <v>39</v>
      </c>
      <c r="B34" s="126">
        <f t="shared" ref="B34:C34" si="7">B23+($E23*(B23/($D23-$E23)))</f>
        <v>1746.0436397400185</v>
      </c>
      <c r="C34" s="126">
        <f t="shared" si="7"/>
        <v>412.95636025998141</v>
      </c>
      <c r="D34" s="124">
        <v>2159</v>
      </c>
      <c r="E34"/>
      <c r="G34" s="88" t="s">
        <v>39</v>
      </c>
      <c r="H34" s="126">
        <f t="shared" ref="H34:I34" si="8">H23+($K23*(H23/($J23-$K23)))</f>
        <v>44370.719354161498</v>
      </c>
      <c r="I34" s="126">
        <f t="shared" si="8"/>
        <v>8251.2806458385021</v>
      </c>
      <c r="J34" s="124">
        <v>52622</v>
      </c>
      <c r="K34">
        <v>225</v>
      </c>
    </row>
    <row r="35" spans="1:11" ht="15.6" x14ac:dyDescent="0.3">
      <c r="A35" s="88" t="s">
        <v>80</v>
      </c>
      <c r="B35" s="126">
        <f t="shared" ref="B35:C35" si="9">B24+($E24*(B24/($D24-$E24)))</f>
        <v>428</v>
      </c>
      <c r="C35" s="126">
        <f t="shared" si="9"/>
        <v>147</v>
      </c>
      <c r="D35" s="124">
        <v>575</v>
      </c>
      <c r="F35" s="71"/>
      <c r="G35" s="88" t="s">
        <v>80</v>
      </c>
      <c r="H35" s="126">
        <f t="shared" ref="H35:I35" si="10">H24+($K24*(H24/($J24-$K24)))</f>
        <v>10279.445183250218</v>
      </c>
      <c r="I35" s="126">
        <f t="shared" si="10"/>
        <v>2393.5548167497823</v>
      </c>
      <c r="J35" s="124">
        <v>12673</v>
      </c>
      <c r="K35" s="94">
        <v>40</v>
      </c>
    </row>
    <row r="36" spans="1:11" ht="15.6" x14ac:dyDescent="0.3">
      <c r="A36" s="88" t="s">
        <v>81</v>
      </c>
      <c r="B36" s="126">
        <f t="shared" ref="B36:C36" si="11">B25+($E25*(B25/($D25-$E25)))</f>
        <v>35</v>
      </c>
      <c r="C36" s="126">
        <f t="shared" si="11"/>
        <v>17</v>
      </c>
      <c r="D36" s="124">
        <v>52</v>
      </c>
      <c r="F36" s="71"/>
      <c r="G36" s="88" t="s">
        <v>81</v>
      </c>
      <c r="H36" s="126">
        <f t="shared" ref="H36:I36" si="12">H25+($K25*(H25/($J25-$K25)))</f>
        <v>620.94636471990464</v>
      </c>
      <c r="I36" s="126">
        <f t="shared" si="12"/>
        <v>222.05363528009536</v>
      </c>
      <c r="J36" s="124">
        <v>843</v>
      </c>
      <c r="K36" s="94">
        <v>4</v>
      </c>
    </row>
    <row r="37" spans="1:11" ht="15.6" x14ac:dyDescent="0.3">
      <c r="A37" s="88"/>
      <c r="B37"/>
      <c r="C37"/>
      <c r="D37" s="127"/>
      <c r="F37" s="71"/>
      <c r="G37" s="88"/>
      <c r="H37"/>
      <c r="I37"/>
      <c r="J37" s="127"/>
      <c r="K37" s="94"/>
    </row>
    <row r="38" spans="1:11" x14ac:dyDescent="0.3">
      <c r="A38" s="98" t="s">
        <v>117</v>
      </c>
      <c r="G38" s="98" t="s">
        <v>117</v>
      </c>
      <c r="J38" s="94"/>
      <c r="K38" s="94"/>
    </row>
    <row r="39" spans="1:11" ht="26.4" x14ac:dyDescent="0.3">
      <c r="A39" s="90" t="s">
        <v>82</v>
      </c>
      <c r="B39" s="96" t="s">
        <v>93</v>
      </c>
      <c r="C39" s="96" t="s">
        <v>94</v>
      </c>
      <c r="D39" s="97" t="s">
        <v>85</v>
      </c>
      <c r="E39" s="123"/>
      <c r="F39" s="123"/>
      <c r="G39" s="90" t="s">
        <v>82</v>
      </c>
      <c r="H39" s="96" t="s">
        <v>93</v>
      </c>
      <c r="I39" s="96" t="s">
        <v>94</v>
      </c>
      <c r="J39" s="97" t="s">
        <v>121</v>
      </c>
      <c r="K39" s="123"/>
    </row>
    <row r="40" spans="1:11" ht="15.6" x14ac:dyDescent="0.3">
      <c r="A40" s="88" t="s">
        <v>3</v>
      </c>
      <c r="B40" s="71">
        <f>B29/B6</f>
        <v>2.8078796121616288E-3</v>
      </c>
      <c r="C40" s="71">
        <f>C29/C6</f>
        <v>2.2426972171865362E-3</v>
      </c>
      <c r="D40" s="71">
        <f>D29/D6</f>
        <v>2.5988567794911492E-3</v>
      </c>
      <c r="E40" s="71"/>
      <c r="F40" s="71"/>
      <c r="G40" s="88" t="s">
        <v>3</v>
      </c>
      <c r="H40" s="71">
        <f>H29/H6</f>
        <v>2.7360319621590277E-3</v>
      </c>
      <c r="I40" s="71">
        <f t="shared" ref="I40:J40" si="13">I29/I6</f>
        <v>4.6891850260569684E-3</v>
      </c>
      <c r="J40" s="71">
        <f t="shared" si="13"/>
        <v>3.1740856652848525E-3</v>
      </c>
      <c r="K40" s="71"/>
    </row>
    <row r="41" spans="1:11" ht="15.6" x14ac:dyDescent="0.3">
      <c r="A41" s="88" t="s">
        <v>77</v>
      </c>
      <c r="B41" s="71">
        <f t="shared" ref="B41:C47" si="14">B30/B7</f>
        <v>4.8095785925911391E-2</v>
      </c>
      <c r="C41" s="71">
        <f t="shared" si="14"/>
        <v>3.4207774780026255E-2</v>
      </c>
      <c r="D41" s="71">
        <f t="shared" ref="D41" si="15">D30/D7</f>
        <v>4.3414882352132242E-2</v>
      </c>
      <c r="E41" s="71"/>
      <c r="F41" s="71"/>
      <c r="G41" s="88" t="s">
        <v>77</v>
      </c>
      <c r="H41" s="71">
        <f t="shared" ref="H41:J47" si="16">H30/H7</f>
        <v>6.3751571494287437E-2</v>
      </c>
      <c r="I41" s="71">
        <f t="shared" si="16"/>
        <v>9.1651278240330009E-2</v>
      </c>
      <c r="J41" s="71">
        <f t="shared" si="16"/>
        <v>6.9369539819704382E-2</v>
      </c>
      <c r="K41" s="71"/>
    </row>
    <row r="42" spans="1:11" ht="15.6" x14ac:dyDescent="0.3">
      <c r="A42" s="88" t="s">
        <v>78</v>
      </c>
      <c r="B42" s="71">
        <f t="shared" si="14"/>
        <v>7.1222974897236432E-2</v>
      </c>
      <c r="C42" s="71">
        <f t="shared" si="14"/>
        <v>4.6726587346613918E-2</v>
      </c>
      <c r="D42" s="71">
        <f t="shared" ref="D42" si="17">D31/D8</f>
        <v>6.3713111143738066E-2</v>
      </c>
      <c r="E42" s="71"/>
      <c r="F42" s="71"/>
      <c r="G42" s="88" t="s">
        <v>78</v>
      </c>
      <c r="H42" s="71">
        <f t="shared" si="16"/>
        <v>9.5972242217985212E-2</v>
      </c>
      <c r="I42" s="71">
        <f t="shared" si="16"/>
        <v>0.12471155848608666</v>
      </c>
      <c r="J42" s="71">
        <f t="shared" si="16"/>
        <v>0.10067621868208544</v>
      </c>
      <c r="K42" s="71"/>
    </row>
    <row r="43" spans="1:11" ht="15.6" x14ac:dyDescent="0.3">
      <c r="A43" s="88" t="s">
        <v>38</v>
      </c>
      <c r="B43" s="71">
        <f t="shared" si="14"/>
        <v>5.9728871860856729E-2</v>
      </c>
      <c r="C43" s="71">
        <f t="shared" si="14"/>
        <v>3.5918047548242349E-2</v>
      </c>
      <c r="D43" s="71">
        <f t="shared" ref="D43" si="18">D32/D9</f>
        <v>5.2710121819995445E-2</v>
      </c>
      <c r="E43" s="71"/>
      <c r="F43" s="71"/>
      <c r="G43" s="88" t="s">
        <v>38</v>
      </c>
      <c r="H43" s="71">
        <f t="shared" si="16"/>
        <v>8.7734995871399782E-2</v>
      </c>
      <c r="I43" s="71">
        <f t="shared" si="16"/>
        <v>9.5858260016020075E-2</v>
      </c>
      <c r="J43" s="71">
        <f t="shared" si="16"/>
        <v>8.9007411086326219E-2</v>
      </c>
      <c r="K43" s="71"/>
    </row>
    <row r="44" spans="1:11" ht="15.6" x14ac:dyDescent="0.3">
      <c r="A44" s="88" t="s">
        <v>79</v>
      </c>
      <c r="B44" s="71">
        <f t="shared" si="14"/>
        <v>4.0307814602819216E-2</v>
      </c>
      <c r="C44" s="71">
        <f t="shared" si="14"/>
        <v>2.3368511201723903E-2</v>
      </c>
      <c r="D44" s="71">
        <f t="shared" ref="D44" si="19">D33/D10</f>
        <v>3.5268128537301678E-2</v>
      </c>
      <c r="E44" s="71"/>
      <c r="F44" s="71"/>
      <c r="G44" s="88" t="s">
        <v>79</v>
      </c>
      <c r="H44" s="71">
        <f t="shared" si="16"/>
        <v>6.5334373392951159E-2</v>
      </c>
      <c r="I44" s="71">
        <f t="shared" si="16"/>
        <v>6.3473369662116919E-2</v>
      </c>
      <c r="J44" s="71">
        <f t="shared" si="16"/>
        <v>6.503407824780591E-2</v>
      </c>
      <c r="K44" s="71"/>
    </row>
    <row r="45" spans="1:11" ht="15.6" x14ac:dyDescent="0.3">
      <c r="A45" s="88" t="s">
        <v>39</v>
      </c>
      <c r="B45" s="71">
        <f t="shared" si="14"/>
        <v>2.2397809530248069E-2</v>
      </c>
      <c r="C45" s="71">
        <f t="shared" si="14"/>
        <v>1.2982374807758226E-2</v>
      </c>
      <c r="D45" s="71">
        <f t="shared" ref="D45" si="20">D34/D11</f>
        <v>1.9669293490639093E-2</v>
      </c>
      <c r="E45" s="71"/>
      <c r="F45" s="71"/>
      <c r="G45" s="88" t="s">
        <v>39</v>
      </c>
      <c r="H45" s="71">
        <f t="shared" si="16"/>
        <v>3.6182774566426566E-2</v>
      </c>
      <c r="I45" s="71">
        <f t="shared" si="16"/>
        <v>3.4607157099818819E-2</v>
      </c>
      <c r="J45" s="71">
        <f t="shared" si="16"/>
        <v>3.5926295861123038E-2</v>
      </c>
      <c r="K45" s="71"/>
    </row>
    <row r="46" spans="1:11" ht="15.6" x14ac:dyDescent="0.3">
      <c r="A46" s="88" t="s">
        <v>80</v>
      </c>
      <c r="B46" s="71">
        <f t="shared" si="14"/>
        <v>6.4033512866546981E-3</v>
      </c>
      <c r="C46" s="71">
        <f t="shared" si="14"/>
        <v>5.2434456928838954E-3</v>
      </c>
      <c r="D46" s="71">
        <f t="shared" ref="D46" si="21">D35/D12</f>
        <v>6.0606060606060606E-3</v>
      </c>
      <c r="E46" s="71"/>
      <c r="F46" s="71"/>
      <c r="G46" s="88" t="s">
        <v>80</v>
      </c>
      <c r="H46" s="71">
        <f t="shared" si="16"/>
        <v>9.7162523330190983E-3</v>
      </c>
      <c r="I46" s="71">
        <f t="shared" si="16"/>
        <v>1.1204364695238814E-2</v>
      </c>
      <c r="J46" s="71">
        <f t="shared" si="16"/>
        <v>9.9662548728325379E-3</v>
      </c>
      <c r="K46" s="71"/>
    </row>
    <row r="47" spans="1:11" ht="15.6" x14ac:dyDescent="0.3">
      <c r="A47" s="88" t="s">
        <v>81</v>
      </c>
      <c r="B47" s="71">
        <f t="shared" si="14"/>
        <v>5.5645648510286498E-4</v>
      </c>
      <c r="C47" s="71">
        <f t="shared" si="14"/>
        <v>6.5445026178010475E-4</v>
      </c>
      <c r="D47" s="71">
        <f t="shared" ref="D47" si="22">D36/D13</f>
        <v>5.8509800391565582E-4</v>
      </c>
      <c r="E47" s="71"/>
      <c r="F47" s="71"/>
      <c r="G47" s="88" t="s">
        <v>81</v>
      </c>
      <c r="H47" s="71">
        <f t="shared" si="16"/>
        <v>5.9731479931462029E-4</v>
      </c>
      <c r="I47" s="71">
        <f t="shared" si="16"/>
        <v>1.0638879799160371E-3</v>
      </c>
      <c r="J47" s="71">
        <f t="shared" si="16"/>
        <v>6.7532817103827501E-4</v>
      </c>
      <c r="K47" s="71"/>
    </row>
    <row r="48" spans="1:11" ht="15.6" x14ac:dyDescent="0.3">
      <c r="A48" s="88" t="s">
        <v>83</v>
      </c>
      <c r="B48" s="91">
        <f>SUM(B41:B47)*5</f>
        <v>1.243565322944147</v>
      </c>
      <c r="C48" s="91">
        <f t="shared" ref="C48" si="23">SUM(C41:C47)*5</f>
        <v>0.79550595819514314</v>
      </c>
      <c r="D48" s="91">
        <f>SUM(D41:D47)*5</f>
        <v>1.1071062070416413</v>
      </c>
      <c r="E48" s="91"/>
      <c r="F48" s="91"/>
      <c r="G48" s="88" t="s">
        <v>83</v>
      </c>
      <c r="H48" s="91">
        <f>SUM(H41:H47)*5</f>
        <v>1.7964476233769195</v>
      </c>
      <c r="I48" s="91">
        <f t="shared" ref="I48" si="24">SUM(I41:I47)*5</f>
        <v>2.1128493808976363</v>
      </c>
      <c r="J48" s="91">
        <f>SUM(J41:J47)*5</f>
        <v>1.8532756337045788</v>
      </c>
      <c r="K48" s="91"/>
    </row>
    <row r="51" spans="1:10" x14ac:dyDescent="0.3">
      <c r="B51" s="143" t="s">
        <v>103</v>
      </c>
      <c r="G51" s="122"/>
      <c r="H51" s="143" t="s">
        <v>119</v>
      </c>
    </row>
    <row r="52" spans="1:10" ht="26.4" x14ac:dyDescent="0.3">
      <c r="A52" s="90" t="s">
        <v>82</v>
      </c>
      <c r="B52" s="96" t="s">
        <v>93</v>
      </c>
      <c r="C52" s="96" t="s">
        <v>94</v>
      </c>
      <c r="D52" s="97" t="s">
        <v>85</v>
      </c>
      <c r="E52" s="123"/>
      <c r="F52" s="123"/>
      <c r="G52" s="90" t="s">
        <v>82</v>
      </c>
      <c r="H52" s="96" t="s">
        <v>93</v>
      </c>
      <c r="I52" s="96" t="s">
        <v>94</v>
      </c>
      <c r="J52" s="97" t="s">
        <v>121</v>
      </c>
    </row>
    <row r="53" spans="1:10" ht="15.6" x14ac:dyDescent="0.3">
      <c r="A53" s="88" t="s">
        <v>3</v>
      </c>
      <c r="B53" s="92">
        <f>B40/(SUM(B$40:B$47))</f>
        <v>1.1163601588255192E-2</v>
      </c>
      <c r="C53" s="92">
        <f t="shared" ref="C53:D53" si="25">C40/(SUM(C$40:C$47))</f>
        <v>1.3900106369601394E-2</v>
      </c>
      <c r="D53" s="92">
        <f t="shared" si="25"/>
        <v>1.1600998305572818E-2</v>
      </c>
      <c r="E53" s="71"/>
      <c r="F53" s="71"/>
      <c r="G53" s="88" t="s">
        <v>3</v>
      </c>
      <c r="H53" s="92">
        <f>H40/(SUM(H$40:H$47))</f>
        <v>7.5575657905784842E-3</v>
      </c>
      <c r="I53" s="92">
        <f t="shared" ref="I53:J53" si="26">I40/(SUM(I$40:I$47))</f>
        <v>1.0975039389043345E-2</v>
      </c>
      <c r="J53" s="92">
        <f t="shared" si="26"/>
        <v>8.4907373740388953E-3</v>
      </c>
    </row>
    <row r="54" spans="1:10" ht="15.6" x14ac:dyDescent="0.3">
      <c r="A54" s="88" t="s">
        <v>77</v>
      </c>
      <c r="B54" s="92">
        <f t="shared" ref="B54:D60" si="27">B41/(SUM(B$40:B$47))</f>
        <v>0.19121980508898664</v>
      </c>
      <c r="C54" s="92">
        <f t="shared" si="27"/>
        <v>0.21201779021522899</v>
      </c>
      <c r="D54" s="92">
        <f t="shared" si="27"/>
        <v>0.19379905063577385</v>
      </c>
      <c r="E54" s="71"/>
      <c r="F54" s="71"/>
      <c r="G54" s="88" t="s">
        <v>77</v>
      </c>
      <c r="H54" s="92">
        <f t="shared" ref="H54:J60" si="28">H41/(SUM(H$40:H$47))</f>
        <v>0.17609688135391779</v>
      </c>
      <c r="I54" s="92">
        <f t="shared" si="28"/>
        <v>0.214509852597907</v>
      </c>
      <c r="J54" s="92">
        <f t="shared" si="28"/>
        <v>0.18556479140085994</v>
      </c>
    </row>
    <row r="55" spans="1:10" ht="15.6" x14ac:dyDescent="0.3">
      <c r="A55" s="88" t="s">
        <v>78</v>
      </c>
      <c r="B55" s="92">
        <f t="shared" si="27"/>
        <v>0.28316916161193306</v>
      </c>
      <c r="C55" s="92">
        <f t="shared" si="27"/>
        <v>0.28960865935402885</v>
      </c>
      <c r="D55" s="92">
        <f t="shared" si="27"/>
        <v>0.28440801365206403</v>
      </c>
      <c r="E55" s="71"/>
      <c r="F55" s="71"/>
      <c r="G55" s="88" t="s">
        <v>78</v>
      </c>
      <c r="H55" s="92">
        <f t="shared" si="28"/>
        <v>0.26509797570471483</v>
      </c>
      <c r="I55" s="92">
        <f t="shared" si="28"/>
        <v>0.29188745145437461</v>
      </c>
      <c r="J55" s="92">
        <f t="shared" si="28"/>
        <v>0.26931073158801522</v>
      </c>
    </row>
    <row r="56" spans="1:10" ht="15.6" x14ac:dyDescent="0.3">
      <c r="A56" s="88" t="s">
        <v>38</v>
      </c>
      <c r="B56" s="92">
        <f t="shared" si="27"/>
        <v>0.23747076829167449</v>
      </c>
      <c r="C56" s="92">
        <f t="shared" si="27"/>
        <v>0.2226179609458368</v>
      </c>
      <c r="D56" s="92">
        <f t="shared" si="27"/>
        <v>0.23529193249349911</v>
      </c>
      <c r="E56" s="71"/>
      <c r="F56" s="71"/>
      <c r="G56" s="88" t="s">
        <v>38</v>
      </c>
      <c r="H56" s="92">
        <f t="shared" si="28"/>
        <v>0.24234475788470194</v>
      </c>
      <c r="I56" s="92">
        <f t="shared" si="28"/>
        <v>0.22435629509071067</v>
      </c>
      <c r="J56" s="92">
        <f t="shared" si="28"/>
        <v>0.23809645723890427</v>
      </c>
    </row>
    <row r="57" spans="1:10" ht="15.6" x14ac:dyDescent="0.3">
      <c r="A57" s="88" t="s">
        <v>79</v>
      </c>
      <c r="B57" s="92">
        <f t="shared" si="27"/>
        <v>0.16025629488178583</v>
      </c>
      <c r="C57" s="92">
        <f t="shared" si="27"/>
        <v>0.14483666761341804</v>
      </c>
      <c r="D57" s="92">
        <f t="shared" si="27"/>
        <v>0.1574328768829158</v>
      </c>
      <c r="E57" s="71"/>
      <c r="F57" s="71"/>
      <c r="G57" s="88" t="s">
        <v>79</v>
      </c>
      <c r="H57" s="92">
        <f t="shared" si="28"/>
        <v>0.18046895362794349</v>
      </c>
      <c r="I57" s="92">
        <f t="shared" si="28"/>
        <v>0.14855944654050399</v>
      </c>
      <c r="J57" s="92">
        <f t="shared" si="28"/>
        <v>0.17396735217455467</v>
      </c>
    </row>
    <row r="58" spans="1:10" ht="15.6" x14ac:dyDescent="0.3">
      <c r="A58" s="88" t="s">
        <v>39</v>
      </c>
      <c r="B58" s="92">
        <f t="shared" si="27"/>
        <v>8.9049480954357108E-2</v>
      </c>
      <c r="C58" s="92">
        <f t="shared" si="27"/>
        <v>8.0464000835679159E-2</v>
      </c>
      <c r="D58" s="92">
        <f t="shared" si="27"/>
        <v>8.7801468036802097E-2</v>
      </c>
      <c r="E58" s="71"/>
      <c r="F58" s="71"/>
      <c r="G58" s="88" t="s">
        <v>39</v>
      </c>
      <c r="H58" s="92">
        <f t="shared" si="28"/>
        <v>9.9945359942233233E-2</v>
      </c>
      <c r="I58" s="92">
        <f t="shared" si="28"/>
        <v>8.0998064738917006E-2</v>
      </c>
      <c r="J58" s="92">
        <f t="shared" si="28"/>
        <v>9.6103500392274679E-2</v>
      </c>
    </row>
    <row r="59" spans="1:10" ht="15.6" x14ac:dyDescent="0.3">
      <c r="A59" s="88" t="s">
        <v>80</v>
      </c>
      <c r="B59" s="92">
        <f t="shared" si="27"/>
        <v>2.5458521185964395E-2</v>
      </c>
      <c r="C59" s="92">
        <f t="shared" si="27"/>
        <v>3.2498570166216184E-2</v>
      </c>
      <c r="D59" s="92">
        <f t="shared" si="27"/>
        <v>2.7053849675241295E-2</v>
      </c>
      <c r="E59" s="71"/>
      <c r="F59" s="71"/>
      <c r="G59" s="88" t="s">
        <v>80</v>
      </c>
      <c r="H59" s="92">
        <f t="shared" si="28"/>
        <v>2.6838581295924733E-2</v>
      </c>
      <c r="I59" s="92">
        <f t="shared" si="28"/>
        <v>2.6223819955096539E-2</v>
      </c>
      <c r="J59" s="92">
        <f t="shared" si="28"/>
        <v>2.6659914586886976E-2</v>
      </c>
    </row>
    <row r="60" spans="1:10" ht="15.6" x14ac:dyDescent="0.3">
      <c r="A60" s="88" t="s">
        <v>81</v>
      </c>
      <c r="B60" s="92">
        <f t="shared" si="27"/>
        <v>2.2123663970432584E-3</v>
      </c>
      <c r="C60" s="92">
        <f t="shared" si="27"/>
        <v>4.0562444999905209E-3</v>
      </c>
      <c r="D60" s="92">
        <f t="shared" si="27"/>
        <v>2.6118103181309526E-3</v>
      </c>
      <c r="E60" s="71"/>
      <c r="F60" s="71"/>
      <c r="G60" s="88" t="s">
        <v>81</v>
      </c>
      <c r="H60" s="92">
        <f t="shared" si="28"/>
        <v>1.6499243999855157E-3</v>
      </c>
      <c r="I60" s="92">
        <f t="shared" si="28"/>
        <v>2.4900302334468832E-3</v>
      </c>
      <c r="J60" s="92">
        <f t="shared" si="28"/>
        <v>1.8065152444653452E-3</v>
      </c>
    </row>
    <row r="61" spans="1:10" ht="15.6" x14ac:dyDescent="0.3">
      <c r="A61" s="88" t="s">
        <v>83</v>
      </c>
      <c r="B61" s="144">
        <f>SUM(B53:B60)</f>
        <v>1</v>
      </c>
      <c r="C61" s="144">
        <f t="shared" ref="C61:D61" si="29">SUM(C53:C60)</f>
        <v>1</v>
      </c>
      <c r="D61" s="144">
        <f t="shared" si="29"/>
        <v>0.99999999999999989</v>
      </c>
      <c r="E61" s="91"/>
      <c r="F61" s="91"/>
      <c r="G61" s="88" t="s">
        <v>83</v>
      </c>
      <c r="H61" s="144">
        <f>SUM(H53:H60)</f>
        <v>1</v>
      </c>
      <c r="I61" s="144">
        <f t="shared" ref="I61" si="30">SUM(I53:I60)</f>
        <v>1.0000000000000002</v>
      </c>
      <c r="J61" s="144">
        <f t="shared" ref="J61" si="31">SUM(J53:J60)</f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E501-774D-2C44-A0A8-BB225B751282}">
  <dimension ref="A1:J70"/>
  <sheetViews>
    <sheetView topLeftCell="A45" zoomScale="110" workbookViewId="0">
      <selection activeCell="F62" sqref="F62"/>
    </sheetView>
  </sheetViews>
  <sheetFormatPr defaultColWidth="11.19921875" defaultRowHeight="15.6" x14ac:dyDescent="0.3"/>
  <cols>
    <col min="2" max="2" width="12.69921875" bestFit="1" customWidth="1"/>
    <col min="3" max="5" width="11.296875" bestFit="1" customWidth="1"/>
    <col min="6" max="6" width="12.69921875" bestFit="1" customWidth="1"/>
    <col min="7" max="8" width="14.69921875" bestFit="1" customWidth="1"/>
  </cols>
  <sheetData>
    <row r="1" spans="1:9" x14ac:dyDescent="0.3">
      <c r="A1" s="239" t="s">
        <v>169</v>
      </c>
      <c r="B1" s="239"/>
      <c r="C1" s="239"/>
      <c r="D1" s="239"/>
      <c r="E1" s="239"/>
      <c r="F1" s="239"/>
      <c r="G1" s="239"/>
      <c r="H1" s="239"/>
    </row>
    <row r="2" spans="1:9" x14ac:dyDescent="0.3">
      <c r="A2" t="s">
        <v>170</v>
      </c>
      <c r="B2" t="s">
        <v>171</v>
      </c>
      <c r="C2" t="s">
        <v>172</v>
      </c>
      <c r="D2" t="s">
        <v>173</v>
      </c>
      <c r="E2" t="s">
        <v>174</v>
      </c>
      <c r="F2" t="s">
        <v>175</v>
      </c>
      <c r="G2" t="s">
        <v>176</v>
      </c>
      <c r="H2" t="s">
        <v>15</v>
      </c>
    </row>
    <row r="3" spans="1:9" x14ac:dyDescent="0.3">
      <c r="A3" t="s">
        <v>3</v>
      </c>
      <c r="B3">
        <v>354</v>
      </c>
      <c r="C3">
        <v>0</v>
      </c>
      <c r="D3">
        <v>1</v>
      </c>
      <c r="E3">
        <v>1</v>
      </c>
      <c r="F3">
        <v>374</v>
      </c>
      <c r="G3" s="51">
        <v>4712</v>
      </c>
      <c r="H3" s="51">
        <v>5442</v>
      </c>
    </row>
    <row r="4" spans="1:9" x14ac:dyDescent="0.3">
      <c r="A4" t="s">
        <v>155</v>
      </c>
      <c r="B4" s="51">
        <v>5808</v>
      </c>
      <c r="C4">
        <v>7</v>
      </c>
      <c r="D4">
        <v>48</v>
      </c>
      <c r="E4">
        <v>18</v>
      </c>
      <c r="F4" s="51">
        <v>6248</v>
      </c>
      <c r="G4" s="51">
        <v>111094</v>
      </c>
      <c r="H4" s="51">
        <v>123223</v>
      </c>
    </row>
    <row r="5" spans="1:9" x14ac:dyDescent="0.3">
      <c r="A5" t="s">
        <v>156</v>
      </c>
      <c r="B5" s="51">
        <v>6652</v>
      </c>
      <c r="C5">
        <v>13</v>
      </c>
      <c r="D5">
        <v>95</v>
      </c>
      <c r="E5">
        <v>27</v>
      </c>
      <c r="F5" s="51">
        <v>8557</v>
      </c>
      <c r="G5" s="51">
        <v>171124</v>
      </c>
      <c r="H5" s="51">
        <v>186468</v>
      </c>
    </row>
    <row r="6" spans="1:9" x14ac:dyDescent="0.3">
      <c r="A6" t="s">
        <v>38</v>
      </c>
      <c r="B6" s="51">
        <v>4978</v>
      </c>
      <c r="C6">
        <v>11</v>
      </c>
      <c r="D6">
        <v>91</v>
      </c>
      <c r="E6">
        <v>21</v>
      </c>
      <c r="F6" s="51">
        <v>6599</v>
      </c>
      <c r="G6" s="51">
        <v>144805</v>
      </c>
      <c r="H6" s="51">
        <v>156505</v>
      </c>
    </row>
    <row r="7" spans="1:9" x14ac:dyDescent="0.3">
      <c r="A7" t="s">
        <v>157</v>
      </c>
      <c r="B7" s="51">
        <v>3468</v>
      </c>
      <c r="C7">
        <v>2</v>
      </c>
      <c r="D7">
        <v>56</v>
      </c>
      <c r="E7">
        <v>10</v>
      </c>
      <c r="F7" s="51">
        <v>4053</v>
      </c>
      <c r="G7" s="51">
        <v>97184</v>
      </c>
      <c r="H7" s="51">
        <v>104773</v>
      </c>
    </row>
    <row r="8" spans="1:9" x14ac:dyDescent="0.3">
      <c r="A8" t="s">
        <v>39</v>
      </c>
      <c r="B8" s="51">
        <v>2094</v>
      </c>
      <c r="C8">
        <v>2</v>
      </c>
      <c r="D8">
        <v>28</v>
      </c>
      <c r="E8">
        <v>5</v>
      </c>
      <c r="F8" s="51">
        <v>2126</v>
      </c>
      <c r="G8" s="51">
        <v>52622</v>
      </c>
      <c r="H8" s="51">
        <v>56877</v>
      </c>
    </row>
    <row r="9" spans="1:9" x14ac:dyDescent="0.3">
      <c r="A9" t="s">
        <v>158</v>
      </c>
      <c r="B9">
        <v>735</v>
      </c>
      <c r="C9">
        <v>0</v>
      </c>
      <c r="D9">
        <v>8</v>
      </c>
      <c r="E9">
        <v>0</v>
      </c>
      <c r="F9">
        <v>567</v>
      </c>
      <c r="G9" s="51">
        <v>12673</v>
      </c>
      <c r="H9" s="51">
        <v>13983</v>
      </c>
    </row>
    <row r="10" spans="1:9" x14ac:dyDescent="0.3">
      <c r="A10" t="s">
        <v>159</v>
      </c>
      <c r="B10">
        <v>134</v>
      </c>
      <c r="C10">
        <v>0</v>
      </c>
      <c r="D10">
        <v>0</v>
      </c>
      <c r="E10">
        <v>0</v>
      </c>
      <c r="F10">
        <v>52</v>
      </c>
      <c r="G10">
        <v>843</v>
      </c>
      <c r="H10" s="51">
        <v>1029</v>
      </c>
    </row>
    <row r="11" spans="1:9" x14ac:dyDescent="0.3">
      <c r="A11" t="s">
        <v>177</v>
      </c>
      <c r="B11">
        <v>29</v>
      </c>
      <c r="C11">
        <v>0</v>
      </c>
      <c r="D11">
        <v>0</v>
      </c>
      <c r="E11">
        <v>0</v>
      </c>
      <c r="F11">
        <v>2</v>
      </c>
      <c r="G11">
        <v>114</v>
      </c>
      <c r="H11">
        <v>145</v>
      </c>
    </row>
    <row r="12" spans="1:9" x14ac:dyDescent="0.3">
      <c r="A12" t="s">
        <v>178</v>
      </c>
      <c r="B12">
        <v>127</v>
      </c>
      <c r="C12">
        <v>0</v>
      </c>
      <c r="D12">
        <v>0</v>
      </c>
      <c r="E12">
        <v>0</v>
      </c>
      <c r="F12">
        <v>26</v>
      </c>
      <c r="G12">
        <v>517</v>
      </c>
      <c r="H12">
        <v>670</v>
      </c>
    </row>
    <row r="13" spans="1:9" x14ac:dyDescent="0.3">
      <c r="A13" t="s">
        <v>15</v>
      </c>
      <c r="B13" s="51">
        <v>24379</v>
      </c>
      <c r="C13">
        <v>35</v>
      </c>
      <c r="D13">
        <v>327</v>
      </c>
      <c r="E13">
        <v>82</v>
      </c>
      <c r="F13" s="51">
        <v>28604</v>
      </c>
      <c r="G13" s="51">
        <v>595688</v>
      </c>
      <c r="H13" s="51">
        <v>649115</v>
      </c>
    </row>
    <row r="16" spans="1:9" x14ac:dyDescent="0.3">
      <c r="A16" s="239" t="s">
        <v>179</v>
      </c>
      <c r="B16" s="239"/>
      <c r="C16" s="239"/>
      <c r="D16" s="239"/>
      <c r="E16" s="239"/>
      <c r="F16" s="239"/>
      <c r="G16" s="239"/>
      <c r="H16" s="239"/>
      <c r="I16" s="239"/>
    </row>
    <row r="17" spans="1:10" x14ac:dyDescent="0.3">
      <c r="A17" t="s">
        <v>170</v>
      </c>
      <c r="B17" t="s">
        <v>171</v>
      </c>
      <c r="C17" t="s">
        <v>172</v>
      </c>
      <c r="D17" t="s">
        <v>173</v>
      </c>
      <c r="E17" t="s">
        <v>174</v>
      </c>
      <c r="F17" t="s">
        <v>175</v>
      </c>
      <c r="G17" t="s">
        <v>180</v>
      </c>
      <c r="H17" t="s">
        <v>103</v>
      </c>
      <c r="I17" t="s">
        <v>15</v>
      </c>
    </row>
    <row r="18" spans="1:10" x14ac:dyDescent="0.3">
      <c r="A18" t="s">
        <v>3</v>
      </c>
      <c r="B18" s="126">
        <v>355.85378525482434</v>
      </c>
      <c r="C18" s="126">
        <v>0</v>
      </c>
      <c r="D18" s="126">
        <v>1</v>
      </c>
      <c r="E18" s="126">
        <v>1</v>
      </c>
      <c r="F18" s="126">
        <v>374.34026173979987</v>
      </c>
      <c r="G18" s="126">
        <v>4716.0931160960463</v>
      </c>
      <c r="H18" s="126">
        <f>SUM(D18:F18)</f>
        <v>376.34026173979987</v>
      </c>
      <c r="I18" s="126">
        <v>5447.6228978556392</v>
      </c>
    </row>
    <row r="19" spans="1:10" x14ac:dyDescent="0.3">
      <c r="A19" t="s">
        <v>155</v>
      </c>
      <c r="B19" s="126">
        <v>5838.4146462147455</v>
      </c>
      <c r="C19" s="126">
        <v>7</v>
      </c>
      <c r="D19" s="126">
        <v>48</v>
      </c>
      <c r="E19" s="126">
        <v>18</v>
      </c>
      <c r="F19" s="126">
        <v>6253.6843725943036</v>
      </c>
      <c r="G19" s="126">
        <v>111190.50268242236</v>
      </c>
      <c r="H19" s="126">
        <f t="shared" ref="H19:H27" si="0">SUM(D19:F19)</f>
        <v>6319.6843725943036</v>
      </c>
      <c r="I19" s="126">
        <v>123350.31906329757</v>
      </c>
    </row>
    <row r="20" spans="1:10" x14ac:dyDescent="0.3">
      <c r="A20" t="s">
        <v>156</v>
      </c>
      <c r="B20" s="126">
        <v>6686.8344054098634</v>
      </c>
      <c r="C20" s="126">
        <v>13</v>
      </c>
      <c r="D20" s="126">
        <v>95</v>
      </c>
      <c r="E20" s="126">
        <v>27</v>
      </c>
      <c r="F20" s="126">
        <v>8564.785079431731</v>
      </c>
      <c r="G20" s="126">
        <v>171272.64821706704</v>
      </c>
      <c r="H20" s="126">
        <f t="shared" si="0"/>
        <v>8686.785079431731</v>
      </c>
      <c r="I20" s="126">
        <v>186660.66639422002</v>
      </c>
    </row>
    <row r="21" spans="1:10" x14ac:dyDescent="0.3">
      <c r="A21" t="s">
        <v>38</v>
      </c>
      <c r="B21" s="126">
        <v>5004.0682005607787</v>
      </c>
      <c r="C21" s="126">
        <v>11</v>
      </c>
      <c r="D21" s="126">
        <v>91</v>
      </c>
      <c r="E21" s="126">
        <v>21</v>
      </c>
      <c r="F21" s="126">
        <v>6605.0037091468967</v>
      </c>
      <c r="G21" s="126">
        <v>144930.78600939899</v>
      </c>
      <c r="H21" s="126">
        <f t="shared" si="0"/>
        <v>6717.0037091468967</v>
      </c>
      <c r="I21" s="126">
        <v>156666.70739230004</v>
      </c>
    </row>
    <row r="22" spans="1:10" x14ac:dyDescent="0.3">
      <c r="A22" t="s">
        <v>157</v>
      </c>
      <c r="B22" s="126">
        <v>3486.1608114794658</v>
      </c>
      <c r="C22" s="126">
        <v>2</v>
      </c>
      <c r="D22" s="126">
        <v>56</v>
      </c>
      <c r="E22" s="126">
        <v>10</v>
      </c>
      <c r="F22" s="126">
        <v>4056.6873819021625</v>
      </c>
      <c r="G22" s="126">
        <v>97268.419650823038</v>
      </c>
      <c r="H22" s="126">
        <f t="shared" si="0"/>
        <v>4122.6873819021621</v>
      </c>
      <c r="I22" s="126">
        <v>104881.25576571644</v>
      </c>
    </row>
    <row r="23" spans="1:10" x14ac:dyDescent="0.3">
      <c r="A23" t="s">
        <v>39</v>
      </c>
      <c r="B23" s="126">
        <v>2104.9656110836218</v>
      </c>
      <c r="C23" s="126">
        <v>2</v>
      </c>
      <c r="D23" s="126">
        <v>28</v>
      </c>
      <c r="E23" s="126">
        <v>5</v>
      </c>
      <c r="F23" s="126">
        <v>2127.93421513052</v>
      </c>
      <c r="G23" s="126">
        <v>52667.710516809457</v>
      </c>
      <c r="H23" s="126">
        <f t="shared" si="0"/>
        <v>2160.93421513052</v>
      </c>
      <c r="I23" s="126">
        <v>56935.767651844028</v>
      </c>
    </row>
    <row r="24" spans="1:10" x14ac:dyDescent="0.3">
      <c r="A24" t="s">
        <v>158</v>
      </c>
      <c r="B24" s="126">
        <v>738.84896091044038</v>
      </c>
      <c r="C24" s="126">
        <v>0</v>
      </c>
      <c r="D24" s="126">
        <v>8</v>
      </c>
      <c r="E24" s="126">
        <v>0</v>
      </c>
      <c r="F24" s="126">
        <v>567.5158513541885</v>
      </c>
      <c r="G24" s="126">
        <v>12684.008501758319</v>
      </c>
      <c r="H24" s="126">
        <f t="shared" si="0"/>
        <v>575.5158513541885</v>
      </c>
      <c r="I24" s="126">
        <v>13997.447809760273</v>
      </c>
    </row>
    <row r="25" spans="1:10" x14ac:dyDescent="0.3">
      <c r="A25" t="s">
        <v>159</v>
      </c>
      <c r="B25" s="126">
        <v>134.70171532244763</v>
      </c>
      <c r="C25" s="126">
        <v>0</v>
      </c>
      <c r="D25" s="126">
        <v>0</v>
      </c>
      <c r="E25" s="126">
        <v>0</v>
      </c>
      <c r="F25" s="126">
        <v>52.047309118902653</v>
      </c>
      <c r="G25" s="126">
        <v>843.7322786224463</v>
      </c>
      <c r="H25" s="126">
        <f t="shared" si="0"/>
        <v>52.047309118902653</v>
      </c>
      <c r="I25" s="126">
        <v>1030.0632050520862</v>
      </c>
    </row>
    <row r="26" spans="1:10" x14ac:dyDescent="0.3">
      <c r="A26" t="s">
        <v>177</v>
      </c>
      <c r="B26" s="126">
        <v>29.151863763813292</v>
      </c>
      <c r="C26" s="126">
        <v>0</v>
      </c>
      <c r="D26" s="126">
        <v>0</v>
      </c>
      <c r="E26" s="126">
        <v>0</v>
      </c>
      <c r="F26" s="126">
        <v>2.0018195814962558</v>
      </c>
      <c r="G26" s="126">
        <v>114.09902700232371</v>
      </c>
      <c r="H26" s="126">
        <f t="shared" si="0"/>
        <v>2.0018195814962558</v>
      </c>
      <c r="I26" s="126">
        <v>145.1498199538897</v>
      </c>
    </row>
    <row r="27" spans="1:10" x14ac:dyDescent="0.3">
      <c r="A27" t="s">
        <v>15</v>
      </c>
      <c r="B27" s="126">
        <v>24379</v>
      </c>
      <c r="C27" s="126">
        <v>35</v>
      </c>
      <c r="D27" s="126">
        <v>327</v>
      </c>
      <c r="E27" s="126">
        <v>82</v>
      </c>
      <c r="F27" s="126">
        <v>28604.000000000004</v>
      </c>
      <c r="G27" s="126">
        <v>595688.00000000012</v>
      </c>
      <c r="H27" s="126">
        <f t="shared" si="0"/>
        <v>29013.000000000004</v>
      </c>
      <c r="I27" s="126">
        <v>649114.99999999988</v>
      </c>
    </row>
    <row r="28" spans="1:10" x14ac:dyDescent="0.3">
      <c r="B28" s="126"/>
      <c r="C28" s="126"/>
      <c r="D28" s="126"/>
      <c r="E28" s="126"/>
      <c r="F28" s="126"/>
      <c r="G28" s="126"/>
      <c r="H28" s="126"/>
      <c r="I28" s="126"/>
    </row>
    <row r="30" spans="1:10" ht="16.05" customHeight="1" x14ac:dyDescent="0.3">
      <c r="A30" s="240" t="s">
        <v>181</v>
      </c>
      <c r="B30" s="241"/>
      <c r="C30" s="241"/>
      <c r="D30" s="241"/>
      <c r="E30" s="241"/>
      <c r="F30" s="241"/>
      <c r="G30" s="241"/>
      <c r="H30" s="241"/>
      <c r="I30" s="241"/>
      <c r="J30" s="241"/>
    </row>
    <row r="31" spans="1:10" ht="79.2" x14ac:dyDescent="0.3">
      <c r="A31" s="198" t="s">
        <v>182</v>
      </c>
      <c r="B31" s="199" t="s">
        <v>171</v>
      </c>
      <c r="C31" s="199" t="s">
        <v>183</v>
      </c>
      <c r="D31" s="199" t="s">
        <v>184</v>
      </c>
      <c r="E31" s="199" t="s">
        <v>185</v>
      </c>
      <c r="F31" s="199" t="s">
        <v>186</v>
      </c>
      <c r="G31" s="199" t="s">
        <v>187</v>
      </c>
      <c r="H31" s="199" t="s">
        <v>188</v>
      </c>
      <c r="I31" s="199" t="s">
        <v>103</v>
      </c>
      <c r="J31" s="199" t="s">
        <v>189</v>
      </c>
    </row>
    <row r="32" spans="1:10" x14ac:dyDescent="0.3">
      <c r="A32" s="200" t="s">
        <v>3</v>
      </c>
      <c r="B32" s="201">
        <v>106088</v>
      </c>
      <c r="C32" s="202">
        <v>102</v>
      </c>
      <c r="D32" s="202">
        <v>994</v>
      </c>
      <c r="E32" s="202">
        <v>231</v>
      </c>
      <c r="F32" s="202">
        <v>143769</v>
      </c>
      <c r="G32" s="202">
        <v>1494478</v>
      </c>
      <c r="H32" s="202">
        <v>16704</v>
      </c>
      <c r="I32" s="202">
        <v>144994</v>
      </c>
      <c r="J32" s="202">
        <v>1762366</v>
      </c>
    </row>
    <row r="33" spans="1:10" x14ac:dyDescent="0.3">
      <c r="A33" s="203" t="s">
        <v>155</v>
      </c>
      <c r="B33" s="204">
        <v>104614</v>
      </c>
      <c r="C33" s="205">
        <v>82</v>
      </c>
      <c r="D33" s="205">
        <v>1029</v>
      </c>
      <c r="E33" s="205">
        <v>267</v>
      </c>
      <c r="F33" s="205">
        <v>144396</v>
      </c>
      <c r="G33" s="205">
        <v>1610241</v>
      </c>
      <c r="H33" s="205">
        <v>21096</v>
      </c>
      <c r="I33" s="205">
        <v>145692</v>
      </c>
      <c r="J33" s="205">
        <v>1881725</v>
      </c>
    </row>
    <row r="34" spans="1:10" x14ac:dyDescent="0.3">
      <c r="A34" s="200" t="s">
        <v>156</v>
      </c>
      <c r="B34" s="201">
        <v>90099</v>
      </c>
      <c r="C34" s="202">
        <v>115</v>
      </c>
      <c r="D34" s="202">
        <v>1117</v>
      </c>
      <c r="E34" s="202">
        <v>258</v>
      </c>
      <c r="F34" s="202">
        <v>134945</v>
      </c>
      <c r="G34" s="202">
        <v>1702941</v>
      </c>
      <c r="H34" s="202">
        <v>27260</v>
      </c>
      <c r="I34" s="202">
        <v>136320</v>
      </c>
      <c r="J34" s="202">
        <v>1956735</v>
      </c>
    </row>
    <row r="35" spans="1:10" x14ac:dyDescent="0.3">
      <c r="A35" s="203" t="s">
        <v>38</v>
      </c>
      <c r="B35" s="204">
        <v>74531</v>
      </c>
      <c r="C35" s="205">
        <v>123</v>
      </c>
      <c r="D35" s="205">
        <v>1227</v>
      </c>
      <c r="E35" s="205">
        <v>272</v>
      </c>
      <c r="F35" s="205">
        <v>125901</v>
      </c>
      <c r="G35" s="205">
        <v>1629397</v>
      </c>
      <c r="H35" s="205">
        <v>25565</v>
      </c>
      <c r="I35" s="205">
        <v>127400</v>
      </c>
      <c r="J35" s="205">
        <v>1857016</v>
      </c>
    </row>
    <row r="36" spans="1:10" x14ac:dyDescent="0.3">
      <c r="A36" s="200" t="s">
        <v>157</v>
      </c>
      <c r="B36" s="201">
        <v>65795</v>
      </c>
      <c r="C36" s="202">
        <v>95</v>
      </c>
      <c r="D36" s="202">
        <v>1034</v>
      </c>
      <c r="E36" s="202">
        <v>252</v>
      </c>
      <c r="F36" s="202">
        <v>115578</v>
      </c>
      <c r="G36" s="202">
        <v>1496489</v>
      </c>
      <c r="H36" s="202">
        <v>21503</v>
      </c>
      <c r="I36" s="202">
        <v>116864</v>
      </c>
      <c r="J36" s="202">
        <v>1700746</v>
      </c>
    </row>
    <row r="37" spans="1:10" x14ac:dyDescent="0.3">
      <c r="A37" s="203" t="s">
        <v>39</v>
      </c>
      <c r="B37" s="204">
        <v>59566</v>
      </c>
      <c r="C37" s="205">
        <v>97</v>
      </c>
      <c r="D37" s="205">
        <v>935</v>
      </c>
      <c r="E37" s="205">
        <v>260</v>
      </c>
      <c r="F37" s="205">
        <v>108638</v>
      </c>
      <c r="G37" s="205">
        <v>1466536</v>
      </c>
      <c r="H37" s="205">
        <v>20195</v>
      </c>
      <c r="I37" s="205">
        <v>109833</v>
      </c>
      <c r="J37" s="205">
        <v>1656227</v>
      </c>
    </row>
    <row r="38" spans="1:10" x14ac:dyDescent="0.3">
      <c r="A38" s="200" t="s">
        <v>158</v>
      </c>
      <c r="B38" s="201">
        <v>50763</v>
      </c>
      <c r="C38" s="202">
        <v>77</v>
      </c>
      <c r="D38" s="202">
        <v>850</v>
      </c>
      <c r="E38" s="202">
        <v>235</v>
      </c>
      <c r="F38" s="202">
        <v>93847</v>
      </c>
      <c r="G38" s="202">
        <v>1273034</v>
      </c>
      <c r="H38" s="202">
        <v>17530</v>
      </c>
      <c r="I38" s="202">
        <v>94932</v>
      </c>
      <c r="J38" s="202">
        <v>1436336</v>
      </c>
    </row>
    <row r="39" spans="1:10" x14ac:dyDescent="0.3">
      <c r="A39" s="203" t="s">
        <v>159</v>
      </c>
      <c r="B39" s="204">
        <v>44077</v>
      </c>
      <c r="C39" s="205">
        <v>67</v>
      </c>
      <c r="D39" s="205">
        <v>845</v>
      </c>
      <c r="E39" s="205">
        <v>224</v>
      </c>
      <c r="F39" s="205">
        <v>87846</v>
      </c>
      <c r="G39" s="205">
        <v>1249594</v>
      </c>
      <c r="H39" s="205">
        <v>17619</v>
      </c>
      <c r="I39" s="205">
        <v>88915</v>
      </c>
      <c r="J39" s="205">
        <v>1400272</v>
      </c>
    </row>
    <row r="40" spans="1:10" x14ac:dyDescent="0.3">
      <c r="A40" s="200" t="s">
        <v>177</v>
      </c>
      <c r="B40" s="201">
        <v>37351</v>
      </c>
      <c r="C40" s="202">
        <v>91</v>
      </c>
      <c r="D40" s="202">
        <v>789</v>
      </c>
      <c r="E40" s="202">
        <v>190</v>
      </c>
      <c r="F40" s="202">
        <v>80204</v>
      </c>
      <c r="G40" s="202">
        <v>1246062</v>
      </c>
      <c r="H40" s="202">
        <v>17783</v>
      </c>
      <c r="I40" s="202">
        <v>81183</v>
      </c>
      <c r="J40" s="202">
        <v>1382470</v>
      </c>
    </row>
    <row r="44" spans="1:10" x14ac:dyDescent="0.3">
      <c r="A44" s="240" t="s">
        <v>190</v>
      </c>
      <c r="B44" s="241"/>
      <c r="C44" s="241"/>
      <c r="D44" s="241"/>
      <c r="E44" s="241"/>
      <c r="F44" s="241"/>
      <c r="G44" s="241"/>
      <c r="H44" s="241"/>
      <c r="I44" s="241"/>
      <c r="J44" s="241"/>
    </row>
    <row r="45" spans="1:10" ht="79.2" x14ac:dyDescent="0.3">
      <c r="A45" s="198" t="s">
        <v>182</v>
      </c>
      <c r="B45" s="199" t="s">
        <v>171</v>
      </c>
      <c r="C45" s="199" t="s">
        <v>183</v>
      </c>
      <c r="D45" s="199" t="s">
        <v>184</v>
      </c>
      <c r="E45" s="199" t="s">
        <v>185</v>
      </c>
      <c r="F45" s="199" t="s">
        <v>186</v>
      </c>
      <c r="G45" s="199" t="s">
        <v>191</v>
      </c>
      <c r="H45" s="199" t="s">
        <v>103</v>
      </c>
      <c r="I45" s="199" t="s">
        <v>15</v>
      </c>
      <c r="J45" s="199"/>
    </row>
    <row r="46" spans="1:10" x14ac:dyDescent="0.3">
      <c r="A46" s="200" t="s">
        <v>3</v>
      </c>
      <c r="B46" s="206">
        <f>B18/B32</f>
        <v>3.3543264577975298E-3</v>
      </c>
      <c r="C46" s="206">
        <f t="shared" ref="C46:F46" si="1">C18/C32</f>
        <v>0</v>
      </c>
      <c r="D46" s="206">
        <f t="shared" si="1"/>
        <v>1.006036217303823E-3</v>
      </c>
      <c r="E46" s="206">
        <f t="shared" si="1"/>
        <v>4.329004329004329E-3</v>
      </c>
      <c r="F46" s="206">
        <f t="shared" si="1"/>
        <v>2.6037620192099816E-3</v>
      </c>
      <c r="G46" s="206">
        <f>G18/(G32+H32)</f>
        <v>3.1207975717657079E-3</v>
      </c>
      <c r="H46" s="207">
        <f>H18/I32</f>
        <v>2.5955574833427583E-3</v>
      </c>
      <c r="I46" s="207">
        <f>I18/J32</f>
        <v>3.0910848812650943E-3</v>
      </c>
      <c r="J46" s="202"/>
    </row>
    <row r="47" spans="1:10" x14ac:dyDescent="0.3">
      <c r="A47" s="203" t="s">
        <v>155</v>
      </c>
      <c r="B47" s="206">
        <f t="shared" ref="B47:F54" si="2">B19/B33</f>
        <v>5.5809113944737275E-2</v>
      </c>
      <c r="C47" s="206">
        <f t="shared" si="2"/>
        <v>8.5365853658536592E-2</v>
      </c>
      <c r="D47" s="206">
        <f t="shared" si="2"/>
        <v>4.6647230320699708E-2</v>
      </c>
      <c r="E47" s="206">
        <f t="shared" si="2"/>
        <v>6.741573033707865E-2</v>
      </c>
      <c r="F47" s="206">
        <f t="shared" si="2"/>
        <v>4.3309263224703617E-2</v>
      </c>
      <c r="G47" s="206">
        <f t="shared" ref="G47:G54" si="3">G19/(G33+H33)</f>
        <v>6.815912511174721E-2</v>
      </c>
      <c r="H47" s="207">
        <f t="shared" ref="H47:I53" si="4">H19/I33</f>
        <v>4.3377017081200779E-2</v>
      </c>
      <c r="I47" s="207">
        <f t="shared" si="4"/>
        <v>6.5551724648021142E-2</v>
      </c>
      <c r="J47" s="205"/>
    </row>
    <row r="48" spans="1:10" x14ac:dyDescent="0.3">
      <c r="A48" s="200" t="s">
        <v>156</v>
      </c>
      <c r="B48" s="206">
        <f t="shared" si="2"/>
        <v>7.4216521886034961E-2</v>
      </c>
      <c r="C48" s="206">
        <f t="shared" si="2"/>
        <v>0.11304347826086956</v>
      </c>
      <c r="D48" s="206">
        <f t="shared" si="2"/>
        <v>8.5049239033124446E-2</v>
      </c>
      <c r="E48" s="206">
        <f t="shared" si="2"/>
        <v>0.10465116279069768</v>
      </c>
      <c r="F48" s="206">
        <f t="shared" si="2"/>
        <v>6.3468710062853248E-2</v>
      </c>
      <c r="G48" s="206">
        <f t="shared" si="3"/>
        <v>9.8990029607581451E-2</v>
      </c>
      <c r="H48" s="207">
        <f>H20/I34</f>
        <v>6.3723482096770326E-2</v>
      </c>
      <c r="I48" s="207">
        <f t="shared" si="4"/>
        <v>9.5393942661740103E-2</v>
      </c>
      <c r="J48" s="202"/>
    </row>
    <row r="49" spans="1:10" x14ac:dyDescent="0.3">
      <c r="A49" s="203" t="s">
        <v>38</v>
      </c>
      <c r="B49" s="206">
        <f t="shared" si="2"/>
        <v>6.7140762911550605E-2</v>
      </c>
      <c r="C49" s="206">
        <f t="shared" si="2"/>
        <v>8.943089430894309E-2</v>
      </c>
      <c r="D49" s="206">
        <f t="shared" si="2"/>
        <v>7.416462917685411E-2</v>
      </c>
      <c r="E49" s="206">
        <f t="shared" si="2"/>
        <v>7.720588235294118E-2</v>
      </c>
      <c r="F49" s="206">
        <f t="shared" si="2"/>
        <v>5.2461884410345404E-2</v>
      </c>
      <c r="G49" s="206">
        <f t="shared" si="3"/>
        <v>8.7573482659661667E-2</v>
      </c>
      <c r="H49" s="207">
        <f t="shared" si="4"/>
        <v>5.2723733980744869E-2</v>
      </c>
      <c r="I49" s="207">
        <f t="shared" si="4"/>
        <v>8.436475905016437E-2</v>
      </c>
      <c r="J49" s="205"/>
    </row>
    <row r="50" spans="1:10" x14ac:dyDescent="0.3">
      <c r="A50" s="200" t="s">
        <v>157</v>
      </c>
      <c r="B50" s="206">
        <f t="shared" si="2"/>
        <v>5.2985193578227306E-2</v>
      </c>
      <c r="C50" s="206">
        <f t="shared" si="2"/>
        <v>2.1052631578947368E-2</v>
      </c>
      <c r="D50" s="206">
        <f t="shared" si="2"/>
        <v>5.4158607350096713E-2</v>
      </c>
      <c r="E50" s="206">
        <f t="shared" si="2"/>
        <v>3.968253968253968E-2</v>
      </c>
      <c r="F50" s="206">
        <f t="shared" si="2"/>
        <v>3.5099131165984551E-2</v>
      </c>
      <c r="G50" s="206">
        <f t="shared" si="3"/>
        <v>6.4077030478963681E-2</v>
      </c>
      <c r="H50" s="207">
        <f t="shared" si="4"/>
        <v>3.5277650789825456E-2</v>
      </c>
      <c r="I50" s="207">
        <f t="shared" si="4"/>
        <v>6.1667795053298051E-2</v>
      </c>
      <c r="J50" s="202"/>
    </row>
    <row r="51" spans="1:10" x14ac:dyDescent="0.3">
      <c r="A51" s="203" t="s">
        <v>39</v>
      </c>
      <c r="B51" s="206">
        <f t="shared" si="2"/>
        <v>3.5338374426411405E-2</v>
      </c>
      <c r="C51" s="206">
        <f t="shared" si="2"/>
        <v>2.0618556701030927E-2</v>
      </c>
      <c r="D51" s="206">
        <f t="shared" si="2"/>
        <v>2.9946524064171122E-2</v>
      </c>
      <c r="E51" s="206">
        <f t="shared" si="2"/>
        <v>1.9230769230769232E-2</v>
      </c>
      <c r="F51" s="206">
        <f t="shared" si="2"/>
        <v>1.9587383927636003E-2</v>
      </c>
      <c r="G51" s="206">
        <f t="shared" si="3"/>
        <v>3.5425178137006262E-2</v>
      </c>
      <c r="H51" s="207">
        <f t="shared" si="4"/>
        <v>1.9674726312952574E-2</v>
      </c>
      <c r="I51" s="207">
        <f t="shared" si="4"/>
        <v>3.4376789927856526E-2</v>
      </c>
      <c r="J51" s="205"/>
    </row>
    <row r="52" spans="1:10" x14ac:dyDescent="0.3">
      <c r="A52" s="200" t="s">
        <v>158</v>
      </c>
      <c r="B52" s="206">
        <f t="shared" si="2"/>
        <v>1.4554871873420413E-2</v>
      </c>
      <c r="C52" s="206">
        <f t="shared" si="2"/>
        <v>0</v>
      </c>
      <c r="D52" s="206">
        <f t="shared" si="2"/>
        <v>9.4117647058823521E-3</v>
      </c>
      <c r="E52" s="206">
        <f t="shared" si="2"/>
        <v>0</v>
      </c>
      <c r="F52" s="206">
        <f t="shared" si="2"/>
        <v>6.0472455310685317E-3</v>
      </c>
      <c r="G52" s="206">
        <f t="shared" si="3"/>
        <v>9.82826771997229E-3</v>
      </c>
      <c r="H52" s="207">
        <f t="shared" si="4"/>
        <v>6.0624009960201881E-3</v>
      </c>
      <c r="I52" s="207">
        <f t="shared" si="4"/>
        <v>9.745246105201201E-3</v>
      </c>
      <c r="J52" s="202"/>
    </row>
    <row r="53" spans="1:10" x14ac:dyDescent="0.3">
      <c r="A53" s="203" t="s">
        <v>159</v>
      </c>
      <c r="B53" s="206">
        <f t="shared" si="2"/>
        <v>3.0560545255450149E-3</v>
      </c>
      <c r="C53" s="206">
        <f t="shared" si="2"/>
        <v>0</v>
      </c>
      <c r="D53" s="206">
        <f t="shared" si="2"/>
        <v>0</v>
      </c>
      <c r="E53" s="206">
        <f t="shared" si="2"/>
        <v>0</v>
      </c>
      <c r="F53" s="206">
        <f t="shared" si="2"/>
        <v>5.9248354072926094E-4</v>
      </c>
      <c r="G53" s="206">
        <f t="shared" si="3"/>
        <v>6.6581725299728325E-4</v>
      </c>
      <c r="H53" s="207">
        <f t="shared" si="4"/>
        <v>5.8536027800599056E-4</v>
      </c>
      <c r="I53" s="207">
        <f t="shared" si="4"/>
        <v>7.3561651240050953E-4</v>
      </c>
      <c r="J53" s="205"/>
    </row>
    <row r="54" spans="1:10" x14ac:dyDescent="0.3">
      <c r="A54" s="200" t="s">
        <v>177</v>
      </c>
      <c r="B54" s="206">
        <f t="shared" si="2"/>
        <v>7.8048415742050525E-4</v>
      </c>
      <c r="C54" s="206">
        <f t="shared" si="2"/>
        <v>0</v>
      </c>
      <c r="D54" s="206">
        <f t="shared" si="2"/>
        <v>0</v>
      </c>
      <c r="E54" s="206">
        <f t="shared" si="2"/>
        <v>0</v>
      </c>
      <c r="F54" s="206">
        <f t="shared" si="2"/>
        <v>2.4959099066084681E-5</v>
      </c>
      <c r="G54" s="206">
        <f t="shared" si="3"/>
        <v>9.0279288205692717E-5</v>
      </c>
      <c r="H54" s="207">
        <f>H26/I40</f>
        <v>2.4658112923841885E-5</v>
      </c>
      <c r="I54" s="207">
        <f>I26/J40</f>
        <v>1.0499310650783721E-4</v>
      </c>
      <c r="J54" s="202"/>
    </row>
    <row r="55" spans="1:10" x14ac:dyDescent="0.3">
      <c r="A55" s="203" t="s">
        <v>83</v>
      </c>
      <c r="B55" s="91">
        <f>5*(SUM(B47:B53))</f>
        <v>1.5155044657296348</v>
      </c>
      <c r="C55" s="91">
        <f t="shared" ref="C55:I55" si="5">5*(SUM(C47:C53))</f>
        <v>1.6475570725416377</v>
      </c>
      <c r="D55" s="91">
        <f t="shared" si="5"/>
        <v>1.4968899732541421</v>
      </c>
      <c r="E55" s="91">
        <f t="shared" si="5"/>
        <v>1.5409304219701323</v>
      </c>
      <c r="F55" s="91">
        <f t="shared" si="5"/>
        <v>1.1028305093166033</v>
      </c>
      <c r="G55" s="91">
        <f t="shared" si="5"/>
        <v>1.8235946548396496</v>
      </c>
      <c r="H55" s="91">
        <f t="shared" si="5"/>
        <v>1.1071218576776007</v>
      </c>
      <c r="I55" s="91">
        <f t="shared" si="5"/>
        <v>1.7591793697934097</v>
      </c>
    </row>
    <row r="62" spans="1:10" ht="26.4" x14ac:dyDescent="0.3">
      <c r="A62" s="198" t="s">
        <v>182</v>
      </c>
      <c r="B62" s="208" t="s">
        <v>192</v>
      </c>
      <c r="C62" s="208" t="s">
        <v>193</v>
      </c>
      <c r="D62" s="208" t="s">
        <v>194</v>
      </c>
    </row>
    <row r="63" spans="1:10" x14ac:dyDescent="0.3">
      <c r="A63" s="203" t="s">
        <v>155</v>
      </c>
      <c r="B63" s="126">
        <f>H19</f>
        <v>6319.6843725943036</v>
      </c>
      <c r="C63" s="51">
        <f>I33</f>
        <v>145692</v>
      </c>
      <c r="D63" s="111">
        <f>B63/C63</f>
        <v>4.3377017081200779E-2</v>
      </c>
    </row>
    <row r="64" spans="1:10" x14ac:dyDescent="0.3">
      <c r="A64" s="200" t="s">
        <v>156</v>
      </c>
      <c r="B64" s="126">
        <f t="shared" ref="B64:B69" si="6">H20</f>
        <v>8686.785079431731</v>
      </c>
      <c r="C64" s="51">
        <f t="shared" ref="C64:C69" si="7">I34</f>
        <v>136320</v>
      </c>
      <c r="D64" s="111">
        <f t="shared" ref="D64:D69" si="8">B64/C64</f>
        <v>6.3723482096770326E-2</v>
      </c>
    </row>
    <row r="65" spans="1:4" x14ac:dyDescent="0.3">
      <c r="A65" s="203" t="s">
        <v>38</v>
      </c>
      <c r="B65" s="126">
        <f t="shared" si="6"/>
        <v>6717.0037091468967</v>
      </c>
      <c r="C65" s="51">
        <f t="shared" si="7"/>
        <v>127400</v>
      </c>
      <c r="D65" s="111">
        <f t="shared" si="8"/>
        <v>5.2723733980744869E-2</v>
      </c>
    </row>
    <row r="66" spans="1:4" x14ac:dyDescent="0.3">
      <c r="A66" s="200" t="s">
        <v>157</v>
      </c>
      <c r="B66" s="126">
        <f t="shared" si="6"/>
        <v>4122.6873819021621</v>
      </c>
      <c r="C66" s="51">
        <f t="shared" si="7"/>
        <v>116864</v>
      </c>
      <c r="D66" s="111">
        <f t="shared" si="8"/>
        <v>3.5277650789825456E-2</v>
      </c>
    </row>
    <row r="67" spans="1:4" x14ac:dyDescent="0.3">
      <c r="A67" s="203" t="s">
        <v>39</v>
      </c>
      <c r="B67" s="126">
        <f t="shared" si="6"/>
        <v>2160.93421513052</v>
      </c>
      <c r="C67" s="51">
        <f t="shared" si="7"/>
        <v>109833</v>
      </c>
      <c r="D67" s="111">
        <f t="shared" si="8"/>
        <v>1.9674726312952574E-2</v>
      </c>
    </row>
    <row r="68" spans="1:4" x14ac:dyDescent="0.3">
      <c r="A68" s="200" t="s">
        <v>158</v>
      </c>
      <c r="B68" s="126">
        <f t="shared" si="6"/>
        <v>575.5158513541885</v>
      </c>
      <c r="C68" s="51">
        <f t="shared" si="7"/>
        <v>94932</v>
      </c>
      <c r="D68" s="111">
        <f t="shared" si="8"/>
        <v>6.0624009960201881E-3</v>
      </c>
    </row>
    <row r="69" spans="1:4" x14ac:dyDescent="0.3">
      <c r="A69" s="203" t="s">
        <v>159</v>
      </c>
      <c r="B69" s="126">
        <f t="shared" si="6"/>
        <v>52.047309118902653</v>
      </c>
      <c r="C69" s="51">
        <f t="shared" si="7"/>
        <v>88915</v>
      </c>
      <c r="D69" s="111">
        <f t="shared" si="8"/>
        <v>5.8536027800599056E-4</v>
      </c>
    </row>
    <row r="70" spans="1:4" x14ac:dyDescent="0.3">
      <c r="A70" s="200" t="s">
        <v>121</v>
      </c>
      <c r="B70" s="126">
        <f>SUM(B63:B69)</f>
        <v>28634.657918678706</v>
      </c>
      <c r="C70" s="126">
        <f t="shared" ref="C70" si="9">SUM(C63:C69)</f>
        <v>819956</v>
      </c>
      <c r="D70" s="209">
        <f>SUM(D63:D69)*5</f>
        <v>1.1071218576776007</v>
      </c>
    </row>
  </sheetData>
  <mergeCells count="4">
    <mergeCell ref="A1:H1"/>
    <mergeCell ref="A16:I16"/>
    <mergeCell ref="A30:J30"/>
    <mergeCell ref="A44:J44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31C0B-EE83-BD4D-915D-93C9FA40F885}">
  <sheetPr>
    <tabColor theme="7" tint="0.39997558519241921"/>
  </sheetPr>
  <dimension ref="A2:J25"/>
  <sheetViews>
    <sheetView zoomScale="94" zoomScaleNormal="75" workbookViewId="0">
      <selection activeCell="J24" sqref="J24"/>
    </sheetView>
  </sheetViews>
  <sheetFormatPr defaultColWidth="11.19921875" defaultRowHeight="15.6" x14ac:dyDescent="0.3"/>
  <cols>
    <col min="2" max="2" width="13" customWidth="1"/>
    <col min="3" max="3" width="11.5" customWidth="1"/>
    <col min="4" max="4" width="7.69921875" customWidth="1"/>
    <col min="5" max="5" width="7.19921875" customWidth="1"/>
    <col min="6" max="6" width="9.796875" customWidth="1"/>
    <col min="7" max="7" width="7.5" customWidth="1"/>
    <col min="8" max="8" width="8.5" customWidth="1"/>
    <col min="9" max="9" width="8.296875" customWidth="1"/>
  </cols>
  <sheetData>
    <row r="2" spans="1:10" x14ac:dyDescent="0.3">
      <c r="A2" s="242" t="s">
        <v>131</v>
      </c>
      <c r="B2" s="242"/>
      <c r="C2" s="242"/>
      <c r="D2" s="242"/>
      <c r="E2" s="242"/>
      <c r="F2" s="242"/>
      <c r="G2" s="242"/>
      <c r="H2" s="242"/>
      <c r="I2" s="242"/>
      <c r="J2" s="242"/>
    </row>
    <row r="3" spans="1:10" ht="26.4" x14ac:dyDescent="0.3">
      <c r="B3" s="90" t="s">
        <v>82</v>
      </c>
      <c r="C3" s="96" t="s">
        <v>125</v>
      </c>
      <c r="D3" s="96" t="s">
        <v>126</v>
      </c>
      <c r="E3" s="97" t="s">
        <v>127</v>
      </c>
      <c r="F3" s="96" t="s">
        <v>128</v>
      </c>
      <c r="G3" s="96" t="s">
        <v>129</v>
      </c>
      <c r="H3" s="97" t="s">
        <v>130</v>
      </c>
    </row>
    <row r="4" spans="1:10" x14ac:dyDescent="0.3">
      <c r="B4" s="88" t="s">
        <v>3</v>
      </c>
      <c r="C4" s="71">
        <v>2.2801003121323111E-3</v>
      </c>
      <c r="D4" s="71">
        <v>4.2148358933351993E-3</v>
      </c>
      <c r="E4" s="71">
        <v>3.3026266461493995E-3</v>
      </c>
      <c r="F4" s="71">
        <v>1.5752090412822438E-3</v>
      </c>
      <c r="G4" s="71">
        <v>2.8001117575187293E-3</v>
      </c>
      <c r="H4" s="71">
        <v>1.9531600959469078E-3</v>
      </c>
    </row>
    <row r="5" spans="1:10" x14ac:dyDescent="0.3">
      <c r="B5" s="88" t="s">
        <v>77</v>
      </c>
      <c r="C5" s="71">
        <v>7.4050386049120773E-2</v>
      </c>
      <c r="D5" s="71">
        <v>0.11565164023985888</v>
      </c>
      <c r="E5" s="71">
        <v>8.4328715439605892E-2</v>
      </c>
      <c r="F5" s="71">
        <v>5.6721254338856296E-2</v>
      </c>
      <c r="G5" s="71">
        <v>9.7147329436205548E-2</v>
      </c>
      <c r="H5" s="71">
        <v>6.3912371185715133E-2</v>
      </c>
    </row>
    <row r="6" spans="1:10" x14ac:dyDescent="0.3">
      <c r="B6" s="88" t="s">
        <v>78</v>
      </c>
      <c r="C6" s="71">
        <v>0.11410920398674378</v>
      </c>
      <c r="D6" s="71">
        <v>0.15844640086795</v>
      </c>
      <c r="E6" s="71">
        <v>0.12040996366477334</v>
      </c>
      <c r="F6" s="71">
        <v>9.5079409128241504E-2</v>
      </c>
      <c r="G6" s="71">
        <v>0.14100961068463785</v>
      </c>
      <c r="H6" s="71">
        <v>0.10172649572290246</v>
      </c>
    </row>
    <row r="7" spans="1:10" x14ac:dyDescent="0.3">
      <c r="B7" s="88" t="s">
        <v>38</v>
      </c>
      <c r="C7" s="71">
        <v>9.8064273205657512E-2</v>
      </c>
      <c r="D7" s="71">
        <v>0.12584098002433269</v>
      </c>
      <c r="E7" s="71">
        <v>0.10124416470530244</v>
      </c>
      <c r="F7" s="71">
        <v>8.6890099158902265E-2</v>
      </c>
      <c r="G7" s="71">
        <v>0.11258500050694172</v>
      </c>
      <c r="H7" s="71">
        <v>9.0147079694241003E-2</v>
      </c>
    </row>
    <row r="8" spans="1:10" x14ac:dyDescent="0.3">
      <c r="B8" s="88" t="s">
        <v>79</v>
      </c>
      <c r="C8" s="71">
        <v>7.3327699198543206E-2</v>
      </c>
      <c r="D8" s="71">
        <v>8.8578130398466737E-2</v>
      </c>
      <c r="E8" s="71">
        <v>7.5445857868542812E-2</v>
      </c>
      <c r="F8" s="71">
        <v>6.8253285473775099E-2</v>
      </c>
      <c r="G8" s="71">
        <v>7.8404612105204219E-2</v>
      </c>
      <c r="H8" s="71">
        <v>6.9294716721872401E-2</v>
      </c>
    </row>
    <row r="9" spans="1:10" x14ac:dyDescent="0.3">
      <c r="B9" s="88" t="s">
        <v>39</v>
      </c>
      <c r="C9" s="71">
        <v>4.8676482719125502E-2</v>
      </c>
      <c r="D9" s="71">
        <v>5.5573715667116906E-2</v>
      </c>
      <c r="E9" s="71">
        <v>5.0416268189411403E-2</v>
      </c>
      <c r="F9" s="71">
        <v>4.7497839089285995E-2</v>
      </c>
      <c r="G9" s="71">
        <v>4.8190583327881155E-2</v>
      </c>
      <c r="H9" s="71">
        <v>4.7335282173269898E-2</v>
      </c>
    </row>
    <row r="10" spans="1:10" x14ac:dyDescent="0.3">
      <c r="B10" s="88" t="s">
        <v>80</v>
      </c>
      <c r="C10" s="71">
        <v>2.0662900249983983E-2</v>
      </c>
      <c r="D10" s="71">
        <v>2.210481191052871E-2</v>
      </c>
      <c r="E10" s="71">
        <v>2.1771108575477795E-2</v>
      </c>
      <c r="F10" s="71">
        <v>2.1300474375187495E-2</v>
      </c>
      <c r="G10" s="71">
        <v>1.853335584471081E-2</v>
      </c>
      <c r="H10" s="71">
        <v>2.0818206357304005E-2</v>
      </c>
    </row>
    <row r="11" spans="1:10" x14ac:dyDescent="0.3">
      <c r="B11" s="88" t="s">
        <v>81</v>
      </c>
      <c r="C11" s="71">
        <v>2.4300201314658488E-3</v>
      </c>
      <c r="D11" s="71">
        <v>2.3667041954131387E-3</v>
      </c>
      <c r="E11" s="71">
        <v>2.6454740345920767E-3</v>
      </c>
      <c r="F11" s="71">
        <v>2.7101241507520245E-3</v>
      </c>
      <c r="G11" s="71">
        <v>1.874123334482114E-3</v>
      </c>
      <c r="H11" s="71">
        <v>2.5808208477505977E-3</v>
      </c>
    </row>
    <row r="12" spans="1:10" x14ac:dyDescent="0.3">
      <c r="B12" s="88" t="s">
        <v>83</v>
      </c>
      <c r="C12" s="91">
        <f>SUM(C5:C11)*5</f>
        <v>2.1566048277032031</v>
      </c>
      <c r="D12" s="91">
        <f t="shared" ref="D12:E12" si="0">SUM(D5:D11)*5</f>
        <v>2.8428119165183356</v>
      </c>
      <c r="E12" s="91">
        <f t="shared" si="0"/>
        <v>2.2813077623885287</v>
      </c>
      <c r="F12" s="91">
        <f>SUM(F5:F11)*5</f>
        <v>1.8922624285750034</v>
      </c>
      <c r="G12" s="91">
        <f t="shared" ref="G12:H12" si="1">SUM(G5:G11)*5</f>
        <v>2.4887230762003174</v>
      </c>
      <c r="H12" s="91">
        <f t="shared" si="1"/>
        <v>1.9790748635152773</v>
      </c>
    </row>
    <row r="16" spans="1:10" ht="26.4" x14ac:dyDescent="0.3">
      <c r="B16" s="90" t="s">
        <v>82</v>
      </c>
      <c r="C16" s="96" t="s">
        <v>125</v>
      </c>
      <c r="D16" s="96" t="s">
        <v>126</v>
      </c>
      <c r="E16" s="97" t="s">
        <v>127</v>
      </c>
      <c r="F16" s="96" t="s">
        <v>128</v>
      </c>
      <c r="G16" s="96" t="s">
        <v>129</v>
      </c>
      <c r="H16" s="97" t="s">
        <v>130</v>
      </c>
    </row>
    <row r="17" spans="2:8" x14ac:dyDescent="0.3">
      <c r="B17" s="88" t="s">
        <v>3</v>
      </c>
      <c r="C17" s="92">
        <f>C4/(SUM(C$4:C$11))</f>
        <v>5.2585210039739795E-3</v>
      </c>
      <c r="D17" s="92">
        <f t="shared" ref="D17:E17" si="2">D4/(SUM(D$4:D$11))</f>
        <v>7.3585955447811532E-3</v>
      </c>
      <c r="E17" s="92">
        <f t="shared" si="2"/>
        <v>7.1864318329721739E-3</v>
      </c>
      <c r="F17" s="92">
        <f>F4/(SUM(F$4:F$11))</f>
        <v>4.1449848603598415E-3</v>
      </c>
      <c r="G17" s="92">
        <f t="shared" ref="G17:H17" si="3">G4/(SUM(G$4:G$11))</f>
        <v>5.594128968882844E-3</v>
      </c>
      <c r="H17" s="92">
        <f t="shared" si="3"/>
        <v>4.9102980729073794E-3</v>
      </c>
    </row>
    <row r="18" spans="2:8" x14ac:dyDescent="0.3">
      <c r="B18" s="88" t="s">
        <v>77</v>
      </c>
      <c r="C18" s="92">
        <f>C5/(SUM(C$4:C$11))</f>
        <v>0.17077999082747691</v>
      </c>
      <c r="D18" s="92">
        <f t="shared" ref="C18:E24" si="4">D5/(SUM(D$4:D$11))</f>
        <v>0.20191382681384434</v>
      </c>
      <c r="E18" s="92">
        <f t="shared" si="4"/>
        <v>0.18349714636239917</v>
      </c>
      <c r="F18" s="92">
        <f t="shared" ref="F18:H18" si="5">F5/(SUM(F$4:F$11))</f>
        <v>0.14925558089978791</v>
      </c>
      <c r="G18" s="92">
        <f t="shared" si="5"/>
        <v>0.1940832141393726</v>
      </c>
      <c r="H18" s="92">
        <f t="shared" si="5"/>
        <v>0.16067745481765611</v>
      </c>
    </row>
    <row r="19" spans="2:8" x14ac:dyDescent="0.3">
      <c r="B19" s="88" t="s">
        <v>78</v>
      </c>
      <c r="C19" s="92">
        <f t="shared" si="4"/>
        <v>0.26316633646257914</v>
      </c>
      <c r="D19" s="92">
        <f t="shared" si="4"/>
        <v>0.27662832172355234</v>
      </c>
      <c r="E19" s="92">
        <f t="shared" si="4"/>
        <v>0.2620090275406825</v>
      </c>
      <c r="F19" s="92">
        <f t="shared" ref="F19:H19" si="6">F6/(SUM(F$4:F$11))</f>
        <v>0.25019073725460261</v>
      </c>
      <c r="G19" s="92">
        <f t="shared" si="6"/>
        <v>0.28171230876900033</v>
      </c>
      <c r="H19" s="92">
        <f t="shared" si="6"/>
        <v>0.25574320146532764</v>
      </c>
    </row>
    <row r="20" spans="2:8" x14ac:dyDescent="0.3">
      <c r="B20" s="88" t="s">
        <v>38</v>
      </c>
      <c r="C20" s="92">
        <f t="shared" si="4"/>
        <v>0.22616243576982983</v>
      </c>
      <c r="D20" s="92">
        <f t="shared" si="4"/>
        <v>0.21970318617202311</v>
      </c>
      <c r="E20" s="92">
        <f t="shared" si="4"/>
        <v>0.22030473501725326</v>
      </c>
      <c r="F20" s="92">
        <f t="shared" ref="F20:H20" si="7">F7/(SUM(F$4:F$11))</f>
        <v>0.22864149207500808</v>
      </c>
      <c r="G20" s="92">
        <f t="shared" si="7"/>
        <v>0.22492495562236844</v>
      </c>
      <c r="H20" s="92">
        <f t="shared" si="7"/>
        <v>0.22663223184797851</v>
      </c>
    </row>
    <row r="21" spans="2:8" x14ac:dyDescent="0.3">
      <c r="B21" s="88" t="s">
        <v>79</v>
      </c>
      <c r="C21" s="92">
        <f t="shared" si="4"/>
        <v>0.16911328170821716</v>
      </c>
      <c r="D21" s="92">
        <f t="shared" si="4"/>
        <v>0.1546467412280253</v>
      </c>
      <c r="E21" s="92">
        <f t="shared" si="4"/>
        <v>0.16416827354207195</v>
      </c>
      <c r="F21" s="92">
        <f t="shared" ref="F21:G21" si="8">F8/(SUM(F$4:F$11))</f>
        <v>0.17960081966538485</v>
      </c>
      <c r="G21" s="92">
        <f t="shared" si="8"/>
        <v>0.15663857369050446</v>
      </c>
      <c r="H21" s="92">
        <f>H8/(SUM(H$4:H$11))</f>
        <v>0.17420881917880526</v>
      </c>
    </row>
    <row r="22" spans="2:8" x14ac:dyDescent="0.3">
      <c r="B22" s="88" t="s">
        <v>39</v>
      </c>
      <c r="C22" s="92">
        <f t="shared" si="4"/>
        <v>0.1122609849295282</v>
      </c>
      <c r="D22" s="92">
        <f t="shared" si="4"/>
        <v>9.7025010430805483E-2</v>
      </c>
      <c r="E22" s="92">
        <f t="shared" si="4"/>
        <v>0.10970452110851731</v>
      </c>
      <c r="F22" s="92">
        <f t="shared" ref="F22:H22" si="9">F9/(SUM(F$4:F$11))</f>
        <v>0.1249852043539801</v>
      </c>
      <c r="G22" s="92">
        <f t="shared" si="9"/>
        <v>9.6276278079968525E-2</v>
      </c>
      <c r="H22" s="92">
        <f t="shared" si="9"/>
        <v>0.11900219819064554</v>
      </c>
    </row>
    <row r="23" spans="2:8" x14ac:dyDescent="0.3">
      <c r="B23" s="88" t="s">
        <v>80</v>
      </c>
      <c r="C23" s="92">
        <f t="shared" si="4"/>
        <v>4.7654173103439668E-2</v>
      </c>
      <c r="D23" s="92">
        <f t="shared" si="4"/>
        <v>3.8592337770552869E-2</v>
      </c>
      <c r="E23" s="92">
        <f t="shared" si="4"/>
        <v>4.7373380181596689E-2</v>
      </c>
      <c r="F23" s="92">
        <f t="shared" ref="F23:H23" si="10">F10/(SUM(F$4:F$11))</f>
        <v>5.6049794973094751E-2</v>
      </c>
      <c r="G23" s="92">
        <f t="shared" si="10"/>
        <v>3.7026373159256817E-2</v>
      </c>
      <c r="H23" s="92">
        <f t="shared" si="10"/>
        <v>5.2337542001696068E-2</v>
      </c>
    </row>
    <row r="24" spans="2:8" x14ac:dyDescent="0.3">
      <c r="B24" s="88" t="s">
        <v>81</v>
      </c>
      <c r="C24" s="92">
        <f t="shared" si="4"/>
        <v>5.6042761949550886E-3</v>
      </c>
      <c r="D24" s="92">
        <f t="shared" si="4"/>
        <v>4.1319803164153587E-3</v>
      </c>
      <c r="E24" s="92">
        <f t="shared" si="4"/>
        <v>5.756484414506784E-3</v>
      </c>
      <c r="F24" s="92">
        <f t="shared" ref="F24:H24" si="11">F11/(SUM(F$4:F$11))</f>
        <v>7.1313859177817678E-3</v>
      </c>
      <c r="G24" s="92">
        <f t="shared" si="11"/>
        <v>3.7441675706458228E-3</v>
      </c>
      <c r="H24" s="92">
        <f t="shared" si="11"/>
        <v>6.4882544249836166E-3</v>
      </c>
    </row>
    <row r="25" spans="2:8" x14ac:dyDescent="0.3">
      <c r="B25" s="88" t="s">
        <v>83</v>
      </c>
      <c r="C25" s="109">
        <f>SUM(C17:C24)</f>
        <v>1</v>
      </c>
      <c r="D25" s="109">
        <f>SUM(D17:D24)</f>
        <v>0.99999999999999989</v>
      </c>
      <c r="E25" s="109">
        <f t="shared" ref="E25" si="12">SUM(E17:E24)</f>
        <v>0.99999999999999989</v>
      </c>
      <c r="F25" s="109">
        <f>SUM(F17:F24)</f>
        <v>0.99999999999999978</v>
      </c>
      <c r="G25" s="109">
        <f>SUM(G17:G24)</f>
        <v>0.99999999999999989</v>
      </c>
      <c r="H25" s="109">
        <f t="shared" ref="H25" si="13">SUM(H17:H24)</f>
        <v>1</v>
      </c>
    </row>
  </sheetData>
  <mergeCells count="1">
    <mergeCell ref="A2:J2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619E-F59A-9044-971A-6D940E0F6A10}">
  <sheetPr>
    <tabColor theme="7" tint="0.39997558519241921"/>
  </sheetPr>
  <dimension ref="A2:E25"/>
  <sheetViews>
    <sheetView zoomScale="94" zoomScaleNormal="75" workbookViewId="0">
      <selection activeCell="C3" sqref="C3:C12"/>
    </sheetView>
  </sheetViews>
  <sheetFormatPr defaultColWidth="11.19921875" defaultRowHeight="15.6" x14ac:dyDescent="0.3"/>
  <cols>
    <col min="2" max="2" width="13" customWidth="1"/>
    <col min="3" max="3" width="8.5" customWidth="1"/>
    <col min="4" max="4" width="8.296875" customWidth="1"/>
  </cols>
  <sheetData>
    <row r="2" spans="1:5" x14ac:dyDescent="0.3">
      <c r="A2" s="242" t="s">
        <v>195</v>
      </c>
      <c r="B2" s="242"/>
      <c r="C2" s="242"/>
      <c r="D2" s="242"/>
      <c r="E2" s="242"/>
    </row>
    <row r="3" spans="1:5" ht="26.4" x14ac:dyDescent="0.3">
      <c r="B3" s="90" t="s">
        <v>82</v>
      </c>
      <c r="C3" s="97" t="s">
        <v>130</v>
      </c>
    </row>
    <row r="4" spans="1:5" x14ac:dyDescent="0.3">
      <c r="B4" s="88" t="s">
        <v>3</v>
      </c>
      <c r="C4" s="71">
        <v>4.3684883812236536E-3</v>
      </c>
    </row>
    <row r="5" spans="1:5" x14ac:dyDescent="0.3">
      <c r="B5" s="88" t="s">
        <v>77</v>
      </c>
      <c r="C5" s="71">
        <v>9.8678771461823619E-2</v>
      </c>
    </row>
    <row r="6" spans="1:5" x14ac:dyDescent="0.3">
      <c r="B6" s="88" t="s">
        <v>78</v>
      </c>
      <c r="C6" s="71">
        <v>0.14423026077935347</v>
      </c>
    </row>
    <row r="7" spans="1:5" x14ac:dyDescent="0.3">
      <c r="B7" s="88" t="s">
        <v>38</v>
      </c>
      <c r="C7" s="71">
        <v>0.12770250630147301</v>
      </c>
    </row>
    <row r="8" spans="1:5" x14ac:dyDescent="0.3">
      <c r="B8" s="88" t="s">
        <v>79</v>
      </c>
      <c r="C8" s="71">
        <v>0.10070421363729025</v>
      </c>
    </row>
    <row r="9" spans="1:5" x14ac:dyDescent="0.3">
      <c r="B9" s="88" t="s">
        <v>39</v>
      </c>
      <c r="C9" s="71">
        <v>7.1853501413260371E-2</v>
      </c>
    </row>
    <row r="10" spans="1:5" x14ac:dyDescent="0.3">
      <c r="B10" s="88" t="s">
        <v>80</v>
      </c>
      <c r="C10" s="71">
        <v>3.3858432839351416E-2</v>
      </c>
    </row>
    <row r="11" spans="1:5" x14ac:dyDescent="0.3">
      <c r="B11" s="88" t="s">
        <v>81</v>
      </c>
      <c r="C11" s="71">
        <v>4.7074158483503045E-3</v>
      </c>
    </row>
    <row r="12" spans="1:5" x14ac:dyDescent="0.3">
      <c r="B12" s="88" t="s">
        <v>83</v>
      </c>
      <c r="C12" s="91">
        <f t="shared" ref="C12" si="0">SUM(C5:C11)*5</f>
        <v>2.9086755114045126</v>
      </c>
    </row>
    <row r="16" spans="1:5" ht="26.4" x14ac:dyDescent="0.3">
      <c r="B16" s="90" t="s">
        <v>82</v>
      </c>
      <c r="C16" s="97" t="s">
        <v>130</v>
      </c>
    </row>
    <row r="17" spans="2:3" x14ac:dyDescent="0.3">
      <c r="B17" s="88" t="s">
        <v>3</v>
      </c>
      <c r="C17" s="92">
        <f t="shared" ref="C17" si="1">C4/(SUM(C$4:C$11))</f>
        <v>7.4534407412323398E-3</v>
      </c>
    </row>
    <row r="18" spans="2:3" x14ac:dyDescent="0.3">
      <c r="B18" s="88" t="s">
        <v>77</v>
      </c>
      <c r="C18" s="92">
        <f t="shared" ref="C18:C24" si="2">C5/(SUM(C$4:C$11))</f>
        <v>0.16836404525409132</v>
      </c>
    </row>
    <row r="19" spans="2:3" x14ac:dyDescent="0.3">
      <c r="B19" s="88" t="s">
        <v>78</v>
      </c>
      <c r="C19" s="92">
        <f t="shared" si="2"/>
        <v>0.24608322330258262</v>
      </c>
    </row>
    <row r="20" spans="2:3" x14ac:dyDescent="0.3">
      <c r="B20" s="88" t="s">
        <v>38</v>
      </c>
      <c r="C20" s="92">
        <f t="shared" si="2"/>
        <v>0.21788384909433231</v>
      </c>
    </row>
    <row r="21" spans="2:3" x14ac:dyDescent="0.3">
      <c r="B21" s="88" t="s">
        <v>79</v>
      </c>
      <c r="C21" s="92">
        <f>C8/(SUM(C$4:C$11))</f>
        <v>0.17181982032139378</v>
      </c>
    </row>
    <row r="22" spans="2:3" x14ac:dyDescent="0.3">
      <c r="B22" s="88" t="s">
        <v>39</v>
      </c>
      <c r="C22" s="92">
        <f t="shared" si="2"/>
        <v>0.12259522473166709</v>
      </c>
    </row>
    <row r="23" spans="2:3" x14ac:dyDescent="0.3">
      <c r="B23" s="88" t="s">
        <v>80</v>
      </c>
      <c r="C23" s="92">
        <f t="shared" si="2"/>
        <v>5.7768683520777034E-2</v>
      </c>
    </row>
    <row r="24" spans="2:3" x14ac:dyDescent="0.3">
      <c r="B24" s="88" t="s">
        <v>81</v>
      </c>
      <c r="C24" s="92">
        <f t="shared" si="2"/>
        <v>8.0317130339234016E-3</v>
      </c>
    </row>
    <row r="25" spans="2:3" x14ac:dyDescent="0.3">
      <c r="B25" s="88" t="s">
        <v>83</v>
      </c>
      <c r="C25" s="109">
        <f t="shared" ref="C25" si="3">SUM(C17:C24)</f>
        <v>0.99999999999999978</v>
      </c>
    </row>
  </sheetData>
  <mergeCells count="1">
    <mergeCell ref="A2:E2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290C-EC48-F749-A1F0-5BA45317E852}">
  <sheetPr>
    <tabColor theme="8" tint="0.39997558519241921"/>
  </sheetPr>
  <dimension ref="B1:K52"/>
  <sheetViews>
    <sheetView topLeftCell="A49" zoomScale="94" workbookViewId="0">
      <selection activeCell="E10" sqref="E10"/>
    </sheetView>
  </sheetViews>
  <sheetFormatPr defaultColWidth="11.19921875" defaultRowHeight="15.6" x14ac:dyDescent="0.3"/>
  <cols>
    <col min="1" max="1" width="5.69921875" customWidth="1"/>
    <col min="2" max="2" width="13" customWidth="1"/>
    <col min="3" max="3" width="17.5" customWidth="1"/>
    <col min="4" max="4" width="14.296875" customWidth="1"/>
  </cols>
  <sheetData>
    <row r="1" spans="2:7" x14ac:dyDescent="0.3">
      <c r="C1" s="110" t="s">
        <v>95</v>
      </c>
      <c r="D1" s="110" t="s">
        <v>96</v>
      </c>
      <c r="E1" s="110" t="s">
        <v>97</v>
      </c>
      <c r="F1" s="110" t="s">
        <v>98</v>
      </c>
      <c r="G1" s="110" t="s">
        <v>98</v>
      </c>
    </row>
    <row r="2" spans="2:7" ht="26.4" x14ac:dyDescent="0.3">
      <c r="B2" s="90" t="s">
        <v>82</v>
      </c>
      <c r="C2" s="97" t="s">
        <v>85</v>
      </c>
    </row>
    <row r="3" spans="2:7" x14ac:dyDescent="0.3">
      <c r="B3" s="88" t="s">
        <v>3</v>
      </c>
      <c r="C3" s="71">
        <f>'Brass_NARP 2018 - Total'!D16</f>
        <v>2.5854211061866039E-3</v>
      </c>
    </row>
    <row r="4" spans="2:7" x14ac:dyDescent="0.3">
      <c r="B4" s="88" t="s">
        <v>77</v>
      </c>
      <c r="C4" s="71">
        <f>'Brass_NARP 2018 - Total'!D17</f>
        <v>7.4411513327979906E-2</v>
      </c>
    </row>
    <row r="5" spans="2:7" s="89" customFormat="1" ht="15" customHeight="1" x14ac:dyDescent="0.3">
      <c r="B5" s="88" t="s">
        <v>78</v>
      </c>
      <c r="C5" s="71">
        <f>'Brass_NARP 2018 - Total'!D18</f>
        <v>0.1203424826365853</v>
      </c>
    </row>
    <row r="6" spans="2:7" x14ac:dyDescent="0.3">
      <c r="B6" s="88" t="s">
        <v>38</v>
      </c>
      <c r="C6" s="71">
        <f>'Brass_NARP 2018 - Total'!D19</f>
        <v>0.10540906349557194</v>
      </c>
    </row>
    <row r="7" spans="2:7" x14ac:dyDescent="0.3">
      <c r="B7" s="88" t="s">
        <v>79</v>
      </c>
      <c r="C7" s="71">
        <f>'Brass_NARP 2018 - Total'!D20</f>
        <v>7.4585615971006283E-2</v>
      </c>
    </row>
    <row r="8" spans="2:7" x14ac:dyDescent="0.3">
      <c r="B8" s="88" t="s">
        <v>39</v>
      </c>
      <c r="C8" s="71">
        <f>'Brass_NARP 2018 - Total'!D21</f>
        <v>4.4210594844407626E-2</v>
      </c>
    </row>
    <row r="9" spans="2:7" x14ac:dyDescent="0.3">
      <c r="B9" s="88" t="s">
        <v>80</v>
      </c>
      <c r="C9" s="71">
        <f>'Brass_NARP 2018 - Total'!D22</f>
        <v>1.5869403246935501E-2</v>
      </c>
    </row>
    <row r="10" spans="2:7" x14ac:dyDescent="0.3">
      <c r="B10" s="88" t="s">
        <v>81</v>
      </c>
      <c r="C10" s="71">
        <f>'Brass_NARP 2018 - Total'!D23</f>
        <v>2.5197391924336203E-3</v>
      </c>
    </row>
    <row r="11" spans="2:7" x14ac:dyDescent="0.3">
      <c r="B11" s="88" t="s">
        <v>83</v>
      </c>
      <c r="C11" s="91">
        <f>SUM(C4:C10)*5</f>
        <v>2.1867420635746009</v>
      </c>
    </row>
    <row r="15" spans="2:7" ht="26.4" x14ac:dyDescent="0.3">
      <c r="B15" s="90" t="s">
        <v>82</v>
      </c>
      <c r="C15" s="97" t="s">
        <v>85</v>
      </c>
    </row>
    <row r="16" spans="2:7" x14ac:dyDescent="0.3">
      <c r="B16" s="88" t="s">
        <v>3</v>
      </c>
      <c r="C16" s="92">
        <f t="shared" ref="C16" si="0">C3/(SUM(C$3:C$10))</f>
        <v>5.876840805196926E-3</v>
      </c>
    </row>
    <row r="17" spans="2:11" x14ac:dyDescent="0.3">
      <c r="B17" s="88" t="s">
        <v>77</v>
      </c>
      <c r="C17" s="92">
        <f t="shared" ref="C17:C23" si="1">C4/(SUM(C$3:C$10))</f>
        <v>0.16914251100368505</v>
      </c>
    </row>
    <row r="18" spans="2:11" x14ac:dyDescent="0.3">
      <c r="B18" s="88" t="s">
        <v>78</v>
      </c>
      <c r="C18" s="92">
        <f t="shared" si="1"/>
        <v>0.27354677768548474</v>
      </c>
    </row>
    <row r="19" spans="2:11" x14ac:dyDescent="0.3">
      <c r="B19" s="88" t="s">
        <v>38</v>
      </c>
      <c r="C19" s="92">
        <f t="shared" si="1"/>
        <v>0.2396020842044059</v>
      </c>
    </row>
    <row r="20" spans="2:11" x14ac:dyDescent="0.3">
      <c r="B20" s="88" t="s">
        <v>79</v>
      </c>
      <c r="C20" s="92">
        <f t="shared" si="1"/>
        <v>0.16953825834031108</v>
      </c>
    </row>
    <row r="21" spans="2:11" x14ac:dyDescent="0.3">
      <c r="B21" s="88" t="s">
        <v>39</v>
      </c>
      <c r="C21" s="92">
        <f t="shared" si="1"/>
        <v>0.10049373666128456</v>
      </c>
    </row>
    <row r="22" spans="2:11" x14ac:dyDescent="0.3">
      <c r="B22" s="88" t="s">
        <v>80</v>
      </c>
      <c r="C22" s="92">
        <f t="shared" si="1"/>
        <v>3.607225002246265E-2</v>
      </c>
    </row>
    <row r="23" spans="2:11" x14ac:dyDescent="0.3">
      <c r="B23" s="88" t="s">
        <v>81</v>
      </c>
      <c r="C23" s="92">
        <f t="shared" si="1"/>
        <v>5.7275412771690534E-3</v>
      </c>
    </row>
    <row r="24" spans="2:11" x14ac:dyDescent="0.3">
      <c r="B24" s="88" t="s">
        <v>83</v>
      </c>
      <c r="C24" s="109">
        <f t="shared" ref="C24" si="2">SUM(C16:C23)</f>
        <v>0.99999999999999989</v>
      </c>
    </row>
    <row r="29" spans="2:11" x14ac:dyDescent="0.3">
      <c r="B29" s="242" t="s">
        <v>131</v>
      </c>
      <c r="C29" s="242"/>
      <c r="D29" s="242"/>
      <c r="E29" s="242"/>
      <c r="F29" s="242"/>
      <c r="G29" s="242"/>
      <c r="H29" s="242"/>
      <c r="I29" s="242"/>
      <c r="J29" s="242"/>
      <c r="K29" s="242"/>
    </row>
    <row r="30" spans="2:11" ht="22.8" x14ac:dyDescent="0.3">
      <c r="C30" s="90" t="s">
        <v>82</v>
      </c>
      <c r="D30" s="96" t="s">
        <v>125</v>
      </c>
      <c r="E30" s="96" t="s">
        <v>126</v>
      </c>
      <c r="F30" s="97" t="s">
        <v>127</v>
      </c>
      <c r="G30" s="96" t="s">
        <v>128</v>
      </c>
      <c r="H30" s="96" t="s">
        <v>129</v>
      </c>
      <c r="I30" s="97" t="s">
        <v>130</v>
      </c>
    </row>
    <row r="31" spans="2:11" x14ac:dyDescent="0.3">
      <c r="C31" s="88" t="s">
        <v>3</v>
      </c>
      <c r="D31" s="71">
        <v>1.5721117881520971E-3</v>
      </c>
      <c r="E31" s="71">
        <v>4.4954628008994791E-3</v>
      </c>
      <c r="F31" s="71">
        <v>2.5854211061866039E-3</v>
      </c>
      <c r="G31" s="71">
        <v>1.0769110143072297E-3</v>
      </c>
      <c r="H31" s="71">
        <v>2.1702270439418326E-3</v>
      </c>
      <c r="I31" s="71">
        <v>1.3039749203087678E-3</v>
      </c>
    </row>
    <row r="32" spans="2:11" x14ac:dyDescent="0.3">
      <c r="C32" s="88" t="s">
        <v>77</v>
      </c>
      <c r="D32" s="71">
        <v>6.2706396693201466E-2</v>
      </c>
      <c r="E32" s="71">
        <v>0.10024855277753036</v>
      </c>
      <c r="F32" s="71">
        <v>7.4411513327979906E-2</v>
      </c>
      <c r="G32" s="71">
        <v>4.8180476429907193E-2</v>
      </c>
      <c r="H32" s="71">
        <v>8.5177318639826041E-2</v>
      </c>
      <c r="I32" s="71">
        <v>5.4888123308796159E-2</v>
      </c>
    </row>
    <row r="33" spans="3:9" x14ac:dyDescent="0.3">
      <c r="C33" s="88" t="s">
        <v>78</v>
      </c>
      <c r="D33" s="71">
        <v>0.10567391733884154</v>
      </c>
      <c r="E33" s="71">
        <v>0.15749513210998173</v>
      </c>
      <c r="F33" s="71">
        <v>0.1203424826365853</v>
      </c>
      <c r="G33" s="71">
        <v>8.8704586185628098E-2</v>
      </c>
      <c r="H33" s="71">
        <v>0.13893055730625314</v>
      </c>
      <c r="I33" s="71">
        <v>9.5640629305709032E-2</v>
      </c>
    </row>
    <row r="34" spans="3:9" x14ac:dyDescent="0.3">
      <c r="C34" s="88" t="s">
        <v>38</v>
      </c>
      <c r="D34" s="71">
        <v>9.9702176569546969E-2</v>
      </c>
      <c r="E34" s="71">
        <v>0.12303152648420972</v>
      </c>
      <c r="F34" s="71">
        <v>0.10540906349557194</v>
      </c>
      <c r="G34" s="71">
        <v>8.6565493082222944E-2</v>
      </c>
      <c r="H34" s="71">
        <v>0.10971515498341672</v>
      </c>
      <c r="I34" s="71">
        <v>8.9002742918972227E-2</v>
      </c>
    </row>
    <row r="35" spans="3:9" x14ac:dyDescent="0.3">
      <c r="C35" s="88" t="s">
        <v>79</v>
      </c>
      <c r="D35" s="71">
        <v>7.2697595796584247E-2</v>
      </c>
      <c r="E35" s="71">
        <v>8.1921054376193458E-2</v>
      </c>
      <c r="F35" s="71">
        <v>7.4585615971006283E-2</v>
      </c>
      <c r="G35" s="71">
        <v>6.9192346698687207E-2</v>
      </c>
      <c r="H35" s="71">
        <v>7.3899456453063311E-2</v>
      </c>
      <c r="I35" s="71">
        <v>6.9029751777531387E-2</v>
      </c>
    </row>
    <row r="36" spans="3:9" x14ac:dyDescent="0.3">
      <c r="C36" s="88" t="s">
        <v>39</v>
      </c>
      <c r="D36" s="71">
        <v>4.2447963995168383E-2</v>
      </c>
      <c r="E36" s="71">
        <v>5.0266287154224341E-2</v>
      </c>
      <c r="F36" s="71">
        <v>4.4210594844407626E-2</v>
      </c>
      <c r="G36" s="71">
        <v>4.0727295705078229E-2</v>
      </c>
      <c r="H36" s="71">
        <v>4.2033390260645412E-2</v>
      </c>
      <c r="I36" s="71">
        <v>4.0400339267055732E-2</v>
      </c>
    </row>
    <row r="37" spans="3:9" x14ac:dyDescent="0.3">
      <c r="C37" s="88" t="s">
        <v>80</v>
      </c>
      <c r="D37" s="71">
        <v>1.3937351889842901E-2</v>
      </c>
      <c r="E37" s="71">
        <v>2.0925368195792941E-2</v>
      </c>
      <c r="F37" s="71">
        <v>1.5869403246935501E-2</v>
      </c>
      <c r="G37" s="71">
        <v>1.2209981373923342E-2</v>
      </c>
      <c r="H37" s="71">
        <v>1.5354964663842258E-2</v>
      </c>
      <c r="I37" s="71">
        <v>1.2570885283617401E-2</v>
      </c>
    </row>
    <row r="38" spans="3:9" x14ac:dyDescent="0.3">
      <c r="C38" s="88" t="s">
        <v>81</v>
      </c>
      <c r="D38" s="71">
        <v>1.7251785713359399E-3</v>
      </c>
      <c r="E38" s="71">
        <v>4.460295092647875E-3</v>
      </c>
      <c r="F38" s="71">
        <v>2.5197391924336203E-3</v>
      </c>
      <c r="G38" s="71">
        <v>1.3325083678032113E-3</v>
      </c>
      <c r="H38" s="71">
        <v>2.1260203947710563E-3</v>
      </c>
      <c r="I38" s="71">
        <v>1.4459758682960457E-3</v>
      </c>
    </row>
    <row r="39" spans="3:9" x14ac:dyDescent="0.3">
      <c r="C39" s="88" t="s">
        <v>83</v>
      </c>
      <c r="D39" s="91">
        <f>SUM(D32:D38)*5</f>
        <v>1.9944529042726069</v>
      </c>
      <c r="E39" s="91">
        <f t="shared" ref="E39:F39" si="3">SUM(E32:E38)*5</f>
        <v>2.6917410809529025</v>
      </c>
      <c r="F39" s="91">
        <f t="shared" si="3"/>
        <v>2.1867420635746009</v>
      </c>
      <c r="G39" s="91">
        <f>SUM(G32:G38)*5</f>
        <v>1.7345634392162506</v>
      </c>
      <c r="H39" s="91">
        <f t="shared" ref="H39:I39" si="4">SUM(H32:H38)*5</f>
        <v>2.3361843135090901</v>
      </c>
      <c r="I39" s="91">
        <f t="shared" si="4"/>
        <v>1.8148922386498898</v>
      </c>
    </row>
    <row r="43" spans="3:9" ht="22.8" x14ac:dyDescent="0.3">
      <c r="C43" s="90" t="s">
        <v>82</v>
      </c>
      <c r="D43" s="96" t="s">
        <v>125</v>
      </c>
      <c r="E43" s="96" t="s">
        <v>126</v>
      </c>
      <c r="F43" s="97" t="s">
        <v>127</v>
      </c>
      <c r="G43" s="96" t="s">
        <v>128</v>
      </c>
      <c r="H43" s="96" t="s">
        <v>129</v>
      </c>
      <c r="I43" s="97" t="s">
        <v>130</v>
      </c>
    </row>
    <row r="44" spans="3:9" x14ac:dyDescent="0.3">
      <c r="C44" s="88" t="s">
        <v>3</v>
      </c>
      <c r="D44" s="92">
        <f>D31/(SUM(D$31:D$38))</f>
        <v>3.925738444641752E-3</v>
      </c>
      <c r="E44" s="92">
        <f t="shared" ref="E44:I44" si="5">E31/(SUM(E$31:E$38))</f>
        <v>8.2813210780152361E-3</v>
      </c>
      <c r="F44" s="92">
        <f t="shared" si="5"/>
        <v>5.876840805196926E-3</v>
      </c>
      <c r="G44" s="92">
        <f t="shared" si="5"/>
        <v>3.0946643745752922E-3</v>
      </c>
      <c r="H44" s="92">
        <f t="shared" si="5"/>
        <v>4.6233367397950278E-3</v>
      </c>
      <c r="I44" s="92">
        <f t="shared" si="5"/>
        <v>3.5795713414385395E-3</v>
      </c>
    </row>
    <row r="45" spans="3:9" x14ac:dyDescent="0.3">
      <c r="C45" s="88" t="s">
        <v>77</v>
      </c>
      <c r="D45" s="92">
        <f t="shared" ref="D45:I51" si="6">D32/(SUM(D$31:D$38))</f>
        <v>0.15658486507044839</v>
      </c>
      <c r="E45" s="92">
        <f t="shared" si="6"/>
        <v>0.18467296692811597</v>
      </c>
      <c r="F45" s="92">
        <f t="shared" si="6"/>
        <v>0.16914251100368505</v>
      </c>
      <c r="G45" s="92">
        <f t="shared" si="6"/>
        <v>0.13845378306731779</v>
      </c>
      <c r="H45" s="92">
        <f t="shared" si="6"/>
        <v>0.1814572478782964</v>
      </c>
      <c r="I45" s="92">
        <f t="shared" si="6"/>
        <v>0.15067464114646312</v>
      </c>
    </row>
    <row r="46" spans="3:9" x14ac:dyDescent="0.3">
      <c r="C46" s="88" t="s">
        <v>78</v>
      </c>
      <c r="D46" s="92">
        <f t="shared" si="6"/>
        <v>0.26387955552487058</v>
      </c>
      <c r="E46" s="92">
        <f t="shared" si="6"/>
        <v>0.29012980753977546</v>
      </c>
      <c r="F46" s="92">
        <f t="shared" si="6"/>
        <v>0.27354677768548474</v>
      </c>
      <c r="G46" s="92">
        <f t="shared" si="6"/>
        <v>0.25490585487854639</v>
      </c>
      <c r="H46" s="92">
        <f t="shared" si="6"/>
        <v>0.29597030028136284</v>
      </c>
      <c r="I46" s="92">
        <f>I33/(SUM(I$31:I$38))</f>
        <v>0.26254527629933055</v>
      </c>
    </row>
    <row r="47" spans="3:9" x14ac:dyDescent="0.3">
      <c r="C47" s="88" t="s">
        <v>38</v>
      </c>
      <c r="D47" s="92">
        <f t="shared" si="6"/>
        <v>0.24896745290206007</v>
      </c>
      <c r="E47" s="92">
        <f t="shared" si="6"/>
        <v>0.2266426436295314</v>
      </c>
      <c r="F47" s="92">
        <f t="shared" si="6"/>
        <v>0.2396020842044059</v>
      </c>
      <c r="G47" s="92">
        <f t="shared" si="6"/>
        <v>0.24875885189217048</v>
      </c>
      <c r="H47" s="92">
        <f t="shared" si="6"/>
        <v>0.2337313546815849</v>
      </c>
      <c r="I47" s="92">
        <f t="shared" si="6"/>
        <v>0.24432346274477093</v>
      </c>
    </row>
    <row r="48" spans="3:9" x14ac:dyDescent="0.3">
      <c r="C48" s="88" t="s">
        <v>79</v>
      </c>
      <c r="D48" s="92">
        <f t="shared" si="6"/>
        <v>0.18153400337207232</v>
      </c>
      <c r="E48" s="92">
        <f t="shared" si="6"/>
        <v>0.15091094830171034</v>
      </c>
      <c r="F48" s="92">
        <f t="shared" si="6"/>
        <v>0.16953825834031108</v>
      </c>
      <c r="G48" s="92">
        <f t="shared" si="6"/>
        <v>0.19883452530145795</v>
      </c>
      <c r="H48" s="92">
        <f t="shared" si="6"/>
        <v>0.15743148765198398</v>
      </c>
      <c r="I48" s="92">
        <f t="shared" si="6"/>
        <v>0.18949514850405055</v>
      </c>
    </row>
    <row r="49" spans="3:9" x14ac:dyDescent="0.3">
      <c r="C49" s="88" t="s">
        <v>39</v>
      </c>
      <c r="D49" s="92">
        <f t="shared" si="6"/>
        <v>0.10599729956129529</v>
      </c>
      <c r="E49" s="92">
        <f t="shared" si="6"/>
        <v>9.2598088730832001E-2</v>
      </c>
      <c r="F49" s="92">
        <f t="shared" si="6"/>
        <v>0.10049373666128456</v>
      </c>
      <c r="G49" s="92">
        <f t="shared" si="6"/>
        <v>0.11703595693315286</v>
      </c>
      <c r="H49" s="92">
        <f t="shared" si="6"/>
        <v>8.9545708147296066E-2</v>
      </c>
      <c r="I49" s="92">
        <f t="shared" si="6"/>
        <v>0.11090389421792195</v>
      </c>
    </row>
    <row r="50" spans="3:9" x14ac:dyDescent="0.3">
      <c r="C50" s="88" t="s">
        <v>80</v>
      </c>
      <c r="D50" s="92">
        <f t="shared" si="6"/>
        <v>3.4803121853547989E-2</v>
      </c>
      <c r="E50" s="92">
        <f t="shared" si="6"/>
        <v>3.8547686941237037E-2</v>
      </c>
      <c r="F50" s="92">
        <f t="shared" si="6"/>
        <v>3.607225002246265E-2</v>
      </c>
      <c r="G50" s="92">
        <f t="shared" si="6"/>
        <v>3.5087202071580462E-2</v>
      </c>
      <c r="H50" s="92">
        <f t="shared" si="6"/>
        <v>3.2711403383700093E-2</v>
      </c>
      <c r="I50" s="92">
        <f t="shared" si="6"/>
        <v>3.4508624358429517E-2</v>
      </c>
    </row>
    <row r="51" spans="3:9" x14ac:dyDescent="0.3">
      <c r="C51" s="88" t="s">
        <v>81</v>
      </c>
      <c r="D51" s="92">
        <f t="shared" si="6"/>
        <v>4.3079632710637779E-3</v>
      </c>
      <c r="E51" s="92">
        <f t="shared" si="6"/>
        <v>8.2165368507825642E-3</v>
      </c>
      <c r="F51" s="92">
        <f t="shared" si="6"/>
        <v>5.7275412771690534E-3</v>
      </c>
      <c r="G51" s="92">
        <f t="shared" si="6"/>
        <v>3.8291614811988878E-3</v>
      </c>
      <c r="H51" s="92">
        <f t="shared" si="6"/>
        <v>4.529161235980802E-3</v>
      </c>
      <c r="I51" s="92">
        <f t="shared" si="6"/>
        <v>3.9693813875949519E-3</v>
      </c>
    </row>
    <row r="52" spans="3:9" x14ac:dyDescent="0.3">
      <c r="C52" s="88" t="s">
        <v>83</v>
      </c>
      <c r="D52" s="109">
        <f>SUM(D44:D51)</f>
        <v>1.0000000000000002</v>
      </c>
      <c r="E52" s="109">
        <f>SUM(E44:E51)</f>
        <v>1</v>
      </c>
      <c r="F52" s="109">
        <f t="shared" ref="F52" si="7">SUM(F44:F51)</f>
        <v>0.99999999999999989</v>
      </c>
      <c r="G52" s="109">
        <f>SUM(G44:G51)</f>
        <v>1</v>
      </c>
      <c r="H52" s="109">
        <f>SUM(H44:H51)</f>
        <v>1.0000000000000002</v>
      </c>
      <c r="I52" s="109">
        <f t="shared" ref="I52" si="8">SUM(I44:I51)</f>
        <v>1.0000000000000002</v>
      </c>
    </row>
  </sheetData>
  <mergeCells count="1">
    <mergeCell ref="B29:K29"/>
  </mergeCells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9C08-86CD-AA4A-A431-56E3072ED73C}">
  <sheetPr>
    <tabColor theme="9" tint="0.59999389629810485"/>
  </sheetPr>
  <dimension ref="A1:AX155"/>
  <sheetViews>
    <sheetView tabSelected="1" topLeftCell="A9" zoomScale="113" zoomScaleNormal="150" zoomScalePageLayoutView="150" workbookViewId="0">
      <selection activeCell="D17" sqref="D17:D23"/>
    </sheetView>
  </sheetViews>
  <sheetFormatPr defaultColWidth="11.19921875" defaultRowHeight="15.6" x14ac:dyDescent="0.3"/>
  <cols>
    <col min="2" max="2" width="13.5" customWidth="1"/>
    <col min="3" max="3" width="14.19921875" customWidth="1"/>
    <col min="4" max="4" width="13.796875" customWidth="1"/>
    <col min="5" max="5" width="13.69921875" customWidth="1"/>
    <col min="6" max="6" width="11.69921875" customWidth="1"/>
    <col min="7" max="7" width="15.5" customWidth="1"/>
    <col min="8" max="8" width="11" bestFit="1" customWidth="1"/>
    <col min="9" max="9" width="11.796875" customWidth="1"/>
    <col min="10" max="10" width="11.796875" bestFit="1" customWidth="1"/>
    <col min="15" max="15" width="14.19921875" customWidth="1"/>
    <col min="19" max="19" width="11.796875" bestFit="1" customWidth="1"/>
    <col min="21" max="21" width="13.796875" customWidth="1"/>
    <col min="25" max="25" width="13.296875" customWidth="1"/>
    <col min="32" max="32" width="11.796875" bestFit="1" customWidth="1"/>
    <col min="33" max="33" width="11.296875" customWidth="1"/>
    <col min="34" max="34" width="12.19921875" customWidth="1"/>
    <col min="35" max="35" width="11.5" customWidth="1"/>
    <col min="36" max="36" width="12" customWidth="1"/>
    <col min="37" max="37" width="11.5" customWidth="1"/>
    <col min="38" max="38" width="11.296875" customWidth="1"/>
    <col min="39" max="39" width="10.19921875" customWidth="1"/>
    <col min="40" max="40" width="11.69921875" customWidth="1"/>
    <col min="41" max="41" width="10.69921875" customWidth="1"/>
    <col min="42" max="42" width="9.296875" customWidth="1"/>
    <col min="43" max="43" width="12.796875" bestFit="1" customWidth="1"/>
    <col min="44" max="44" width="16" bestFit="1" customWidth="1"/>
    <col min="50" max="50" width="11.5" bestFit="1" customWidth="1"/>
  </cols>
  <sheetData>
    <row r="1" spans="2:25" ht="16.2" thickBot="1" x14ac:dyDescent="0.35"/>
    <row r="2" spans="2:25" x14ac:dyDescent="0.3">
      <c r="B2" s="312" t="s">
        <v>0</v>
      </c>
      <c r="C2" s="313"/>
      <c r="D2" s="313"/>
      <c r="E2" s="314"/>
      <c r="G2" s="315" t="s">
        <v>28</v>
      </c>
      <c r="H2" s="317" t="s">
        <v>14</v>
      </c>
      <c r="I2" s="319" t="s">
        <v>29</v>
      </c>
      <c r="J2" s="321" t="s">
        <v>31</v>
      </c>
      <c r="K2" s="321"/>
      <c r="L2" s="308" t="s">
        <v>25</v>
      </c>
      <c r="M2" s="308" t="s">
        <v>26</v>
      </c>
      <c r="N2" s="310" t="s">
        <v>16</v>
      </c>
      <c r="O2" s="310" t="s">
        <v>17</v>
      </c>
      <c r="P2" s="308" t="s">
        <v>41</v>
      </c>
      <c r="Q2" s="308" t="s">
        <v>40</v>
      </c>
      <c r="R2" s="308" t="s">
        <v>12</v>
      </c>
      <c r="S2" s="295" t="s">
        <v>27</v>
      </c>
    </row>
    <row r="3" spans="2:25" x14ac:dyDescent="0.3">
      <c r="B3" s="40" t="s">
        <v>1</v>
      </c>
      <c r="C3" s="47" t="s">
        <v>2</v>
      </c>
      <c r="D3" s="47" t="s">
        <v>11</v>
      </c>
      <c r="E3" s="41" t="s">
        <v>149</v>
      </c>
      <c r="G3" s="316"/>
      <c r="H3" s="318"/>
      <c r="I3" s="320"/>
      <c r="J3" s="4" t="s">
        <v>15</v>
      </c>
      <c r="K3" s="4" t="s">
        <v>30</v>
      </c>
      <c r="L3" s="309"/>
      <c r="M3" s="309"/>
      <c r="N3" s="311"/>
      <c r="O3" s="311"/>
      <c r="P3" s="309"/>
      <c r="Q3" s="309"/>
      <c r="R3" s="309"/>
      <c r="S3" s="296"/>
    </row>
    <row r="4" spans="2:25" x14ac:dyDescent="0.3">
      <c r="B4" s="48" t="s">
        <v>3</v>
      </c>
      <c r="C4" s="126"/>
      <c r="D4" s="126"/>
      <c r="E4" s="49"/>
      <c r="G4" s="30"/>
      <c r="H4" s="3"/>
      <c r="I4" s="161"/>
      <c r="J4" s="161"/>
      <c r="K4" s="161"/>
      <c r="L4" s="50"/>
      <c r="M4" s="50"/>
      <c r="N4" s="162"/>
      <c r="O4" s="162"/>
      <c r="P4" s="162"/>
      <c r="Q4" s="162"/>
      <c r="R4" s="162"/>
      <c r="S4" s="163"/>
    </row>
    <row r="5" spans="2:25" x14ac:dyDescent="0.3">
      <c r="B5" s="48" t="s">
        <v>4</v>
      </c>
      <c r="C5" s="51">
        <v>100467</v>
      </c>
      <c r="D5">
        <v>22198</v>
      </c>
      <c r="E5" s="49">
        <v>5668.5891005714911</v>
      </c>
      <c r="G5" s="31" t="s">
        <v>18</v>
      </c>
      <c r="H5" s="50">
        <v>17</v>
      </c>
      <c r="I5" s="52">
        <f>C5</f>
        <v>100467</v>
      </c>
      <c r="J5" s="53">
        <f>D5</f>
        <v>22198</v>
      </c>
      <c r="K5" s="54">
        <f t="shared" ref="J5:K11" si="0">E5</f>
        <v>5668.5891005714911</v>
      </c>
      <c r="L5" s="55">
        <f>K5/I5</f>
        <v>5.6422398405162798E-2</v>
      </c>
      <c r="M5" s="55">
        <f t="shared" ref="M5:M11" si="1">J5/I5</f>
        <v>0.22094817203658912</v>
      </c>
      <c r="N5" s="55">
        <f t="shared" ref="N5:N11" si="2">L5*H5</f>
        <v>0.9591807728877676</v>
      </c>
      <c r="O5" s="55">
        <f>Y23</f>
        <v>2.5766610426525736</v>
      </c>
      <c r="P5" s="55">
        <v>0</v>
      </c>
      <c r="Q5" s="55">
        <f t="shared" ref="Q5:Q11" si="3">P5+O5*L5</f>
        <v>0.14538139590360569</v>
      </c>
      <c r="R5" s="55">
        <f>M5/Q5</f>
        <v>1.519782986422056</v>
      </c>
      <c r="S5" s="32">
        <f t="shared" ref="S5:S11" si="4">$R$6*L5</f>
        <v>8.8782588928530706E-2</v>
      </c>
    </row>
    <row r="6" spans="2:25" x14ac:dyDescent="0.3">
      <c r="B6" s="48" t="s">
        <v>5</v>
      </c>
      <c r="C6" s="51">
        <v>89601</v>
      </c>
      <c r="D6">
        <v>77306</v>
      </c>
      <c r="E6" s="49">
        <v>8172.8053604788474</v>
      </c>
      <c r="G6" s="31" t="s">
        <v>19</v>
      </c>
      <c r="H6" s="50">
        <v>22</v>
      </c>
      <c r="I6" s="53">
        <f t="shared" ref="I6:I11" si="5">C6</f>
        <v>89601</v>
      </c>
      <c r="J6" s="53">
        <f t="shared" si="0"/>
        <v>77306</v>
      </c>
      <c r="K6" s="54">
        <f t="shared" si="0"/>
        <v>8172.8053604788474</v>
      </c>
      <c r="L6" s="55">
        <f t="shared" ref="L6:L11" si="6">K6/I6</f>
        <v>9.1213327535170891E-2</v>
      </c>
      <c r="M6" s="55">
        <f t="shared" si="1"/>
        <v>0.86278054932422632</v>
      </c>
      <c r="N6" s="55">
        <f t="shared" si="2"/>
        <v>2.0066932057737596</v>
      </c>
      <c r="O6" s="55">
        <f>Y24</f>
        <v>2.9183824969935523</v>
      </c>
      <c r="P6" s="55">
        <f t="shared" ref="P6:P11" si="7">(5*L5)+P5</f>
        <v>0.282111992025814</v>
      </c>
      <c r="Q6" s="55">
        <f t="shared" si="3"/>
        <v>0.54830737059699675</v>
      </c>
      <c r="R6" s="55">
        <f t="shared" ref="R6:R10" si="8">M6/Q6</f>
        <v>1.5735344727991369</v>
      </c>
      <c r="S6" s="32">
        <f t="shared" si="4"/>
        <v>0.14352731525531012</v>
      </c>
    </row>
    <row r="7" spans="2:25" x14ac:dyDescent="0.3">
      <c r="B7" s="48" t="s">
        <v>6</v>
      </c>
      <c r="C7" s="51">
        <v>74465</v>
      </c>
      <c r="D7">
        <v>117215</v>
      </c>
      <c r="E7" s="49">
        <v>5895.073397447557</v>
      </c>
      <c r="G7" s="31" t="s">
        <v>20</v>
      </c>
      <c r="H7" s="50">
        <v>27</v>
      </c>
      <c r="I7" s="53">
        <f t="shared" si="5"/>
        <v>74465</v>
      </c>
      <c r="J7" s="53">
        <f t="shared" si="0"/>
        <v>117215</v>
      </c>
      <c r="K7" s="54">
        <f t="shared" si="0"/>
        <v>5895.073397447557</v>
      </c>
      <c r="L7" s="55">
        <f t="shared" si="6"/>
        <v>7.916569391590085E-2</v>
      </c>
      <c r="M7" s="55">
        <f t="shared" si="1"/>
        <v>1.5740952125159471</v>
      </c>
      <c r="N7" s="55">
        <f t="shared" si="2"/>
        <v>2.1374737357293228</v>
      </c>
      <c r="O7" s="55">
        <f>Y25</f>
        <v>3.0512185697106013</v>
      </c>
      <c r="P7" s="55">
        <f t="shared" si="7"/>
        <v>0.73817862970166837</v>
      </c>
      <c r="Q7" s="55">
        <f t="shared" si="3"/>
        <v>0.97973046506189065</v>
      </c>
      <c r="R7" s="55">
        <f t="shared" si="8"/>
        <v>1.6066614937982047</v>
      </c>
      <c r="S7" s="32">
        <f t="shared" si="4"/>
        <v>0.12456994843973489</v>
      </c>
    </row>
    <row r="8" spans="2:25" x14ac:dyDescent="0.3">
      <c r="B8" s="48" t="s">
        <v>7</v>
      </c>
      <c r="C8" s="51">
        <v>65757</v>
      </c>
      <c r="D8">
        <v>148147</v>
      </c>
      <c r="E8" s="49">
        <v>4330.7144511542583</v>
      </c>
      <c r="G8" s="31" t="s">
        <v>21</v>
      </c>
      <c r="H8" s="50">
        <v>32</v>
      </c>
      <c r="I8" s="53">
        <f t="shared" si="5"/>
        <v>65757</v>
      </c>
      <c r="J8" s="53">
        <f t="shared" si="0"/>
        <v>148147</v>
      </c>
      <c r="K8" s="54">
        <f t="shared" si="0"/>
        <v>4330.7144511542583</v>
      </c>
      <c r="L8" s="55">
        <f t="shared" si="6"/>
        <v>6.5859367841511293E-2</v>
      </c>
      <c r="M8" s="55">
        <f t="shared" si="1"/>
        <v>2.2529464543698769</v>
      </c>
      <c r="N8" s="55">
        <f t="shared" si="2"/>
        <v>2.1074997709283614</v>
      </c>
      <c r="O8" s="55">
        <f>T26</f>
        <v>3.1454330158221269</v>
      </c>
      <c r="P8" s="55">
        <f t="shared" si="7"/>
        <v>1.1340070992811726</v>
      </c>
      <c r="Q8" s="55">
        <f t="shared" si="3"/>
        <v>1.3411633292910363</v>
      </c>
      <c r="R8" s="55">
        <f t="shared" si="8"/>
        <v>1.6798449563639843</v>
      </c>
      <c r="S8" s="32">
        <f t="shared" si="4"/>
        <v>0.1036319856553769</v>
      </c>
    </row>
    <row r="9" spans="2:25" x14ac:dyDescent="0.3">
      <c r="B9" s="48" t="s">
        <v>8</v>
      </c>
      <c r="C9" s="51">
        <v>59531</v>
      </c>
      <c r="D9">
        <v>165905</v>
      </c>
      <c r="E9" s="49">
        <v>2547.1376267375745</v>
      </c>
      <c r="G9" s="31" t="s">
        <v>22</v>
      </c>
      <c r="H9" s="50">
        <v>37</v>
      </c>
      <c r="I9" s="53">
        <f t="shared" si="5"/>
        <v>59531</v>
      </c>
      <c r="J9" s="53">
        <f t="shared" si="0"/>
        <v>165905</v>
      </c>
      <c r="K9" s="54">
        <f t="shared" si="0"/>
        <v>2547.1376267375745</v>
      </c>
      <c r="L9" s="55">
        <f t="shared" si="6"/>
        <v>4.2786743490577588E-2</v>
      </c>
      <c r="M9" s="55">
        <f t="shared" si="1"/>
        <v>2.7868673464245517</v>
      </c>
      <c r="N9" s="55">
        <f t="shared" si="2"/>
        <v>1.5831095091513707</v>
      </c>
      <c r="O9" s="55">
        <f>T27</f>
        <v>3.2958660316442541</v>
      </c>
      <c r="P9" s="55">
        <f t="shared" si="7"/>
        <v>1.4633039384887292</v>
      </c>
      <c r="Q9" s="55">
        <f t="shared" si="3"/>
        <v>1.6043233129639998</v>
      </c>
      <c r="R9" s="55">
        <f t="shared" si="8"/>
        <v>1.7370983291863986</v>
      </c>
      <c r="S9" s="32">
        <f t="shared" si="4"/>
        <v>6.7326415861237915E-2</v>
      </c>
    </row>
    <row r="10" spans="2:25" x14ac:dyDescent="0.3">
      <c r="B10" s="48" t="s">
        <v>9</v>
      </c>
      <c r="C10" s="51">
        <v>50742</v>
      </c>
      <c r="D10">
        <v>164980</v>
      </c>
      <c r="E10" s="49">
        <v>1078.628126301501</v>
      </c>
      <c r="G10" s="31" t="s">
        <v>23</v>
      </c>
      <c r="H10" s="50">
        <v>42</v>
      </c>
      <c r="I10" s="53">
        <f t="shared" si="5"/>
        <v>50742</v>
      </c>
      <c r="J10" s="53">
        <f t="shared" si="0"/>
        <v>164980</v>
      </c>
      <c r="K10" s="54">
        <f t="shared" si="0"/>
        <v>1078.628126301501</v>
      </c>
      <c r="L10" s="55">
        <f t="shared" si="6"/>
        <v>2.1257107057299694E-2</v>
      </c>
      <c r="M10" s="55">
        <f t="shared" si="1"/>
        <v>3.2513499664971817</v>
      </c>
      <c r="N10" s="55">
        <f t="shared" si="2"/>
        <v>0.89279849640658715</v>
      </c>
      <c r="O10" s="55">
        <f>T28</f>
        <v>3.6371650791106345</v>
      </c>
      <c r="P10" s="55">
        <f t="shared" si="7"/>
        <v>1.6772376559416171</v>
      </c>
      <c r="Q10" s="55">
        <f t="shared" si="3"/>
        <v>1.7545532634133438</v>
      </c>
      <c r="R10" s="55">
        <f t="shared" si="8"/>
        <v>1.8530927697070529</v>
      </c>
      <c r="S10" s="32">
        <f t="shared" si="4"/>
        <v>3.3448790746642885E-2</v>
      </c>
    </row>
    <row r="11" spans="2:25" ht="16.2" thickBot="1" x14ac:dyDescent="0.35">
      <c r="B11" s="56" t="s">
        <v>10</v>
      </c>
      <c r="C11" s="51">
        <v>44060</v>
      </c>
      <c r="D11" s="164">
        <v>151770</v>
      </c>
      <c r="E11" s="165">
        <v>218.51171875</v>
      </c>
      <c r="G11" s="33" t="s">
        <v>24</v>
      </c>
      <c r="H11" s="34">
        <v>47</v>
      </c>
      <c r="I11" s="35">
        <f t="shared" si="5"/>
        <v>44060</v>
      </c>
      <c r="J11" s="35">
        <f t="shared" si="0"/>
        <v>151770</v>
      </c>
      <c r="K11" s="57">
        <f t="shared" si="0"/>
        <v>218.51171875</v>
      </c>
      <c r="L11" s="36">
        <f t="shared" si="6"/>
        <v>4.9594125907852929E-3</v>
      </c>
      <c r="M11" s="36">
        <f t="shared" si="1"/>
        <v>3.4446209714026326</v>
      </c>
      <c r="N11" s="36">
        <f t="shared" si="2"/>
        <v>0.23309239176690877</v>
      </c>
      <c r="O11" s="36">
        <f>T29</f>
        <v>4.6938379359099915</v>
      </c>
      <c r="P11" s="36">
        <f t="shared" si="7"/>
        <v>1.7835231912281155</v>
      </c>
      <c r="Q11" s="36">
        <f t="shared" si="3"/>
        <v>1.8068018701865731</v>
      </c>
      <c r="R11" s="36">
        <f>M11/Q11</f>
        <v>1.9064741011403401</v>
      </c>
      <c r="S11" s="37">
        <f t="shared" si="4"/>
        <v>7.803806676434738E-3</v>
      </c>
    </row>
    <row r="12" spans="2:25" ht="16.2" thickBot="1" x14ac:dyDescent="0.35">
      <c r="L12" s="27">
        <f>SUM(L5:L11)</f>
        <v>0.36166405083640846</v>
      </c>
      <c r="M12" s="58"/>
      <c r="N12" s="45">
        <f>SUM(N5:N11)</f>
        <v>9.9198478826440777</v>
      </c>
      <c r="O12" s="53"/>
      <c r="P12" s="59"/>
      <c r="Q12" s="59"/>
      <c r="R12" s="59"/>
      <c r="S12" s="60">
        <f>SUM(S5:S11)</f>
        <v>0.56909085156326822</v>
      </c>
    </row>
    <row r="13" spans="2:25" ht="16.2" thickBot="1" x14ac:dyDescent="0.35">
      <c r="K13" s="297" t="s">
        <v>32</v>
      </c>
      <c r="L13" s="299">
        <f>5*L12</f>
        <v>1.8083202541820422</v>
      </c>
      <c r="M13" s="59"/>
      <c r="N13" s="59"/>
      <c r="O13" s="59"/>
      <c r="P13" s="59"/>
      <c r="Q13" s="59"/>
      <c r="R13" s="301" t="s">
        <v>42</v>
      </c>
      <c r="S13" s="303">
        <f>5*S12</f>
        <v>2.8454542578163409</v>
      </c>
    </row>
    <row r="14" spans="2:25" ht="16.2" thickBot="1" x14ac:dyDescent="0.35">
      <c r="B14" s="305" t="s">
        <v>33</v>
      </c>
      <c r="C14" s="306"/>
      <c r="D14" s="306"/>
      <c r="E14" s="307"/>
      <c r="K14" s="298"/>
      <c r="L14" s="300"/>
      <c r="M14" s="59"/>
      <c r="N14" s="59"/>
      <c r="O14" s="59"/>
      <c r="P14" s="59"/>
      <c r="Q14" s="59"/>
      <c r="R14" s="302"/>
      <c r="S14" s="304"/>
    </row>
    <row r="15" spans="2:25" ht="63" thickBot="1" x14ac:dyDescent="0.35">
      <c r="B15" s="42" t="s">
        <v>1</v>
      </c>
      <c r="C15" s="2" t="s">
        <v>37</v>
      </c>
      <c r="D15" s="2" t="s">
        <v>34</v>
      </c>
      <c r="E15" s="43" t="s">
        <v>36</v>
      </c>
      <c r="R15" s="38" t="s">
        <v>62</v>
      </c>
      <c r="S15" s="61">
        <f>N12/L12</f>
        <v>27.428349208893653</v>
      </c>
      <c r="W15" s="39" t="s">
        <v>13</v>
      </c>
      <c r="X15" s="62">
        <f>M5/M6</f>
        <v>0.25608849458839444</v>
      </c>
    </row>
    <row r="16" spans="2:25" x14ac:dyDescent="0.3">
      <c r="B16" s="48" t="s">
        <v>3</v>
      </c>
      <c r="C16" s="63"/>
      <c r="E16" s="166"/>
      <c r="G16" s="256" t="s">
        <v>61</v>
      </c>
      <c r="H16" s="257"/>
      <c r="I16" s="257"/>
      <c r="J16" s="257"/>
      <c r="K16" s="257"/>
      <c r="L16" s="257"/>
      <c r="M16" s="257"/>
      <c r="N16" s="257"/>
      <c r="O16" s="258"/>
      <c r="P16" s="5"/>
      <c r="Q16" s="262" t="s">
        <v>56</v>
      </c>
      <c r="R16" s="263"/>
      <c r="S16" s="263"/>
      <c r="T16" s="264"/>
      <c r="U16" s="5"/>
      <c r="V16" s="271" t="s">
        <v>59</v>
      </c>
      <c r="W16" s="272"/>
      <c r="X16" s="272"/>
      <c r="Y16" s="273"/>
    </row>
    <row r="17" spans="1:27" ht="16.2" thickBot="1" x14ac:dyDescent="0.35">
      <c r="B17" s="48" t="s">
        <v>4</v>
      </c>
      <c r="C17" s="63">
        <f t="shared" ref="C17:C23" si="9">L5</f>
        <v>5.6422398405162798E-2</v>
      </c>
      <c r="D17" s="63">
        <f t="shared" ref="D17:D23" si="10">S5</f>
        <v>8.8782588928530706E-2</v>
      </c>
      <c r="E17" s="64">
        <f t="shared" ref="E17:E23" si="11">100*((D17-C17)/C17)</f>
        <v>57.353447279913695</v>
      </c>
      <c r="G17" s="259"/>
      <c r="H17" s="260"/>
      <c r="I17" s="260"/>
      <c r="J17" s="260"/>
      <c r="K17" s="260"/>
      <c r="L17" s="260"/>
      <c r="M17" s="260"/>
      <c r="N17" s="260"/>
      <c r="O17" s="261"/>
      <c r="P17" s="5"/>
      <c r="Q17" s="265"/>
      <c r="R17" s="266"/>
      <c r="S17" s="266"/>
      <c r="T17" s="267"/>
      <c r="U17" s="5"/>
      <c r="V17" s="274"/>
      <c r="W17" s="275"/>
      <c r="X17" s="275"/>
      <c r="Y17" s="276"/>
    </row>
    <row r="18" spans="1:27" ht="16.2" thickBot="1" x14ac:dyDescent="0.35">
      <c r="B18" s="48" t="s">
        <v>5</v>
      </c>
      <c r="C18" s="63">
        <f t="shared" si="9"/>
        <v>9.1213327535170891E-2</v>
      </c>
      <c r="D18" s="63">
        <f t="shared" si="10"/>
        <v>0.14352731525531012</v>
      </c>
      <c r="E18" s="64">
        <f t="shared" si="11"/>
        <v>57.353447279913681</v>
      </c>
      <c r="G18" s="6" t="s">
        <v>54</v>
      </c>
      <c r="H18" s="280" t="s">
        <v>55</v>
      </c>
      <c r="I18" s="281"/>
      <c r="J18" s="281"/>
      <c r="K18" s="281"/>
      <c r="L18" s="281"/>
      <c r="M18" s="281"/>
      <c r="N18" s="281"/>
      <c r="O18" s="282"/>
      <c r="P18" s="5"/>
      <c r="Q18" s="268"/>
      <c r="R18" s="269"/>
      <c r="S18" s="269"/>
      <c r="T18" s="270"/>
      <c r="U18" s="5"/>
      <c r="V18" s="277"/>
      <c r="W18" s="278"/>
      <c r="X18" s="278"/>
      <c r="Y18" s="279"/>
    </row>
    <row r="19" spans="1:27" x14ac:dyDescent="0.3">
      <c r="B19" s="48" t="s">
        <v>6</v>
      </c>
      <c r="C19" s="63">
        <f t="shared" si="9"/>
        <v>7.916569391590085E-2</v>
      </c>
      <c r="D19" s="63">
        <f t="shared" si="10"/>
        <v>0.12456994843973489</v>
      </c>
      <c r="E19" s="64">
        <f t="shared" si="11"/>
        <v>57.353447279913695</v>
      </c>
      <c r="G19" s="7" t="s">
        <v>44</v>
      </c>
      <c r="H19" s="8">
        <v>1.1200000000000001</v>
      </c>
      <c r="I19" s="65">
        <v>1.31</v>
      </c>
      <c r="J19" s="65">
        <v>1.615</v>
      </c>
      <c r="K19" s="66">
        <v>1.95</v>
      </c>
      <c r="L19" s="66">
        <v>2.3050000000000002</v>
      </c>
      <c r="M19" s="67">
        <v>2.64</v>
      </c>
      <c r="N19" s="68">
        <v>2.9249999999999998</v>
      </c>
      <c r="O19" s="69">
        <v>3.17</v>
      </c>
      <c r="P19" s="5"/>
      <c r="Q19" s="283" t="s">
        <v>57</v>
      </c>
      <c r="R19" s="284"/>
      <c r="S19" s="285"/>
      <c r="T19" s="289" t="s">
        <v>58</v>
      </c>
      <c r="U19" s="5"/>
      <c r="V19" s="291" t="s">
        <v>60</v>
      </c>
      <c r="W19" s="292"/>
      <c r="X19" s="292"/>
      <c r="Y19" s="293" t="s">
        <v>45</v>
      </c>
    </row>
    <row r="20" spans="1:27" ht="16.2" thickBot="1" x14ac:dyDescent="0.35">
      <c r="B20" s="48" t="s">
        <v>7</v>
      </c>
      <c r="C20" s="63">
        <f t="shared" si="9"/>
        <v>6.5859367841511293E-2</v>
      </c>
      <c r="D20" s="63">
        <f t="shared" si="10"/>
        <v>0.1036319856553769</v>
      </c>
      <c r="E20" s="64">
        <f t="shared" si="11"/>
        <v>57.353447279913681</v>
      </c>
      <c r="G20" s="7" t="s">
        <v>46</v>
      </c>
      <c r="H20" s="8">
        <v>2.5550000000000002</v>
      </c>
      <c r="I20" s="65">
        <v>2.69</v>
      </c>
      <c r="J20" s="65">
        <v>2.78</v>
      </c>
      <c r="K20" s="66">
        <v>2.84</v>
      </c>
      <c r="L20" s="66">
        <v>2.89</v>
      </c>
      <c r="M20" s="67">
        <v>2.9249999999999998</v>
      </c>
      <c r="N20" s="68">
        <v>2.96</v>
      </c>
      <c r="O20" s="69">
        <v>2.9849999999999999</v>
      </c>
      <c r="P20" s="5"/>
      <c r="Q20" s="286"/>
      <c r="R20" s="287"/>
      <c r="S20" s="288"/>
      <c r="T20" s="290"/>
      <c r="U20" s="5"/>
      <c r="V20" s="286"/>
      <c r="W20" s="287"/>
      <c r="X20" s="287"/>
      <c r="Y20" s="294"/>
    </row>
    <row r="21" spans="1:27" ht="16.2" thickBot="1" x14ac:dyDescent="0.35">
      <c r="B21" s="48" t="s">
        <v>8</v>
      </c>
      <c r="C21" s="63">
        <f t="shared" si="9"/>
        <v>4.2786743490577588E-2</v>
      </c>
      <c r="D21" s="63">
        <f t="shared" si="10"/>
        <v>6.7326415861237915E-2</v>
      </c>
      <c r="E21" s="64">
        <f t="shared" si="11"/>
        <v>57.353447279913702</v>
      </c>
      <c r="G21" s="7" t="s">
        <v>47</v>
      </c>
      <c r="H21" s="8">
        <v>2.9249999999999998</v>
      </c>
      <c r="I21" s="65">
        <v>2.96</v>
      </c>
      <c r="J21" s="65">
        <v>2.9849999999999999</v>
      </c>
      <c r="K21" s="66">
        <v>3.01</v>
      </c>
      <c r="L21" s="66">
        <v>3.0350000000000001</v>
      </c>
      <c r="M21" s="67">
        <v>3.0550000000000002</v>
      </c>
      <c r="N21" s="68">
        <v>3.0750000000000002</v>
      </c>
      <c r="O21" s="69">
        <v>3.0950000000000002</v>
      </c>
      <c r="P21" s="9"/>
      <c r="Q21" s="99"/>
      <c r="R21" s="100" t="s">
        <v>72</v>
      </c>
      <c r="S21" s="101" t="s">
        <v>73</v>
      </c>
      <c r="T21" s="28" t="s">
        <v>74</v>
      </c>
      <c r="U21" s="9"/>
      <c r="V21" s="99"/>
      <c r="W21" s="100" t="s">
        <v>72</v>
      </c>
      <c r="X21" s="101" t="s">
        <v>73</v>
      </c>
      <c r="Y21" s="28" t="s">
        <v>74</v>
      </c>
    </row>
    <row r="22" spans="1:27" ht="16.2" thickBot="1" x14ac:dyDescent="0.35">
      <c r="B22" s="48" t="s">
        <v>9</v>
      </c>
      <c r="C22" s="63">
        <f t="shared" si="9"/>
        <v>2.1257107057299694E-2</v>
      </c>
      <c r="D22" s="63">
        <f t="shared" si="10"/>
        <v>3.3448790746642885E-2</v>
      </c>
      <c r="E22" s="64">
        <f t="shared" si="11"/>
        <v>57.353447279913695</v>
      </c>
      <c r="G22" s="7" t="s">
        <v>48</v>
      </c>
      <c r="H22" s="8">
        <v>3.0550000000000002</v>
      </c>
      <c r="I22" s="65">
        <v>3.0750000000000002</v>
      </c>
      <c r="J22" s="65">
        <v>3.0950000000000002</v>
      </c>
      <c r="K22" s="66">
        <v>3.12</v>
      </c>
      <c r="L22" s="66">
        <v>3.14</v>
      </c>
      <c r="M22" s="67">
        <v>3.165</v>
      </c>
      <c r="N22" s="68">
        <v>3.19</v>
      </c>
      <c r="O22" s="69">
        <v>3.2149999999999999</v>
      </c>
      <c r="P22" s="5"/>
      <c r="Q22" s="10" t="s">
        <v>43</v>
      </c>
      <c r="R22" s="70">
        <v>28.7</v>
      </c>
      <c r="S22" s="70">
        <v>27.7</v>
      </c>
      <c r="T22" s="167">
        <f>S15</f>
        <v>27.428349208893653</v>
      </c>
      <c r="V22" s="10" t="s">
        <v>43</v>
      </c>
      <c r="W22" s="21">
        <v>0.20499999999999999</v>
      </c>
      <c r="X22" s="22">
        <v>0.26800000000000002</v>
      </c>
      <c r="Y22" s="25">
        <f>X15</f>
        <v>0.25608849458839444</v>
      </c>
      <c r="AA22" s="71"/>
    </row>
    <row r="23" spans="1:27" ht="16.2" thickBot="1" x14ac:dyDescent="0.35">
      <c r="B23" s="56" t="s">
        <v>10</v>
      </c>
      <c r="C23" s="72">
        <f t="shared" si="9"/>
        <v>4.9594125907852929E-3</v>
      </c>
      <c r="D23" s="72">
        <f t="shared" si="10"/>
        <v>7.803806676434738E-3</v>
      </c>
      <c r="E23" s="73">
        <f t="shared" si="11"/>
        <v>57.353447279913695</v>
      </c>
      <c r="G23" s="7" t="s">
        <v>49</v>
      </c>
      <c r="H23" s="8">
        <v>3.165</v>
      </c>
      <c r="I23" s="65">
        <v>3.19</v>
      </c>
      <c r="J23" s="65">
        <v>3.2149999999999999</v>
      </c>
      <c r="K23" s="66">
        <v>3.2450000000000001</v>
      </c>
      <c r="L23" s="66">
        <v>3.2850000000000001</v>
      </c>
      <c r="M23" s="67">
        <v>3.3250000000000002</v>
      </c>
      <c r="N23" s="68">
        <v>3.375</v>
      </c>
      <c r="O23" s="69">
        <v>3.4350000000000001</v>
      </c>
      <c r="P23" s="5"/>
      <c r="Q23" s="11" t="s">
        <v>44</v>
      </c>
      <c r="R23" s="66">
        <v>1.95</v>
      </c>
      <c r="S23" s="66">
        <v>2.3050000000000002</v>
      </c>
      <c r="T23" s="168"/>
      <c r="U23" s="5" t="s">
        <v>63</v>
      </c>
      <c r="V23" s="11" t="s">
        <v>44</v>
      </c>
      <c r="W23" s="66">
        <v>2.3050000000000002</v>
      </c>
      <c r="X23" s="67">
        <v>2.64</v>
      </c>
      <c r="Y23" s="26">
        <f>($W$31*(X23-W23))+W23</f>
        <v>2.5766610426525736</v>
      </c>
    </row>
    <row r="24" spans="1:27" ht="16.2" thickBot="1" x14ac:dyDescent="0.35">
      <c r="G24" s="7" t="s">
        <v>50</v>
      </c>
      <c r="H24" s="8">
        <v>3.3250000000000002</v>
      </c>
      <c r="I24" s="65">
        <v>3.375</v>
      </c>
      <c r="J24" s="65">
        <v>3.4350000000000001</v>
      </c>
      <c r="K24" s="66">
        <v>3.51</v>
      </c>
      <c r="L24" s="66">
        <v>3.61</v>
      </c>
      <c r="M24" s="67">
        <v>3.74</v>
      </c>
      <c r="N24" s="68">
        <v>3.915</v>
      </c>
      <c r="O24" s="69">
        <v>4.1500000000000004</v>
      </c>
      <c r="P24" s="5"/>
      <c r="Q24" s="11" t="s">
        <v>46</v>
      </c>
      <c r="R24" s="66">
        <v>2.84</v>
      </c>
      <c r="S24" s="66">
        <v>2.89</v>
      </c>
      <c r="T24" s="12"/>
      <c r="U24" s="5" t="s">
        <v>64</v>
      </c>
      <c r="V24" s="11" t="s">
        <v>46</v>
      </c>
      <c r="W24" s="66">
        <v>2.89</v>
      </c>
      <c r="X24" s="67">
        <v>2.9249999999999998</v>
      </c>
      <c r="Y24" s="26">
        <f>($W$31*(X24-W24))+W24</f>
        <v>2.9183824969935523</v>
      </c>
    </row>
    <row r="25" spans="1:27" ht="16.2" thickBot="1" x14ac:dyDescent="0.35">
      <c r="C25" s="245" t="s">
        <v>32</v>
      </c>
      <c r="D25" s="247" t="s">
        <v>35</v>
      </c>
      <c r="E25" s="249" t="s">
        <v>36</v>
      </c>
      <c r="G25" s="13" t="s">
        <v>51</v>
      </c>
      <c r="H25" s="14">
        <v>3.64</v>
      </c>
      <c r="I25" s="46">
        <v>3.895</v>
      </c>
      <c r="J25" s="46">
        <v>4.1500000000000004</v>
      </c>
      <c r="K25" s="20">
        <v>4.3949999999999996</v>
      </c>
      <c r="L25" s="20">
        <v>4.63</v>
      </c>
      <c r="M25" s="74">
        <v>4.84</v>
      </c>
      <c r="N25" s="75">
        <v>4.9850000000000003</v>
      </c>
      <c r="O25" s="76">
        <v>5</v>
      </c>
      <c r="P25" s="5"/>
      <c r="Q25" s="11" t="s">
        <v>47</v>
      </c>
      <c r="R25" s="66">
        <v>3.01</v>
      </c>
      <c r="S25" s="66">
        <v>3.0350000000000001</v>
      </c>
      <c r="T25" s="18"/>
      <c r="U25" s="5" t="s">
        <v>65</v>
      </c>
      <c r="V25" s="11" t="s">
        <v>47</v>
      </c>
      <c r="W25" s="66">
        <v>3.0350000000000001</v>
      </c>
      <c r="X25" s="67">
        <v>3.0550000000000002</v>
      </c>
      <c r="Y25" s="29">
        <f>($W$31*(X25-W25))+W25</f>
        <v>3.0512185697106013</v>
      </c>
    </row>
    <row r="26" spans="1:27" ht="16.2" thickBot="1" x14ac:dyDescent="0.35">
      <c r="C26" s="246"/>
      <c r="D26" s="248"/>
      <c r="E26" s="250"/>
      <c r="G26" s="15" t="s">
        <v>52</v>
      </c>
      <c r="H26" s="8">
        <v>3.5999999999999997E-2</v>
      </c>
      <c r="I26" s="65">
        <v>0.113</v>
      </c>
      <c r="J26" s="65">
        <v>0.21299999999999999</v>
      </c>
      <c r="K26" s="65">
        <v>0.33</v>
      </c>
      <c r="L26" s="65">
        <v>0.46</v>
      </c>
      <c r="M26" s="68">
        <v>0.60499999999999998</v>
      </c>
      <c r="N26" s="68">
        <v>0.76400000000000001</v>
      </c>
      <c r="O26" s="69">
        <v>0.93899999999999995</v>
      </c>
      <c r="P26" s="5"/>
      <c r="Q26" s="11" t="s">
        <v>48</v>
      </c>
      <c r="R26" s="66">
        <v>3.12</v>
      </c>
      <c r="S26" s="66">
        <v>3.14</v>
      </c>
      <c r="T26" s="26">
        <f>($R$31*(S26-R26))+R26</f>
        <v>3.1454330158221269</v>
      </c>
      <c r="U26" s="5" t="s">
        <v>66</v>
      </c>
      <c r="V26" s="11" t="s">
        <v>48</v>
      </c>
      <c r="W26" s="66">
        <v>3.14</v>
      </c>
      <c r="X26" s="67">
        <v>3.165</v>
      </c>
      <c r="Y26" s="12"/>
    </row>
    <row r="27" spans="1:27" ht="16.2" thickBot="1" x14ac:dyDescent="0.35">
      <c r="B27" s="77"/>
      <c r="C27" s="44">
        <f>L13</f>
        <v>1.8083202541820422</v>
      </c>
      <c r="D27" s="78">
        <f>S13</f>
        <v>2.8454542578163409</v>
      </c>
      <c r="E27" s="73">
        <f>100*((D27-C27)/C27)</f>
        <v>57.353447279913681</v>
      </c>
      <c r="G27" s="15" t="s">
        <v>53</v>
      </c>
      <c r="H27" s="8">
        <v>31.7</v>
      </c>
      <c r="I27" s="65">
        <v>30.7</v>
      </c>
      <c r="J27" s="79">
        <v>29.7</v>
      </c>
      <c r="K27" s="70">
        <v>28.7</v>
      </c>
      <c r="L27" s="70">
        <v>27.7</v>
      </c>
      <c r="M27" s="169">
        <v>26.7</v>
      </c>
      <c r="N27" s="68">
        <v>25.7</v>
      </c>
      <c r="O27" s="69">
        <v>24.7</v>
      </c>
      <c r="P27" s="5"/>
      <c r="Q27" s="11" t="s">
        <v>49</v>
      </c>
      <c r="R27" s="66">
        <v>3.2450000000000001</v>
      </c>
      <c r="S27" s="66">
        <v>3.2850000000000001</v>
      </c>
      <c r="T27" s="26">
        <f>($R$31*(S27-R27))+R27</f>
        <v>3.2958660316442541</v>
      </c>
      <c r="U27" s="5" t="s">
        <v>67</v>
      </c>
      <c r="V27" s="11" t="s">
        <v>49</v>
      </c>
      <c r="W27" s="66">
        <v>3.2850000000000001</v>
      </c>
      <c r="X27" s="67">
        <v>3.3250000000000002</v>
      </c>
      <c r="Y27" s="12"/>
    </row>
    <row r="28" spans="1:27" ht="16.2" thickBot="1" x14ac:dyDescent="0.35">
      <c r="G28" s="16" t="s">
        <v>13</v>
      </c>
      <c r="H28" s="14">
        <v>1.4E-2</v>
      </c>
      <c r="I28" s="46">
        <v>4.4999999999999998E-2</v>
      </c>
      <c r="J28" s="19">
        <v>0.09</v>
      </c>
      <c r="K28" s="19">
        <v>0.14299999999999999</v>
      </c>
      <c r="L28" s="23">
        <v>0.20499999999999999</v>
      </c>
      <c r="M28" s="24">
        <v>0.26800000000000002</v>
      </c>
      <c r="N28" s="75">
        <v>0.33</v>
      </c>
      <c r="O28" s="76">
        <v>0.38700000000000001</v>
      </c>
      <c r="P28" s="5"/>
      <c r="Q28" s="11" t="s">
        <v>50</v>
      </c>
      <c r="R28" s="66">
        <v>3.51</v>
      </c>
      <c r="S28" s="66">
        <v>3.61</v>
      </c>
      <c r="T28" s="26">
        <f>($R$31*(S28-R28))+R28</f>
        <v>3.6371650791106345</v>
      </c>
      <c r="U28" s="5" t="s">
        <v>68</v>
      </c>
      <c r="V28" s="11" t="s">
        <v>50</v>
      </c>
      <c r="W28" s="66">
        <v>3.61</v>
      </c>
      <c r="X28" s="67">
        <v>3.74</v>
      </c>
      <c r="Y28" s="12"/>
    </row>
    <row r="29" spans="1:27" ht="16.2" thickBot="1" x14ac:dyDescent="0.35">
      <c r="B29" s="80"/>
      <c r="Q29" s="17" t="s">
        <v>51</v>
      </c>
      <c r="R29" s="20">
        <v>4.3949999999999996</v>
      </c>
      <c r="S29" s="20">
        <v>4.63</v>
      </c>
      <c r="T29" s="29">
        <f>($R$31*(S29-R29))+R29</f>
        <v>4.6938379359099915</v>
      </c>
      <c r="U29" s="5" t="s">
        <v>69</v>
      </c>
      <c r="V29" s="17" t="s">
        <v>51</v>
      </c>
      <c r="W29" s="66">
        <v>4.63</v>
      </c>
      <c r="X29" s="74">
        <v>4.84</v>
      </c>
      <c r="Y29" s="18"/>
    </row>
    <row r="30" spans="1:27" ht="16.2" thickTop="1" x14ac:dyDescent="0.3">
      <c r="R30" s="81" t="s">
        <v>70</v>
      </c>
      <c r="W30" s="82" t="s">
        <v>70</v>
      </c>
    </row>
    <row r="31" spans="1:27" ht="16.2" thickBot="1" x14ac:dyDescent="0.35">
      <c r="R31" s="83">
        <f>((T22-R22)/(S22-R22))</f>
        <v>1.2716507911063459</v>
      </c>
      <c r="W31" s="83">
        <f>((Y22-W22)/(X22-W22))</f>
        <v>0.81092848553007035</v>
      </c>
    </row>
    <row r="32" spans="1:27" ht="16.2" thickTop="1" x14ac:dyDescent="0.3">
      <c r="A32" s="251" t="s">
        <v>150</v>
      </c>
      <c r="B32" s="251"/>
      <c r="C32" s="251"/>
      <c r="D32" s="251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</row>
    <row r="33" spans="1:23" x14ac:dyDescent="0.3">
      <c r="R33" t="s">
        <v>71</v>
      </c>
      <c r="W33" t="s">
        <v>71</v>
      </c>
    </row>
    <row r="34" spans="1:23" x14ac:dyDescent="0.3">
      <c r="A34" s="252" t="s">
        <v>151</v>
      </c>
      <c r="B34" s="252"/>
      <c r="C34" s="252"/>
      <c r="D34" s="252"/>
      <c r="E34" s="252"/>
      <c r="F34" s="252"/>
      <c r="G34" s="252"/>
      <c r="H34" s="5"/>
      <c r="I34" s="5"/>
      <c r="J34" s="5"/>
      <c r="K34" s="5"/>
      <c r="L34" s="5"/>
      <c r="M34" s="5"/>
      <c r="N34" s="5"/>
      <c r="O34" s="5"/>
      <c r="P34" s="5"/>
      <c r="R34" t="s">
        <v>75</v>
      </c>
      <c r="W34" t="s">
        <v>75</v>
      </c>
    </row>
    <row r="35" spans="1:23" x14ac:dyDescent="0.3">
      <c r="B35" t="s">
        <v>152</v>
      </c>
      <c r="C35" t="s">
        <v>153</v>
      </c>
      <c r="D35" t="s">
        <v>154</v>
      </c>
      <c r="E35" t="s">
        <v>15</v>
      </c>
      <c r="H35" s="171"/>
      <c r="I35" s="171"/>
      <c r="J35" s="172"/>
      <c r="K35" s="5"/>
      <c r="L35" s="5"/>
      <c r="M35" s="5"/>
      <c r="N35" s="5"/>
      <c r="O35" s="5"/>
      <c r="P35" s="5"/>
      <c r="Q35" s="5"/>
      <c r="R35" s="5"/>
      <c r="S35" s="5"/>
    </row>
    <row r="36" spans="1:23" x14ac:dyDescent="0.3">
      <c r="H36" s="173"/>
      <c r="I36" s="173"/>
      <c r="J36" s="174"/>
      <c r="K36" s="5"/>
      <c r="L36" s="5"/>
      <c r="M36" s="5"/>
      <c r="N36" s="5"/>
      <c r="O36" s="5"/>
      <c r="P36" s="5"/>
      <c r="Q36" s="5"/>
      <c r="R36" s="5"/>
      <c r="S36" s="5"/>
    </row>
    <row r="37" spans="1:23" x14ac:dyDescent="0.3">
      <c r="B37" t="s">
        <v>155</v>
      </c>
      <c r="C37" s="51">
        <v>70822</v>
      </c>
      <c r="D37" s="51">
        <v>69473</v>
      </c>
      <c r="E37" s="51">
        <v>140295</v>
      </c>
      <c r="H37" s="173"/>
      <c r="I37" s="173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23" x14ac:dyDescent="0.3">
      <c r="B38" t="s">
        <v>156</v>
      </c>
      <c r="C38" s="51">
        <v>60635</v>
      </c>
      <c r="D38" s="51">
        <v>60354</v>
      </c>
      <c r="E38" s="51">
        <v>120989</v>
      </c>
      <c r="H38" s="173"/>
      <c r="I38" s="173"/>
      <c r="J38" s="174"/>
      <c r="K38" s="5"/>
      <c r="L38" s="5"/>
      <c r="M38" s="5"/>
      <c r="N38" s="5"/>
      <c r="O38" s="5"/>
      <c r="P38" s="5"/>
      <c r="Q38" s="5"/>
      <c r="R38" s="5"/>
      <c r="S38" s="5"/>
    </row>
    <row r="39" spans="1:23" x14ac:dyDescent="0.3">
      <c r="B39" t="s">
        <v>38</v>
      </c>
      <c r="C39" s="51">
        <v>51622</v>
      </c>
      <c r="D39" s="51">
        <v>52339</v>
      </c>
      <c r="E39" s="51">
        <v>103961</v>
      </c>
      <c r="H39" s="173"/>
      <c r="I39" s="173"/>
      <c r="J39" s="174"/>
      <c r="K39" s="5"/>
      <c r="L39" s="5"/>
      <c r="M39" s="5"/>
      <c r="N39" s="5"/>
      <c r="O39" s="5"/>
      <c r="P39" s="5"/>
      <c r="Q39" s="5"/>
      <c r="R39" s="5"/>
      <c r="S39" s="5"/>
    </row>
    <row r="40" spans="1:23" x14ac:dyDescent="0.3">
      <c r="B40" t="s">
        <v>157</v>
      </c>
      <c r="C40" s="51">
        <v>42826</v>
      </c>
      <c r="D40" s="51">
        <v>44110</v>
      </c>
      <c r="E40" s="51">
        <v>86936</v>
      </c>
      <c r="H40" s="173"/>
      <c r="I40" s="173"/>
      <c r="J40" s="174"/>
      <c r="K40" s="5"/>
      <c r="L40" s="5"/>
      <c r="M40" s="5"/>
      <c r="N40" s="5"/>
      <c r="O40" s="5"/>
      <c r="P40" s="5"/>
      <c r="Q40" s="5"/>
      <c r="R40" s="5"/>
      <c r="S40" s="5"/>
    </row>
    <row r="41" spans="1:23" x14ac:dyDescent="0.3">
      <c r="B41" t="s">
        <v>39</v>
      </c>
      <c r="C41" s="51">
        <v>39075</v>
      </c>
      <c r="D41" s="51">
        <v>39374</v>
      </c>
      <c r="E41" s="51">
        <v>78449</v>
      </c>
      <c r="H41" s="173"/>
      <c r="I41" s="173"/>
      <c r="J41" s="174"/>
      <c r="K41" s="5"/>
      <c r="L41" s="5"/>
      <c r="M41" s="5"/>
      <c r="N41" s="5"/>
      <c r="O41" s="5"/>
      <c r="P41" s="5"/>
      <c r="Q41" s="5"/>
      <c r="R41" s="5"/>
      <c r="S41" s="5"/>
    </row>
    <row r="42" spans="1:23" x14ac:dyDescent="0.3">
      <c r="B42" t="s">
        <v>158</v>
      </c>
      <c r="C42" s="51">
        <v>33895</v>
      </c>
      <c r="D42" s="51">
        <v>33310</v>
      </c>
      <c r="E42" s="51">
        <v>67205</v>
      </c>
      <c r="H42" s="173"/>
      <c r="I42" s="173"/>
      <c r="J42" s="174"/>
      <c r="K42" s="5"/>
      <c r="L42" s="5"/>
      <c r="M42" s="5"/>
      <c r="N42" s="5"/>
      <c r="O42" s="5"/>
      <c r="P42" s="5"/>
      <c r="Q42" s="5"/>
      <c r="R42" s="5"/>
      <c r="S42" s="5"/>
    </row>
    <row r="43" spans="1:23" x14ac:dyDescent="0.3">
      <c r="B43" t="s">
        <v>159</v>
      </c>
      <c r="C43" s="51">
        <v>28937</v>
      </c>
      <c r="D43" s="51">
        <v>28366</v>
      </c>
      <c r="E43" s="51">
        <v>57303</v>
      </c>
      <c r="H43" s="173"/>
      <c r="I43" s="173"/>
      <c r="J43" s="174"/>
      <c r="K43" s="5"/>
      <c r="L43" s="5"/>
      <c r="M43" s="5"/>
      <c r="N43" s="5"/>
      <c r="O43" s="5"/>
      <c r="P43" s="5"/>
      <c r="Q43" s="5"/>
      <c r="R43" s="5"/>
      <c r="S43" s="5"/>
    </row>
    <row r="44" spans="1:23" x14ac:dyDescent="0.3">
      <c r="H44" s="173"/>
      <c r="I44" s="173"/>
      <c r="J44" s="174"/>
      <c r="K44" s="5"/>
      <c r="L44" s="5"/>
      <c r="M44" s="5"/>
      <c r="N44" s="5"/>
      <c r="O44" s="5"/>
      <c r="P44" s="5"/>
      <c r="Q44" s="5"/>
      <c r="R44" s="5"/>
      <c r="S44" s="5"/>
    </row>
    <row r="45" spans="1:23" x14ac:dyDescent="0.3">
      <c r="B45" t="s">
        <v>15</v>
      </c>
      <c r="C45" s="51">
        <v>327812</v>
      </c>
      <c r="D45" s="51">
        <v>327326</v>
      </c>
      <c r="E45" s="51">
        <v>655138</v>
      </c>
      <c r="H45" s="173"/>
      <c r="I45" s="173"/>
      <c r="J45" s="172"/>
      <c r="K45" s="5"/>
      <c r="L45" s="5"/>
      <c r="M45" s="5"/>
      <c r="N45" s="5"/>
      <c r="O45" s="5"/>
      <c r="P45" s="5"/>
      <c r="Q45" s="5"/>
      <c r="R45" s="5"/>
      <c r="S45" s="5"/>
    </row>
    <row r="46" spans="1:23" x14ac:dyDescent="0.3">
      <c r="C46" s="51"/>
      <c r="D46" s="51"/>
      <c r="E46" s="51"/>
      <c r="H46" s="173"/>
      <c r="I46" s="173"/>
      <c r="J46" s="172"/>
      <c r="K46" s="5"/>
      <c r="L46" s="5"/>
      <c r="M46" s="5"/>
      <c r="N46" s="5"/>
      <c r="O46" s="5"/>
      <c r="P46" s="5"/>
      <c r="Q46" s="5"/>
      <c r="R46" s="5"/>
      <c r="S46" s="5"/>
    </row>
    <row r="47" spans="1:23" x14ac:dyDescent="0.3">
      <c r="C47" s="51"/>
      <c r="D47" s="51"/>
      <c r="E47" s="51"/>
      <c r="H47" s="173"/>
      <c r="I47" s="173"/>
      <c r="J47" s="172"/>
      <c r="K47" s="5"/>
      <c r="L47" s="5"/>
      <c r="M47" s="5"/>
      <c r="N47" s="5"/>
      <c r="O47" s="5"/>
      <c r="P47" s="5"/>
      <c r="Q47" s="5"/>
      <c r="R47" s="5"/>
      <c r="S47" s="5"/>
    </row>
    <row r="48" spans="1:23" ht="16.2" thickBot="1" x14ac:dyDescent="0.35">
      <c r="A48" s="175"/>
      <c r="B48" s="176"/>
      <c r="C48" s="175"/>
      <c r="D48" s="5"/>
      <c r="E48" s="5"/>
      <c r="F48" s="171"/>
      <c r="G48" s="173"/>
      <c r="H48" s="173"/>
      <c r="I48" s="173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50" ht="16.2" thickBot="1" x14ac:dyDescent="0.35">
      <c r="A49" s="253" t="s">
        <v>160</v>
      </c>
      <c r="B49" s="254"/>
      <c r="C49" s="254"/>
      <c r="D49" s="254"/>
      <c r="E49" s="254"/>
      <c r="F49" s="254"/>
      <c r="G49" s="254"/>
      <c r="H49" s="254"/>
      <c r="I49" s="25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50" x14ac:dyDescent="0.3">
      <c r="A50" s="177"/>
      <c r="B50" s="243" t="s">
        <v>161</v>
      </c>
      <c r="C50" s="243"/>
      <c r="D50" s="243"/>
      <c r="E50" s="243"/>
      <c r="F50" s="243"/>
      <c r="G50" s="243"/>
      <c r="H50" s="243"/>
      <c r="I50" s="244"/>
      <c r="J50" s="5"/>
      <c r="K50" s="178"/>
      <c r="L50" s="179" t="s">
        <v>161</v>
      </c>
      <c r="M50" s="179"/>
      <c r="N50" s="179"/>
      <c r="O50" s="179"/>
      <c r="P50" s="179"/>
      <c r="Q50" s="179"/>
      <c r="R50" s="179"/>
      <c r="S50" s="180"/>
      <c r="AH50" s="178"/>
      <c r="AI50" s="179"/>
      <c r="AJ50" s="179"/>
      <c r="AK50" s="179"/>
      <c r="AL50" s="179"/>
      <c r="AM50" s="179"/>
      <c r="AN50" s="179"/>
      <c r="AO50" s="179"/>
      <c r="AP50" s="180"/>
    </row>
    <row r="51" spans="1:50" x14ac:dyDescent="0.3">
      <c r="A51" s="181" t="s">
        <v>162</v>
      </c>
      <c r="B51" s="182">
        <v>15</v>
      </c>
      <c r="C51" s="182">
        <v>20</v>
      </c>
      <c r="D51" s="182">
        <v>25</v>
      </c>
      <c r="E51" s="182">
        <v>30</v>
      </c>
      <c r="F51" s="182">
        <v>35</v>
      </c>
      <c r="G51" s="182">
        <v>40</v>
      </c>
      <c r="H51" s="182">
        <v>45</v>
      </c>
      <c r="I51" s="183" t="s">
        <v>15</v>
      </c>
      <c r="J51" s="5"/>
      <c r="K51" s="184" t="s">
        <v>162</v>
      </c>
      <c r="L51" s="185">
        <v>15</v>
      </c>
      <c r="M51" s="185">
        <v>20</v>
      </c>
      <c r="N51" s="185">
        <v>25</v>
      </c>
      <c r="O51" s="185">
        <v>30</v>
      </c>
      <c r="P51" s="185">
        <v>35</v>
      </c>
      <c r="Q51" s="185">
        <v>40</v>
      </c>
      <c r="R51" s="185">
        <v>45</v>
      </c>
      <c r="S51" s="186" t="s">
        <v>15</v>
      </c>
      <c r="AH51" s="184"/>
      <c r="AI51" s="185"/>
      <c r="AJ51" s="185"/>
      <c r="AK51" s="185"/>
      <c r="AL51" s="185"/>
      <c r="AM51" s="185"/>
      <c r="AN51" s="185"/>
      <c r="AO51" s="185"/>
      <c r="AP51" s="186"/>
    </row>
    <row r="52" spans="1:50" x14ac:dyDescent="0.3">
      <c r="A52">
        <v>0</v>
      </c>
      <c r="B52" s="190">
        <v>73980</v>
      </c>
      <c r="C52" s="190">
        <v>37643</v>
      </c>
      <c r="D52" s="190">
        <v>17992</v>
      </c>
      <c r="E52" s="190">
        <v>10537</v>
      </c>
      <c r="F52" s="190">
        <v>7428</v>
      </c>
      <c r="G52" s="190">
        <v>5709</v>
      </c>
      <c r="H52" s="190">
        <v>4812</v>
      </c>
      <c r="I52" s="191">
        <v>245022</v>
      </c>
      <c r="K52" s="7">
        <f>A52</f>
        <v>0</v>
      </c>
      <c r="L52" s="172">
        <f t="shared" ref="L52:S67" si="12">B52*$A52</f>
        <v>0</v>
      </c>
      <c r="M52" s="172">
        <f t="shared" si="12"/>
        <v>0</v>
      </c>
      <c r="N52" s="172">
        <f t="shared" si="12"/>
        <v>0</v>
      </c>
      <c r="O52" s="172">
        <f t="shared" si="12"/>
        <v>0</v>
      </c>
      <c r="P52" s="172">
        <f t="shared" si="12"/>
        <v>0</v>
      </c>
      <c r="Q52" s="172">
        <f t="shared" si="12"/>
        <v>0</v>
      </c>
      <c r="R52" s="172">
        <f t="shared" si="12"/>
        <v>0</v>
      </c>
      <c r="S52" s="172">
        <f t="shared" si="12"/>
        <v>0</v>
      </c>
      <c r="T52" s="172">
        <f>B52+C52+D52+E52+F52+G52+H52</f>
        <v>158101</v>
      </c>
      <c r="Y52" s="51"/>
      <c r="Z52" s="51"/>
      <c r="AA52" s="51"/>
      <c r="AB52" s="51"/>
      <c r="AC52" s="51"/>
      <c r="AD52" s="51"/>
      <c r="AE52" s="51"/>
      <c r="AF52" s="51"/>
      <c r="AH52" s="7"/>
      <c r="AI52" s="172"/>
      <c r="AJ52" s="172"/>
      <c r="AK52" s="172"/>
      <c r="AL52" s="172"/>
      <c r="AM52" s="172"/>
      <c r="AN52" s="172"/>
      <c r="AO52" s="172"/>
      <c r="AP52" s="172"/>
      <c r="AR52" s="51"/>
      <c r="AS52" s="51"/>
      <c r="AT52" s="51"/>
      <c r="AU52" s="51"/>
      <c r="AV52" s="51"/>
      <c r="AW52" s="51"/>
      <c r="AX52" s="51"/>
    </row>
    <row r="53" spans="1:50" x14ac:dyDescent="0.3">
      <c r="A53">
        <v>1</v>
      </c>
      <c r="B53" s="51">
        <v>13988</v>
      </c>
      <c r="C53" s="51">
        <v>26163</v>
      </c>
      <c r="D53" s="51">
        <v>18818</v>
      </c>
      <c r="E53" s="51">
        <v>11620</v>
      </c>
      <c r="F53" s="51">
        <v>7376</v>
      </c>
      <c r="G53" s="51">
        <v>4805</v>
      </c>
      <c r="H53" s="51">
        <v>3793</v>
      </c>
      <c r="I53" s="192">
        <v>87177</v>
      </c>
      <c r="K53" s="7">
        <f t="shared" ref="K53:K82" si="13">A53</f>
        <v>1</v>
      </c>
      <c r="L53" s="172">
        <f>B53*$A53</f>
        <v>13988</v>
      </c>
      <c r="M53" s="172">
        <f t="shared" si="12"/>
        <v>26163</v>
      </c>
      <c r="N53" s="172">
        <f t="shared" si="12"/>
        <v>18818</v>
      </c>
      <c r="O53" s="172">
        <f t="shared" si="12"/>
        <v>11620</v>
      </c>
      <c r="P53" s="172">
        <f t="shared" si="12"/>
        <v>7376</v>
      </c>
      <c r="Q53" s="172">
        <f t="shared" si="12"/>
        <v>4805</v>
      </c>
      <c r="R53" s="172">
        <f t="shared" si="12"/>
        <v>3793</v>
      </c>
      <c r="S53" s="187">
        <f>SUM(L53:R53)</f>
        <v>86563</v>
      </c>
      <c r="T53" s="172">
        <f>B53+C53+D53+E53+F53+G53+H53</f>
        <v>86563</v>
      </c>
      <c r="U53" s="51">
        <f>T53*K53</f>
        <v>86563</v>
      </c>
      <c r="V53">
        <f>T53*K53</f>
        <v>86563</v>
      </c>
      <c r="Y53" s="51"/>
      <c r="Z53" s="51"/>
      <c r="AA53" s="51"/>
      <c r="AB53" s="51"/>
      <c r="AC53" s="51"/>
      <c r="AD53" s="51"/>
      <c r="AE53" s="51"/>
      <c r="AF53" s="51"/>
      <c r="AH53" s="7"/>
      <c r="AI53" s="172"/>
      <c r="AJ53" s="172"/>
      <c r="AK53" s="172"/>
      <c r="AL53" s="172"/>
      <c r="AM53" s="172"/>
      <c r="AN53" s="172"/>
      <c r="AO53" s="172"/>
      <c r="AP53" s="187"/>
      <c r="AR53" s="51"/>
      <c r="AS53" s="51"/>
      <c r="AT53" s="51"/>
      <c r="AU53" s="51"/>
      <c r="AV53" s="51"/>
      <c r="AW53" s="51"/>
      <c r="AX53" s="51"/>
    </row>
    <row r="54" spans="1:50" x14ac:dyDescent="0.3">
      <c r="A54">
        <v>2</v>
      </c>
      <c r="B54" s="51">
        <v>2828</v>
      </c>
      <c r="C54" s="51">
        <v>13480</v>
      </c>
      <c r="D54" s="51">
        <v>17468</v>
      </c>
      <c r="E54" s="51">
        <v>16680</v>
      </c>
      <c r="F54" s="51">
        <v>14462</v>
      </c>
      <c r="G54" s="51">
        <v>10283</v>
      </c>
      <c r="H54" s="51">
        <v>8039</v>
      </c>
      <c r="I54" s="192">
        <v>83386</v>
      </c>
      <c r="K54" s="7">
        <f t="shared" si="13"/>
        <v>2</v>
      </c>
      <c r="L54" s="172">
        <f t="shared" si="12"/>
        <v>5656</v>
      </c>
      <c r="M54" s="172">
        <f t="shared" si="12"/>
        <v>26960</v>
      </c>
      <c r="N54" s="172">
        <f>D54*$A54</f>
        <v>34936</v>
      </c>
      <c r="O54" s="172">
        <f t="shared" si="12"/>
        <v>33360</v>
      </c>
      <c r="P54" s="172">
        <f t="shared" si="12"/>
        <v>28924</v>
      </c>
      <c r="Q54" s="172">
        <f t="shared" si="12"/>
        <v>20566</v>
      </c>
      <c r="R54" s="172">
        <f t="shared" si="12"/>
        <v>16078</v>
      </c>
      <c r="S54" s="187">
        <f t="shared" ref="S54:S76" si="14">SUM(L54:R54)</f>
        <v>166480</v>
      </c>
      <c r="T54" s="172">
        <f t="shared" ref="T54:T82" si="15">B54+C54+D54+E54+F54+G54+H54</f>
        <v>83240</v>
      </c>
      <c r="U54" s="51">
        <f t="shared" ref="U54:U82" si="16">T54*K54</f>
        <v>166480</v>
      </c>
      <c r="V54">
        <f>T54*K54</f>
        <v>166480</v>
      </c>
      <c r="Y54" s="51"/>
      <c r="Z54" s="51"/>
      <c r="AA54" s="51"/>
      <c r="AB54" s="51"/>
      <c r="AC54" s="51"/>
      <c r="AD54" s="51"/>
      <c r="AE54" s="51"/>
      <c r="AF54" s="51"/>
      <c r="AH54" s="7"/>
      <c r="AI54" s="172"/>
      <c r="AJ54" s="172"/>
      <c r="AK54" s="172"/>
      <c r="AL54" s="172"/>
      <c r="AM54" s="172"/>
      <c r="AN54" s="172"/>
      <c r="AO54" s="172"/>
      <c r="AP54" s="187"/>
      <c r="AR54" s="51"/>
      <c r="AS54" s="51"/>
      <c r="AT54" s="51"/>
      <c r="AU54" s="51"/>
      <c r="AV54" s="51"/>
      <c r="AW54" s="51"/>
      <c r="AX54" s="51"/>
    </row>
    <row r="55" spans="1:50" x14ac:dyDescent="0.3">
      <c r="A55">
        <v>3</v>
      </c>
      <c r="B55" s="51">
        <v>528</v>
      </c>
      <c r="C55" s="51">
        <v>4932</v>
      </c>
      <c r="D55" s="51">
        <v>9203</v>
      </c>
      <c r="E55" s="51">
        <v>10695</v>
      </c>
      <c r="F55" s="51">
        <v>10835</v>
      </c>
      <c r="G55" s="51">
        <v>9441</v>
      </c>
      <c r="H55" s="51">
        <v>8248</v>
      </c>
      <c r="I55" s="192">
        <v>54060</v>
      </c>
      <c r="K55" s="7">
        <f t="shared" si="13"/>
        <v>3</v>
      </c>
      <c r="L55" s="172">
        <f t="shared" si="12"/>
        <v>1584</v>
      </c>
      <c r="M55" s="172">
        <f t="shared" si="12"/>
        <v>14796</v>
      </c>
      <c r="N55" s="172">
        <f t="shared" si="12"/>
        <v>27609</v>
      </c>
      <c r="O55" s="172">
        <f t="shared" si="12"/>
        <v>32085</v>
      </c>
      <c r="P55" s="172">
        <f t="shared" si="12"/>
        <v>32505</v>
      </c>
      <c r="Q55" s="172">
        <f t="shared" si="12"/>
        <v>28323</v>
      </c>
      <c r="R55" s="172">
        <f t="shared" si="12"/>
        <v>24744</v>
      </c>
      <c r="S55" s="187">
        <f t="shared" si="14"/>
        <v>161646</v>
      </c>
      <c r="T55" s="172">
        <f t="shared" si="15"/>
        <v>53882</v>
      </c>
      <c r="U55" s="51">
        <f t="shared" si="16"/>
        <v>161646</v>
      </c>
      <c r="V55">
        <f t="shared" ref="V55:V82" si="17">T55*K55</f>
        <v>161646</v>
      </c>
      <c r="Z55" s="51"/>
      <c r="AA55" s="51"/>
      <c r="AB55" s="51"/>
      <c r="AC55" s="51"/>
      <c r="AD55" s="51"/>
      <c r="AE55" s="51"/>
      <c r="AF55" s="51"/>
      <c r="AH55" s="7"/>
      <c r="AI55" s="172"/>
      <c r="AJ55" s="172"/>
      <c r="AK55" s="172"/>
      <c r="AL55" s="172"/>
      <c r="AM55" s="172"/>
      <c r="AN55" s="172"/>
      <c r="AO55" s="172"/>
      <c r="AP55" s="187"/>
      <c r="AR55" s="51"/>
      <c r="AS55" s="51"/>
      <c r="AT55" s="51"/>
      <c r="AU55" s="51"/>
      <c r="AV55" s="51"/>
      <c r="AW55" s="51"/>
      <c r="AX55" s="51"/>
    </row>
    <row r="56" spans="1:50" x14ac:dyDescent="0.3">
      <c r="A56">
        <v>4</v>
      </c>
      <c r="B56" s="51">
        <v>165</v>
      </c>
      <c r="C56" s="51">
        <v>1538</v>
      </c>
      <c r="D56" s="51">
        <v>4478</v>
      </c>
      <c r="E56" s="51">
        <v>6134</v>
      </c>
      <c r="F56" s="51">
        <v>6306</v>
      </c>
      <c r="G56" s="51">
        <v>6209</v>
      </c>
      <c r="H56" s="51">
        <v>5811</v>
      </c>
      <c r="I56" s="192">
        <v>30641</v>
      </c>
      <c r="K56" s="7">
        <f t="shared" si="13"/>
        <v>4</v>
      </c>
      <c r="L56" s="172">
        <f t="shared" si="12"/>
        <v>660</v>
      </c>
      <c r="M56" s="172">
        <f t="shared" si="12"/>
        <v>6152</v>
      </c>
      <c r="N56" s="172">
        <f t="shared" si="12"/>
        <v>17912</v>
      </c>
      <c r="O56" s="172">
        <f t="shared" si="12"/>
        <v>24536</v>
      </c>
      <c r="P56" s="172">
        <f t="shared" si="12"/>
        <v>25224</v>
      </c>
      <c r="Q56" s="172">
        <f t="shared" si="12"/>
        <v>24836</v>
      </c>
      <c r="R56" s="172">
        <f t="shared" si="12"/>
        <v>23244</v>
      </c>
      <c r="S56" s="187">
        <f t="shared" si="14"/>
        <v>122564</v>
      </c>
      <c r="T56" s="172">
        <f t="shared" si="15"/>
        <v>30641</v>
      </c>
      <c r="U56" s="51">
        <f t="shared" si="16"/>
        <v>122564</v>
      </c>
      <c r="V56">
        <f t="shared" si="17"/>
        <v>122564</v>
      </c>
      <c r="Z56" s="51"/>
      <c r="AA56" s="51"/>
      <c r="AB56" s="51"/>
      <c r="AC56" s="51"/>
      <c r="AD56" s="51"/>
      <c r="AE56" s="51"/>
      <c r="AF56" s="51"/>
      <c r="AH56" s="7"/>
      <c r="AI56" s="172"/>
      <c r="AJ56" s="172"/>
      <c r="AK56" s="172"/>
      <c r="AL56" s="172"/>
      <c r="AM56" s="172"/>
      <c r="AN56" s="172"/>
      <c r="AO56" s="172"/>
      <c r="AP56" s="187"/>
      <c r="AR56" s="51"/>
      <c r="AS56" s="51"/>
      <c r="AT56" s="51"/>
      <c r="AU56" s="51"/>
      <c r="AV56" s="51"/>
      <c r="AW56" s="51"/>
      <c r="AX56" s="51"/>
    </row>
    <row r="57" spans="1:50" x14ac:dyDescent="0.3">
      <c r="A57">
        <v>5</v>
      </c>
      <c r="B57" s="51">
        <v>62</v>
      </c>
      <c r="C57" s="51">
        <v>396</v>
      </c>
      <c r="D57" s="51">
        <v>2112</v>
      </c>
      <c r="E57" s="51">
        <v>3871</v>
      </c>
      <c r="F57" s="51">
        <v>4464</v>
      </c>
      <c r="G57" s="51">
        <v>4231</v>
      </c>
      <c r="H57" s="51">
        <v>3895</v>
      </c>
      <c r="I57" s="192">
        <v>19031</v>
      </c>
      <c r="K57" s="7">
        <f t="shared" si="13"/>
        <v>5</v>
      </c>
      <c r="L57" s="172">
        <f>B57*$A57</f>
        <v>310</v>
      </c>
      <c r="M57" s="172">
        <f t="shared" si="12"/>
        <v>1980</v>
      </c>
      <c r="N57" s="172">
        <f t="shared" si="12"/>
        <v>10560</v>
      </c>
      <c r="O57" s="172">
        <f t="shared" si="12"/>
        <v>19355</v>
      </c>
      <c r="P57" s="172">
        <f t="shared" si="12"/>
        <v>22320</v>
      </c>
      <c r="Q57" s="172">
        <f t="shared" si="12"/>
        <v>21155</v>
      </c>
      <c r="R57" s="172">
        <f t="shared" si="12"/>
        <v>19475</v>
      </c>
      <c r="S57" s="187">
        <f t="shared" si="14"/>
        <v>95155</v>
      </c>
      <c r="T57" s="172">
        <f t="shared" si="15"/>
        <v>19031</v>
      </c>
      <c r="U57" s="51">
        <f t="shared" si="16"/>
        <v>95155</v>
      </c>
      <c r="V57">
        <f t="shared" si="17"/>
        <v>95155</v>
      </c>
      <c r="AA57" s="51"/>
      <c r="AB57" s="51"/>
      <c r="AC57" s="51"/>
      <c r="AD57" s="51"/>
      <c r="AE57" s="51"/>
      <c r="AF57" s="51"/>
      <c r="AH57" s="7"/>
      <c r="AI57" s="172"/>
      <c r="AJ57" s="172"/>
      <c r="AK57" s="172"/>
      <c r="AL57" s="172"/>
      <c r="AM57" s="172"/>
      <c r="AN57" s="172"/>
      <c r="AO57" s="172"/>
      <c r="AP57" s="187"/>
      <c r="AR57" s="51"/>
      <c r="AS57" s="51"/>
      <c r="AT57" s="51"/>
      <c r="AU57" s="51"/>
      <c r="AV57" s="51"/>
      <c r="AW57" s="51"/>
      <c r="AX57" s="51"/>
    </row>
    <row r="58" spans="1:50" x14ac:dyDescent="0.3">
      <c r="A58">
        <v>6</v>
      </c>
      <c r="B58" s="51"/>
      <c r="C58" s="51">
        <v>136</v>
      </c>
      <c r="D58" s="51">
        <v>756</v>
      </c>
      <c r="E58" s="51">
        <v>2115</v>
      </c>
      <c r="F58" s="51">
        <v>2882</v>
      </c>
      <c r="G58" s="51">
        <v>3067</v>
      </c>
      <c r="H58" s="51">
        <v>2680</v>
      </c>
      <c r="I58" s="192">
        <v>11636</v>
      </c>
      <c r="K58" s="7">
        <f t="shared" si="13"/>
        <v>6</v>
      </c>
      <c r="L58" s="172">
        <f>B58*$A58</f>
        <v>0</v>
      </c>
      <c r="M58" s="172">
        <f t="shared" si="12"/>
        <v>816</v>
      </c>
      <c r="N58" s="172">
        <f t="shared" si="12"/>
        <v>4536</v>
      </c>
      <c r="O58" s="172">
        <f t="shared" si="12"/>
        <v>12690</v>
      </c>
      <c r="P58" s="172">
        <f t="shared" si="12"/>
        <v>17292</v>
      </c>
      <c r="Q58" s="172">
        <f t="shared" si="12"/>
        <v>18402</v>
      </c>
      <c r="R58" s="172">
        <f t="shared" si="12"/>
        <v>16080</v>
      </c>
      <c r="S58" s="187">
        <f t="shared" si="14"/>
        <v>69816</v>
      </c>
      <c r="T58" s="172">
        <f t="shared" si="15"/>
        <v>11636</v>
      </c>
      <c r="U58" s="51">
        <f t="shared" si="16"/>
        <v>69816</v>
      </c>
      <c r="V58">
        <f t="shared" si="17"/>
        <v>69816</v>
      </c>
      <c r="AA58" s="51"/>
      <c r="AB58" s="51"/>
      <c r="AC58" s="51"/>
      <c r="AD58" s="51"/>
      <c r="AE58" s="51"/>
      <c r="AF58" s="51"/>
      <c r="AH58" s="7"/>
      <c r="AI58" s="172"/>
      <c r="AJ58" s="172"/>
      <c r="AK58" s="172"/>
      <c r="AL58" s="172"/>
      <c r="AM58" s="172"/>
      <c r="AN58" s="172"/>
      <c r="AO58" s="172"/>
      <c r="AP58" s="187"/>
      <c r="AR58" s="51"/>
      <c r="AS58" s="51"/>
      <c r="AT58" s="51"/>
      <c r="AU58" s="51"/>
      <c r="AV58" s="51"/>
      <c r="AW58" s="51"/>
      <c r="AX58" s="51"/>
    </row>
    <row r="59" spans="1:50" x14ac:dyDescent="0.3">
      <c r="A59">
        <v>7</v>
      </c>
      <c r="B59" s="51"/>
      <c r="C59" s="51">
        <v>41</v>
      </c>
      <c r="D59" s="51">
        <v>238</v>
      </c>
      <c r="E59" s="51">
        <v>1124</v>
      </c>
      <c r="F59" s="51">
        <v>1873</v>
      </c>
      <c r="G59" s="51">
        <v>2149</v>
      </c>
      <c r="H59" s="51">
        <v>1947</v>
      </c>
      <c r="I59" s="192">
        <v>7372</v>
      </c>
      <c r="K59" s="7">
        <f t="shared" si="13"/>
        <v>7</v>
      </c>
      <c r="L59" s="172">
        <f t="shared" si="12"/>
        <v>0</v>
      </c>
      <c r="M59" s="172">
        <f t="shared" si="12"/>
        <v>287</v>
      </c>
      <c r="N59" s="172">
        <f t="shared" si="12"/>
        <v>1666</v>
      </c>
      <c r="O59" s="172">
        <f t="shared" si="12"/>
        <v>7868</v>
      </c>
      <c r="P59" s="172">
        <f t="shared" si="12"/>
        <v>13111</v>
      </c>
      <c r="Q59" s="172">
        <f t="shared" si="12"/>
        <v>15043</v>
      </c>
      <c r="R59" s="172">
        <f t="shared" si="12"/>
        <v>13629</v>
      </c>
      <c r="S59" s="187">
        <f t="shared" si="14"/>
        <v>51604</v>
      </c>
      <c r="T59" s="172">
        <f t="shared" si="15"/>
        <v>7372</v>
      </c>
      <c r="U59" s="51">
        <f t="shared" si="16"/>
        <v>51604</v>
      </c>
      <c r="V59">
        <f t="shared" si="17"/>
        <v>51604</v>
      </c>
      <c r="AB59" s="51"/>
      <c r="AC59" s="51"/>
      <c r="AD59" s="51"/>
      <c r="AE59" s="51"/>
      <c r="AF59" s="51"/>
      <c r="AH59" s="7"/>
      <c r="AI59" s="172"/>
      <c r="AJ59" s="172"/>
      <c r="AK59" s="172"/>
      <c r="AL59" s="172"/>
      <c r="AM59" s="172"/>
      <c r="AN59" s="172"/>
      <c r="AO59" s="172"/>
      <c r="AP59" s="187"/>
      <c r="AR59" s="51"/>
      <c r="AS59" s="51"/>
      <c r="AT59" s="51"/>
      <c r="AU59" s="51"/>
      <c r="AV59" s="51"/>
      <c r="AW59" s="51"/>
      <c r="AX59" s="51"/>
    </row>
    <row r="60" spans="1:50" x14ac:dyDescent="0.3">
      <c r="A60">
        <v>8</v>
      </c>
      <c r="B60" s="51"/>
      <c r="C60" s="51">
        <v>19</v>
      </c>
      <c r="D60" s="51">
        <v>92</v>
      </c>
      <c r="E60" s="51">
        <v>472</v>
      </c>
      <c r="F60" s="51">
        <v>1106</v>
      </c>
      <c r="G60" s="51">
        <v>1428</v>
      </c>
      <c r="H60" s="51">
        <v>1362</v>
      </c>
      <c r="I60" s="192">
        <v>4479</v>
      </c>
      <c r="K60" s="7">
        <f t="shared" si="13"/>
        <v>8</v>
      </c>
      <c r="L60" s="172">
        <f t="shared" si="12"/>
        <v>0</v>
      </c>
      <c r="M60" s="172">
        <f t="shared" si="12"/>
        <v>152</v>
      </c>
      <c r="N60" s="172">
        <f t="shared" si="12"/>
        <v>736</v>
      </c>
      <c r="O60" s="172">
        <f t="shared" si="12"/>
        <v>3776</v>
      </c>
      <c r="P60" s="172">
        <f t="shared" si="12"/>
        <v>8848</v>
      </c>
      <c r="Q60" s="172">
        <f t="shared" si="12"/>
        <v>11424</v>
      </c>
      <c r="R60" s="172">
        <f t="shared" si="12"/>
        <v>10896</v>
      </c>
      <c r="S60" s="187">
        <f t="shared" si="14"/>
        <v>35832</v>
      </c>
      <c r="T60" s="172">
        <f t="shared" si="15"/>
        <v>4479</v>
      </c>
      <c r="U60" s="51">
        <f t="shared" si="16"/>
        <v>35832</v>
      </c>
      <c r="V60">
        <f t="shared" si="17"/>
        <v>35832</v>
      </c>
      <c r="AC60" s="51"/>
      <c r="AD60" s="51"/>
      <c r="AE60" s="51"/>
      <c r="AF60" s="51"/>
      <c r="AH60" s="7"/>
      <c r="AI60" s="172"/>
      <c r="AJ60" s="172"/>
      <c r="AK60" s="172"/>
      <c r="AL60" s="172"/>
      <c r="AM60" s="172"/>
      <c r="AN60" s="172"/>
      <c r="AO60" s="172"/>
      <c r="AP60" s="187"/>
      <c r="AR60" s="51"/>
      <c r="AS60" s="51"/>
      <c r="AT60" s="51"/>
      <c r="AU60" s="51"/>
      <c r="AV60" s="51"/>
      <c r="AW60" s="51"/>
      <c r="AX60" s="51"/>
    </row>
    <row r="61" spans="1:50" x14ac:dyDescent="0.3">
      <c r="A61">
        <v>9</v>
      </c>
      <c r="B61" s="51"/>
      <c r="C61" s="51"/>
      <c r="D61" s="51">
        <v>32</v>
      </c>
      <c r="E61" s="51">
        <v>183</v>
      </c>
      <c r="F61" s="51">
        <v>556</v>
      </c>
      <c r="G61" s="51">
        <v>949</v>
      </c>
      <c r="H61" s="51">
        <v>957</v>
      </c>
      <c r="I61" s="192">
        <v>2677</v>
      </c>
      <c r="K61" s="7">
        <f t="shared" si="13"/>
        <v>9</v>
      </c>
      <c r="L61" s="172">
        <f t="shared" si="12"/>
        <v>0</v>
      </c>
      <c r="M61" s="172">
        <f t="shared" si="12"/>
        <v>0</v>
      </c>
      <c r="N61" s="172">
        <f t="shared" si="12"/>
        <v>288</v>
      </c>
      <c r="O61" s="172">
        <f t="shared" si="12"/>
        <v>1647</v>
      </c>
      <c r="P61" s="172">
        <f t="shared" si="12"/>
        <v>5004</v>
      </c>
      <c r="Q61" s="172">
        <f t="shared" si="12"/>
        <v>8541</v>
      </c>
      <c r="R61" s="172">
        <f t="shared" si="12"/>
        <v>8613</v>
      </c>
      <c r="S61" s="187">
        <f t="shared" si="14"/>
        <v>24093</v>
      </c>
      <c r="T61" s="172">
        <f t="shared" si="15"/>
        <v>2677</v>
      </c>
      <c r="U61" s="51">
        <f t="shared" si="16"/>
        <v>24093</v>
      </c>
      <c r="V61">
        <f t="shared" si="17"/>
        <v>24093</v>
      </c>
      <c r="AD61" s="51"/>
      <c r="AE61" s="51"/>
      <c r="AF61" s="51"/>
      <c r="AH61" s="7"/>
      <c r="AI61" s="172"/>
      <c r="AJ61" s="172"/>
      <c r="AK61" s="172"/>
      <c r="AL61" s="172"/>
      <c r="AM61" s="172"/>
      <c r="AN61" s="172"/>
      <c r="AO61" s="172"/>
      <c r="AP61" s="187"/>
      <c r="AR61" s="51"/>
      <c r="AS61" s="51"/>
      <c r="AT61" s="51"/>
      <c r="AU61" s="51"/>
      <c r="AV61" s="51"/>
      <c r="AW61" s="51"/>
      <c r="AX61" s="51"/>
    </row>
    <row r="62" spans="1:50" x14ac:dyDescent="0.3">
      <c r="A62">
        <v>10</v>
      </c>
      <c r="B62" s="51"/>
      <c r="C62" s="51"/>
      <c r="D62" s="51">
        <v>11</v>
      </c>
      <c r="E62" s="51">
        <v>65</v>
      </c>
      <c r="F62" s="51">
        <v>279</v>
      </c>
      <c r="G62" s="51">
        <v>540</v>
      </c>
      <c r="H62" s="51">
        <v>641</v>
      </c>
      <c r="I62" s="192">
        <v>1536</v>
      </c>
      <c r="K62" s="7">
        <f t="shared" si="13"/>
        <v>10</v>
      </c>
      <c r="L62" s="172">
        <f t="shared" si="12"/>
        <v>0</v>
      </c>
      <c r="M62" s="172">
        <f t="shared" si="12"/>
        <v>0</v>
      </c>
      <c r="N62" s="172">
        <f t="shared" si="12"/>
        <v>110</v>
      </c>
      <c r="O62" s="172">
        <f t="shared" si="12"/>
        <v>650</v>
      </c>
      <c r="P62" s="172">
        <f t="shared" si="12"/>
        <v>2790</v>
      </c>
      <c r="Q62" s="172">
        <f t="shared" si="12"/>
        <v>5400</v>
      </c>
      <c r="R62" s="172">
        <f t="shared" si="12"/>
        <v>6410</v>
      </c>
      <c r="S62" s="187">
        <f t="shared" si="14"/>
        <v>15360</v>
      </c>
      <c r="T62" s="172">
        <f t="shared" si="15"/>
        <v>1536</v>
      </c>
      <c r="U62" s="51">
        <f t="shared" si="16"/>
        <v>15360</v>
      </c>
      <c r="V62">
        <f t="shared" si="17"/>
        <v>15360</v>
      </c>
      <c r="AF62" s="51"/>
      <c r="AH62" s="7"/>
      <c r="AI62" s="172"/>
      <c r="AJ62" s="172"/>
      <c r="AK62" s="172"/>
      <c r="AL62" s="172"/>
      <c r="AM62" s="172"/>
      <c r="AN62" s="172"/>
      <c r="AO62" s="172"/>
      <c r="AP62" s="187"/>
      <c r="AR62" s="51"/>
      <c r="AS62" s="51"/>
      <c r="AT62" s="51"/>
      <c r="AU62" s="51"/>
      <c r="AV62" s="51"/>
      <c r="AW62" s="51"/>
      <c r="AX62" s="51"/>
    </row>
    <row r="63" spans="1:50" x14ac:dyDescent="0.3">
      <c r="A63">
        <v>11</v>
      </c>
      <c r="B63" s="51"/>
      <c r="C63" s="51"/>
      <c r="D63" s="51">
        <v>4</v>
      </c>
      <c r="E63" s="51">
        <v>24</v>
      </c>
      <c r="F63" s="51">
        <v>121</v>
      </c>
      <c r="G63" s="51">
        <v>254</v>
      </c>
      <c r="H63" s="51">
        <v>346</v>
      </c>
      <c r="I63" s="192">
        <v>749</v>
      </c>
      <c r="K63" s="7">
        <f t="shared" si="13"/>
        <v>11</v>
      </c>
      <c r="L63" s="172">
        <f t="shared" si="12"/>
        <v>0</v>
      </c>
      <c r="M63" s="172">
        <f t="shared" si="12"/>
        <v>0</v>
      </c>
      <c r="N63" s="172">
        <f t="shared" si="12"/>
        <v>44</v>
      </c>
      <c r="O63" s="172">
        <f t="shared" si="12"/>
        <v>264</v>
      </c>
      <c r="P63" s="172">
        <f t="shared" si="12"/>
        <v>1331</v>
      </c>
      <c r="Q63" s="172">
        <f t="shared" si="12"/>
        <v>2794</v>
      </c>
      <c r="R63" s="172">
        <f t="shared" si="12"/>
        <v>3806</v>
      </c>
      <c r="S63" s="187">
        <f t="shared" si="14"/>
        <v>8239</v>
      </c>
      <c r="T63" s="172">
        <f t="shared" si="15"/>
        <v>749</v>
      </c>
      <c r="U63" s="51">
        <f t="shared" si="16"/>
        <v>8239</v>
      </c>
      <c r="V63">
        <f t="shared" si="17"/>
        <v>8239</v>
      </c>
      <c r="AF63" s="51"/>
      <c r="AH63" s="7"/>
      <c r="AI63" s="172"/>
      <c r="AJ63" s="172"/>
      <c r="AK63" s="172"/>
      <c r="AL63" s="172"/>
      <c r="AM63" s="172"/>
      <c r="AN63" s="172"/>
      <c r="AO63" s="172"/>
      <c r="AP63" s="187"/>
      <c r="AR63" s="51"/>
      <c r="AS63" s="51"/>
      <c r="AT63" s="51"/>
      <c r="AU63" s="51"/>
      <c r="AV63" s="51"/>
      <c r="AW63" s="51"/>
      <c r="AX63" s="51"/>
    </row>
    <row r="64" spans="1:50" x14ac:dyDescent="0.3">
      <c r="A64">
        <v>12</v>
      </c>
      <c r="B64" s="51"/>
      <c r="C64" s="51"/>
      <c r="D64" s="51"/>
      <c r="E64" s="51">
        <v>18</v>
      </c>
      <c r="F64" s="51">
        <v>54</v>
      </c>
      <c r="G64" s="51">
        <v>169</v>
      </c>
      <c r="H64" s="51">
        <v>228</v>
      </c>
      <c r="I64" s="192">
        <v>469</v>
      </c>
      <c r="K64" s="7">
        <f t="shared" si="13"/>
        <v>12</v>
      </c>
      <c r="L64" s="172">
        <f t="shared" si="12"/>
        <v>0</v>
      </c>
      <c r="M64" s="172">
        <f t="shared" si="12"/>
        <v>0</v>
      </c>
      <c r="N64" s="172">
        <f t="shared" si="12"/>
        <v>0</v>
      </c>
      <c r="O64" s="172">
        <f t="shared" si="12"/>
        <v>216</v>
      </c>
      <c r="P64" s="172">
        <f t="shared" si="12"/>
        <v>648</v>
      </c>
      <c r="Q64" s="172">
        <f t="shared" si="12"/>
        <v>2028</v>
      </c>
      <c r="R64" s="172">
        <f t="shared" si="12"/>
        <v>2736</v>
      </c>
      <c r="S64" s="187">
        <f t="shared" si="14"/>
        <v>5628</v>
      </c>
      <c r="T64" s="172">
        <f t="shared" si="15"/>
        <v>469</v>
      </c>
      <c r="U64" s="51">
        <f t="shared" si="16"/>
        <v>5628</v>
      </c>
      <c r="V64">
        <f t="shared" si="17"/>
        <v>5628</v>
      </c>
      <c r="AH64" s="7"/>
      <c r="AI64" s="172"/>
      <c r="AJ64" s="172"/>
      <c r="AK64" s="172"/>
      <c r="AL64" s="172"/>
      <c r="AM64" s="172"/>
      <c r="AN64" s="172"/>
      <c r="AO64" s="172"/>
      <c r="AP64" s="187"/>
      <c r="AR64" s="51"/>
      <c r="AS64" s="51"/>
      <c r="AT64" s="51"/>
      <c r="AU64" s="51"/>
      <c r="AV64" s="51"/>
      <c r="AW64" s="51"/>
      <c r="AX64" s="51"/>
    </row>
    <row r="65" spans="1:50" x14ac:dyDescent="0.3">
      <c r="A65">
        <v>13</v>
      </c>
      <c r="B65" s="51"/>
      <c r="C65" s="51"/>
      <c r="D65" s="51"/>
      <c r="E65" s="51">
        <v>4</v>
      </c>
      <c r="F65" s="51">
        <v>23</v>
      </c>
      <c r="G65" s="51">
        <v>54</v>
      </c>
      <c r="H65" s="51">
        <v>88</v>
      </c>
      <c r="I65" s="192">
        <v>169</v>
      </c>
      <c r="K65" s="7">
        <f t="shared" si="13"/>
        <v>13</v>
      </c>
      <c r="L65" s="172">
        <f t="shared" si="12"/>
        <v>0</v>
      </c>
      <c r="M65" s="172">
        <f t="shared" si="12"/>
        <v>0</v>
      </c>
      <c r="N65" s="172">
        <f t="shared" si="12"/>
        <v>0</v>
      </c>
      <c r="O65" s="172">
        <f t="shared" si="12"/>
        <v>52</v>
      </c>
      <c r="P65" s="172">
        <f t="shared" si="12"/>
        <v>299</v>
      </c>
      <c r="Q65" s="172">
        <f t="shared" si="12"/>
        <v>702</v>
      </c>
      <c r="R65" s="172">
        <f t="shared" si="12"/>
        <v>1144</v>
      </c>
      <c r="S65" s="187">
        <f t="shared" si="14"/>
        <v>2197</v>
      </c>
      <c r="T65" s="172">
        <f t="shared" si="15"/>
        <v>169</v>
      </c>
      <c r="U65" s="51">
        <f t="shared" si="16"/>
        <v>2197</v>
      </c>
      <c r="V65">
        <f t="shared" si="17"/>
        <v>2197</v>
      </c>
      <c r="AH65" s="7"/>
      <c r="AI65" s="172"/>
      <c r="AJ65" s="172"/>
      <c r="AK65" s="172"/>
      <c r="AL65" s="172"/>
      <c r="AM65" s="172"/>
      <c r="AN65" s="172"/>
      <c r="AO65" s="172"/>
      <c r="AP65" s="187"/>
      <c r="AR65" s="51"/>
      <c r="AS65" s="51"/>
      <c r="AT65" s="51"/>
      <c r="AU65" s="51"/>
      <c r="AV65" s="51"/>
      <c r="AW65" s="51"/>
      <c r="AX65" s="51"/>
    </row>
    <row r="66" spans="1:50" x14ac:dyDescent="0.3">
      <c r="A66">
        <v>14</v>
      </c>
      <c r="B66" s="51"/>
      <c r="C66" s="51"/>
      <c r="D66" s="51"/>
      <c r="E66" s="51">
        <v>2</v>
      </c>
      <c r="F66" s="51">
        <v>9</v>
      </c>
      <c r="G66" s="51">
        <v>28</v>
      </c>
      <c r="H66" s="51">
        <v>43</v>
      </c>
      <c r="I66" s="192">
        <v>82</v>
      </c>
      <c r="K66" s="7">
        <f t="shared" si="13"/>
        <v>14</v>
      </c>
      <c r="L66" s="172">
        <f t="shared" si="12"/>
        <v>0</v>
      </c>
      <c r="M66" s="172">
        <f t="shared" si="12"/>
        <v>0</v>
      </c>
      <c r="N66" s="172">
        <f t="shared" si="12"/>
        <v>0</v>
      </c>
      <c r="O66" s="172">
        <f t="shared" si="12"/>
        <v>28</v>
      </c>
      <c r="P66" s="172">
        <f t="shared" si="12"/>
        <v>126</v>
      </c>
      <c r="Q66" s="172">
        <f t="shared" si="12"/>
        <v>392</v>
      </c>
      <c r="R66" s="172">
        <f t="shared" si="12"/>
        <v>602</v>
      </c>
      <c r="S66" s="187">
        <f t="shared" si="14"/>
        <v>1148</v>
      </c>
      <c r="T66" s="172">
        <f t="shared" si="15"/>
        <v>82</v>
      </c>
      <c r="U66" s="51">
        <f t="shared" si="16"/>
        <v>1148</v>
      </c>
      <c r="V66">
        <f t="shared" si="17"/>
        <v>1148</v>
      </c>
      <c r="AH66" s="7"/>
      <c r="AI66" s="172"/>
      <c r="AJ66" s="172"/>
      <c r="AK66" s="172"/>
      <c r="AL66" s="172"/>
      <c r="AM66" s="172"/>
      <c r="AN66" s="172"/>
      <c r="AO66" s="172"/>
      <c r="AP66" s="187"/>
      <c r="AR66" s="51"/>
      <c r="AS66" s="51"/>
      <c r="AT66" s="51"/>
      <c r="AU66" s="51"/>
      <c r="AV66" s="51"/>
      <c r="AW66" s="51"/>
      <c r="AX66" s="51"/>
    </row>
    <row r="67" spans="1:50" x14ac:dyDescent="0.3">
      <c r="A67">
        <v>15</v>
      </c>
      <c r="B67" s="51"/>
      <c r="C67" s="51"/>
      <c r="D67" s="51"/>
      <c r="E67" s="51"/>
      <c r="F67" s="51">
        <v>6</v>
      </c>
      <c r="G67" s="51">
        <v>20</v>
      </c>
      <c r="H67" s="51">
        <v>16</v>
      </c>
      <c r="I67" s="192">
        <v>42</v>
      </c>
      <c r="K67" s="7">
        <f t="shared" si="13"/>
        <v>15</v>
      </c>
      <c r="L67" s="172">
        <f t="shared" si="12"/>
        <v>0</v>
      </c>
      <c r="M67" s="172">
        <f t="shared" si="12"/>
        <v>0</v>
      </c>
      <c r="N67" s="172">
        <f t="shared" si="12"/>
        <v>0</v>
      </c>
      <c r="O67" s="172">
        <f t="shared" si="12"/>
        <v>0</v>
      </c>
      <c r="P67" s="172">
        <f t="shared" si="12"/>
        <v>90</v>
      </c>
      <c r="Q67" s="172">
        <f t="shared" si="12"/>
        <v>300</v>
      </c>
      <c r="R67" s="172">
        <f t="shared" si="12"/>
        <v>240</v>
      </c>
      <c r="S67" s="187">
        <f t="shared" si="14"/>
        <v>630</v>
      </c>
      <c r="T67" s="172">
        <f t="shared" si="15"/>
        <v>42</v>
      </c>
      <c r="U67" s="51">
        <f t="shared" si="16"/>
        <v>630</v>
      </c>
      <c r="V67">
        <f t="shared" si="17"/>
        <v>630</v>
      </c>
      <c r="AH67" s="7"/>
      <c r="AI67" s="172"/>
      <c r="AJ67" s="172"/>
      <c r="AK67" s="172"/>
      <c r="AL67" s="172"/>
      <c r="AM67" s="172"/>
      <c r="AN67" s="172"/>
      <c r="AO67" s="172"/>
      <c r="AP67" s="187"/>
      <c r="AR67" s="51"/>
      <c r="AS67" s="51"/>
      <c r="AT67" s="51"/>
      <c r="AU67" s="51"/>
      <c r="AV67" s="51"/>
      <c r="AW67" s="51"/>
      <c r="AX67" s="51"/>
    </row>
    <row r="68" spans="1:50" x14ac:dyDescent="0.3">
      <c r="A68">
        <v>16</v>
      </c>
      <c r="B68" s="51"/>
      <c r="C68" s="51"/>
      <c r="D68" s="51"/>
      <c r="E68" s="51"/>
      <c r="F68" s="51"/>
      <c r="G68" s="51">
        <v>10</v>
      </c>
      <c r="H68" s="51">
        <v>10</v>
      </c>
      <c r="I68" s="192">
        <v>20</v>
      </c>
      <c r="K68" s="7">
        <f t="shared" si="13"/>
        <v>16</v>
      </c>
      <c r="L68" s="172">
        <f t="shared" ref="L68:R82" si="18">B68*$A68</f>
        <v>0</v>
      </c>
      <c r="M68" s="172">
        <f t="shared" si="18"/>
        <v>0</v>
      </c>
      <c r="N68" s="172">
        <f>D68*$A68</f>
        <v>0</v>
      </c>
      <c r="O68" s="172">
        <f>E68*$A68</f>
        <v>0</v>
      </c>
      <c r="P68" s="172">
        <f>F68*$A68</f>
        <v>0</v>
      </c>
      <c r="Q68" s="172">
        <f>G68*$A68</f>
        <v>160</v>
      </c>
      <c r="R68" s="172">
        <f>H68*$A68</f>
        <v>160</v>
      </c>
      <c r="S68" s="187">
        <f t="shared" si="14"/>
        <v>320</v>
      </c>
      <c r="T68" s="172">
        <f t="shared" si="15"/>
        <v>20</v>
      </c>
      <c r="U68" s="51">
        <f t="shared" si="16"/>
        <v>320</v>
      </c>
      <c r="V68">
        <f t="shared" si="17"/>
        <v>320</v>
      </c>
      <c r="AH68" s="7"/>
      <c r="AI68" s="172"/>
      <c r="AJ68" s="172"/>
      <c r="AK68" s="172"/>
      <c r="AL68" s="172"/>
      <c r="AM68" s="172"/>
      <c r="AN68" s="172"/>
      <c r="AO68" s="172"/>
      <c r="AP68" s="187"/>
      <c r="AR68" s="51"/>
      <c r="AS68" s="51"/>
      <c r="AT68" s="51"/>
      <c r="AU68" s="51"/>
      <c r="AV68" s="51"/>
      <c r="AW68" s="51"/>
      <c r="AX68" s="51"/>
    </row>
    <row r="69" spans="1:50" x14ac:dyDescent="0.3">
      <c r="A69">
        <v>17</v>
      </c>
      <c r="B69" s="51"/>
      <c r="C69" s="51"/>
      <c r="D69" s="51"/>
      <c r="E69" s="51"/>
      <c r="F69" s="51">
        <v>1</v>
      </c>
      <c r="G69" s="51">
        <v>1</v>
      </c>
      <c r="H69" s="51"/>
      <c r="I69" s="192">
        <v>2</v>
      </c>
      <c r="K69" s="7">
        <f t="shared" si="13"/>
        <v>17</v>
      </c>
      <c r="L69" s="172">
        <f t="shared" si="18"/>
        <v>0</v>
      </c>
      <c r="M69" s="172">
        <f t="shared" si="18"/>
        <v>0</v>
      </c>
      <c r="N69" s="172">
        <f t="shared" si="18"/>
        <v>0</v>
      </c>
      <c r="O69" s="172">
        <f t="shared" si="18"/>
        <v>0</v>
      </c>
      <c r="P69" s="172">
        <f t="shared" si="18"/>
        <v>17</v>
      </c>
      <c r="Q69" s="172">
        <f t="shared" si="18"/>
        <v>17</v>
      </c>
      <c r="R69" s="172">
        <f t="shared" si="18"/>
        <v>0</v>
      </c>
      <c r="S69" s="187">
        <f t="shared" si="14"/>
        <v>34</v>
      </c>
      <c r="T69" s="172">
        <f t="shared" si="15"/>
        <v>2</v>
      </c>
      <c r="U69" s="51">
        <f t="shared" si="16"/>
        <v>34</v>
      </c>
      <c r="V69">
        <f t="shared" si="17"/>
        <v>34</v>
      </c>
      <c r="AH69" s="7"/>
      <c r="AI69" s="172"/>
      <c r="AJ69" s="172"/>
      <c r="AK69" s="172"/>
      <c r="AL69" s="172"/>
      <c r="AM69" s="172"/>
      <c r="AN69" s="172"/>
      <c r="AO69" s="172"/>
      <c r="AP69" s="187"/>
      <c r="AR69" s="51"/>
      <c r="AS69" s="51"/>
      <c r="AT69" s="51"/>
      <c r="AU69" s="51"/>
      <c r="AV69" s="51"/>
      <c r="AW69" s="51"/>
      <c r="AX69" s="51"/>
    </row>
    <row r="70" spans="1:50" x14ac:dyDescent="0.3">
      <c r="A70">
        <v>18</v>
      </c>
      <c r="B70" s="51"/>
      <c r="C70" s="51"/>
      <c r="D70" s="51"/>
      <c r="E70" s="51"/>
      <c r="F70" s="51"/>
      <c r="G70" s="51">
        <v>3</v>
      </c>
      <c r="H70" s="51">
        <v>2</v>
      </c>
      <c r="I70" s="192">
        <v>5</v>
      </c>
      <c r="K70" s="7">
        <f t="shared" si="13"/>
        <v>18</v>
      </c>
      <c r="L70" s="172">
        <f t="shared" si="18"/>
        <v>0</v>
      </c>
      <c r="M70" s="172">
        <f t="shared" si="18"/>
        <v>0</v>
      </c>
      <c r="N70" s="172">
        <f t="shared" si="18"/>
        <v>0</v>
      </c>
      <c r="O70" s="172">
        <f t="shared" si="18"/>
        <v>0</v>
      </c>
      <c r="P70" s="172">
        <f t="shared" si="18"/>
        <v>0</v>
      </c>
      <c r="Q70" s="172">
        <f t="shared" si="18"/>
        <v>54</v>
      </c>
      <c r="R70" s="172">
        <f t="shared" si="18"/>
        <v>36</v>
      </c>
      <c r="S70" s="187">
        <f t="shared" si="14"/>
        <v>90</v>
      </c>
      <c r="T70" s="172">
        <f t="shared" si="15"/>
        <v>5</v>
      </c>
      <c r="U70" s="51">
        <f t="shared" si="16"/>
        <v>90</v>
      </c>
      <c r="V70">
        <f t="shared" si="17"/>
        <v>90</v>
      </c>
      <c r="AH70" s="7"/>
      <c r="AI70" s="172"/>
      <c r="AJ70" s="172"/>
      <c r="AK70" s="172"/>
      <c r="AL70" s="172"/>
      <c r="AM70" s="172"/>
      <c r="AN70" s="172"/>
      <c r="AO70" s="172"/>
      <c r="AP70" s="187"/>
      <c r="AR70" s="51"/>
      <c r="AS70" s="51"/>
      <c r="AT70" s="51"/>
      <c r="AU70" s="51"/>
      <c r="AV70" s="51"/>
      <c r="AW70" s="51"/>
      <c r="AX70" s="51"/>
    </row>
    <row r="71" spans="1:50" x14ac:dyDescent="0.3">
      <c r="A71">
        <v>19</v>
      </c>
      <c r="B71" s="51"/>
      <c r="C71" s="51"/>
      <c r="D71" s="51"/>
      <c r="E71" s="51"/>
      <c r="F71" s="51"/>
      <c r="G71" s="51">
        <v>2</v>
      </c>
      <c r="H71" s="51"/>
      <c r="I71" s="192">
        <v>2</v>
      </c>
      <c r="K71" s="7">
        <f t="shared" si="13"/>
        <v>19</v>
      </c>
      <c r="L71" s="172">
        <f t="shared" si="18"/>
        <v>0</v>
      </c>
      <c r="M71" s="172">
        <f t="shared" si="18"/>
        <v>0</v>
      </c>
      <c r="N71" s="172">
        <f t="shared" si="18"/>
        <v>0</v>
      </c>
      <c r="O71" s="172">
        <f t="shared" si="18"/>
        <v>0</v>
      </c>
      <c r="P71" s="172">
        <f t="shared" si="18"/>
        <v>0</v>
      </c>
      <c r="Q71" s="172">
        <f t="shared" si="18"/>
        <v>38</v>
      </c>
      <c r="R71" s="172">
        <f t="shared" si="18"/>
        <v>0</v>
      </c>
      <c r="S71" s="187">
        <f t="shared" si="14"/>
        <v>38</v>
      </c>
      <c r="T71" s="172">
        <f t="shared" si="15"/>
        <v>2</v>
      </c>
      <c r="U71" s="51">
        <f t="shared" si="16"/>
        <v>38</v>
      </c>
      <c r="V71">
        <f t="shared" si="17"/>
        <v>38</v>
      </c>
      <c r="AH71" s="7"/>
      <c r="AI71" s="172"/>
      <c r="AJ71" s="172"/>
      <c r="AK71" s="172"/>
      <c r="AL71" s="172"/>
      <c r="AM71" s="172"/>
      <c r="AN71" s="172"/>
      <c r="AO71" s="172"/>
      <c r="AP71" s="187"/>
      <c r="AR71" s="51"/>
      <c r="AS71" s="51"/>
      <c r="AT71" s="51"/>
      <c r="AU71" s="51"/>
      <c r="AV71" s="51"/>
      <c r="AW71" s="51"/>
      <c r="AX71" s="51"/>
    </row>
    <row r="72" spans="1:50" x14ac:dyDescent="0.3">
      <c r="A72">
        <v>20</v>
      </c>
      <c r="B72" s="51"/>
      <c r="C72" s="51"/>
      <c r="D72" s="51"/>
      <c r="E72" s="51"/>
      <c r="F72" s="51"/>
      <c r="G72" s="51"/>
      <c r="H72" s="51">
        <v>1</v>
      </c>
      <c r="I72" s="192">
        <v>1</v>
      </c>
      <c r="K72" s="7">
        <f t="shared" si="13"/>
        <v>20</v>
      </c>
      <c r="L72" s="172">
        <f t="shared" si="18"/>
        <v>0</v>
      </c>
      <c r="M72" s="172">
        <f t="shared" si="18"/>
        <v>0</v>
      </c>
      <c r="N72" s="172">
        <f t="shared" si="18"/>
        <v>0</v>
      </c>
      <c r="O72" s="172">
        <f t="shared" si="18"/>
        <v>0</v>
      </c>
      <c r="P72" s="172">
        <f t="shared" si="18"/>
        <v>0</v>
      </c>
      <c r="Q72" s="172">
        <f t="shared" si="18"/>
        <v>0</v>
      </c>
      <c r="R72" s="172">
        <f t="shared" si="18"/>
        <v>20</v>
      </c>
      <c r="S72" s="187">
        <f t="shared" si="14"/>
        <v>20</v>
      </c>
      <c r="T72" s="172">
        <f t="shared" si="15"/>
        <v>1</v>
      </c>
      <c r="U72" s="51">
        <f t="shared" si="16"/>
        <v>20</v>
      </c>
      <c r="V72">
        <f t="shared" si="17"/>
        <v>20</v>
      </c>
      <c r="AH72" s="7"/>
      <c r="AI72" s="172"/>
      <c r="AJ72" s="172"/>
      <c r="AK72" s="172"/>
      <c r="AL72" s="172"/>
      <c r="AM72" s="172"/>
      <c r="AN72" s="172"/>
      <c r="AO72" s="172"/>
      <c r="AP72" s="187"/>
      <c r="AR72" s="51"/>
      <c r="AS72" s="51"/>
      <c r="AT72" s="51"/>
      <c r="AU72" s="51"/>
      <c r="AV72" s="51"/>
      <c r="AW72" s="51"/>
      <c r="AX72" s="51"/>
    </row>
    <row r="73" spans="1:50" x14ac:dyDescent="0.3">
      <c r="A73">
        <v>21</v>
      </c>
      <c r="B73" s="51"/>
      <c r="C73" s="51"/>
      <c r="D73" s="51"/>
      <c r="E73" s="51"/>
      <c r="F73" s="51"/>
      <c r="G73" s="51"/>
      <c r="H73" s="51">
        <v>2</v>
      </c>
      <c r="I73" s="192">
        <v>2</v>
      </c>
      <c r="K73" s="7">
        <f t="shared" si="13"/>
        <v>21</v>
      </c>
      <c r="L73" s="172">
        <f t="shared" si="18"/>
        <v>0</v>
      </c>
      <c r="M73" s="172">
        <f t="shared" si="18"/>
        <v>0</v>
      </c>
      <c r="N73" s="172">
        <f t="shared" si="18"/>
        <v>0</v>
      </c>
      <c r="O73" s="172">
        <f t="shared" si="18"/>
        <v>0</v>
      </c>
      <c r="P73" s="172">
        <f t="shared" si="18"/>
        <v>0</v>
      </c>
      <c r="Q73" s="172">
        <f t="shared" si="18"/>
        <v>0</v>
      </c>
      <c r="R73" s="172">
        <f t="shared" si="18"/>
        <v>42</v>
      </c>
      <c r="S73" s="187">
        <f t="shared" si="14"/>
        <v>42</v>
      </c>
      <c r="T73" s="172">
        <f t="shared" si="15"/>
        <v>2</v>
      </c>
      <c r="U73" s="51">
        <f t="shared" si="16"/>
        <v>42</v>
      </c>
      <c r="V73">
        <f t="shared" si="17"/>
        <v>42</v>
      </c>
      <c r="AH73" s="7"/>
      <c r="AI73" s="172"/>
      <c r="AJ73" s="172"/>
      <c r="AK73" s="172"/>
      <c r="AL73" s="172"/>
      <c r="AM73" s="172"/>
      <c r="AN73" s="172"/>
      <c r="AO73" s="172"/>
      <c r="AP73" s="187"/>
      <c r="AR73" s="51"/>
      <c r="AS73" s="51"/>
      <c r="AT73" s="51"/>
      <c r="AU73" s="51"/>
      <c r="AV73" s="51"/>
      <c r="AW73" s="51"/>
      <c r="AX73" s="51"/>
    </row>
    <row r="74" spans="1:50" x14ac:dyDescent="0.3">
      <c r="A74">
        <v>22</v>
      </c>
      <c r="B74" s="51"/>
      <c r="C74" s="51"/>
      <c r="D74" s="51"/>
      <c r="E74" s="51"/>
      <c r="F74" s="51"/>
      <c r="G74" s="51"/>
      <c r="H74" s="51">
        <v>1</v>
      </c>
      <c r="I74" s="192">
        <v>1</v>
      </c>
      <c r="K74" s="7">
        <f t="shared" si="13"/>
        <v>22</v>
      </c>
      <c r="L74" s="172">
        <f t="shared" si="18"/>
        <v>0</v>
      </c>
      <c r="M74" s="172">
        <f t="shared" si="18"/>
        <v>0</v>
      </c>
      <c r="N74" s="172">
        <f t="shared" si="18"/>
        <v>0</v>
      </c>
      <c r="O74" s="172">
        <f t="shared" si="18"/>
        <v>0</v>
      </c>
      <c r="P74" s="172">
        <f t="shared" si="18"/>
        <v>0</v>
      </c>
      <c r="Q74" s="172">
        <f t="shared" si="18"/>
        <v>0</v>
      </c>
      <c r="R74" s="172">
        <f t="shared" si="18"/>
        <v>22</v>
      </c>
      <c r="S74" s="187">
        <f t="shared" si="14"/>
        <v>22</v>
      </c>
      <c r="T74" s="172">
        <f t="shared" si="15"/>
        <v>1</v>
      </c>
      <c r="U74" s="51">
        <f t="shared" si="16"/>
        <v>22</v>
      </c>
      <c r="V74">
        <f t="shared" si="17"/>
        <v>22</v>
      </c>
      <c r="AH74" s="7"/>
      <c r="AI74" s="172"/>
      <c r="AJ74" s="172"/>
      <c r="AK74" s="172"/>
      <c r="AL74" s="172"/>
      <c r="AM74" s="172"/>
      <c r="AN74" s="172"/>
      <c r="AO74" s="172"/>
      <c r="AP74" s="187"/>
      <c r="AR74" s="51"/>
      <c r="AS74" s="51"/>
      <c r="AT74" s="51"/>
      <c r="AU74" s="51"/>
      <c r="AV74" s="51"/>
      <c r="AW74" s="51"/>
      <c r="AX74" s="51"/>
    </row>
    <row r="75" spans="1:50" x14ac:dyDescent="0.3">
      <c r="A75">
        <v>23</v>
      </c>
      <c r="B75" s="51"/>
      <c r="C75" s="51"/>
      <c r="D75" s="51"/>
      <c r="E75" s="51"/>
      <c r="F75" s="51"/>
      <c r="G75" s="51"/>
      <c r="H75" s="51"/>
      <c r="I75" s="192"/>
      <c r="K75" s="7">
        <f t="shared" si="13"/>
        <v>23</v>
      </c>
      <c r="L75" s="172">
        <f t="shared" si="18"/>
        <v>0</v>
      </c>
      <c r="M75" s="172">
        <f t="shared" si="18"/>
        <v>0</v>
      </c>
      <c r="N75" s="172">
        <f t="shared" si="18"/>
        <v>0</v>
      </c>
      <c r="O75" s="172">
        <f t="shared" si="18"/>
        <v>0</v>
      </c>
      <c r="P75" s="172">
        <f t="shared" si="18"/>
        <v>0</v>
      </c>
      <c r="Q75" s="172">
        <f t="shared" si="18"/>
        <v>0</v>
      </c>
      <c r="R75" s="172">
        <f t="shared" si="18"/>
        <v>0</v>
      </c>
      <c r="S75" s="187">
        <f t="shared" si="14"/>
        <v>0</v>
      </c>
      <c r="T75" s="172">
        <f t="shared" si="15"/>
        <v>0</v>
      </c>
      <c r="U75" s="51">
        <f t="shared" si="16"/>
        <v>0</v>
      </c>
      <c r="V75">
        <f t="shared" si="17"/>
        <v>0</v>
      </c>
      <c r="AH75" s="7"/>
      <c r="AI75" s="172"/>
      <c r="AJ75" s="172"/>
      <c r="AK75" s="172"/>
      <c r="AL75" s="172"/>
      <c r="AM75" s="172"/>
      <c r="AN75" s="172"/>
      <c r="AO75" s="172"/>
      <c r="AP75" s="187"/>
      <c r="AR75" s="51"/>
      <c r="AS75" s="51"/>
      <c r="AT75" s="51"/>
      <c r="AU75" s="51"/>
      <c r="AV75" s="51"/>
      <c r="AW75" s="51"/>
      <c r="AX75" s="51"/>
    </row>
    <row r="76" spans="1:50" x14ac:dyDescent="0.3">
      <c r="A76">
        <v>24</v>
      </c>
      <c r="B76" s="51"/>
      <c r="C76" s="51"/>
      <c r="D76" s="51"/>
      <c r="E76" s="51"/>
      <c r="F76" s="51"/>
      <c r="G76" s="51"/>
      <c r="H76" s="51"/>
      <c r="I76" s="192"/>
      <c r="K76" s="7">
        <f t="shared" si="13"/>
        <v>24</v>
      </c>
      <c r="L76" s="172">
        <f t="shared" si="18"/>
        <v>0</v>
      </c>
      <c r="M76" s="172">
        <f t="shared" si="18"/>
        <v>0</v>
      </c>
      <c r="N76" s="172">
        <f t="shared" si="18"/>
        <v>0</v>
      </c>
      <c r="O76" s="172">
        <f t="shared" si="18"/>
        <v>0</v>
      </c>
      <c r="P76" s="172">
        <f t="shared" si="18"/>
        <v>0</v>
      </c>
      <c r="Q76" s="172">
        <f t="shared" si="18"/>
        <v>0</v>
      </c>
      <c r="R76" s="172">
        <f t="shared" si="18"/>
        <v>0</v>
      </c>
      <c r="S76" s="187">
        <f t="shared" si="14"/>
        <v>0</v>
      </c>
      <c r="T76" s="172">
        <f t="shared" si="15"/>
        <v>0</v>
      </c>
      <c r="U76" s="51">
        <f t="shared" si="16"/>
        <v>0</v>
      </c>
      <c r="V76">
        <f t="shared" si="17"/>
        <v>0</v>
      </c>
      <c r="AH76" s="7"/>
      <c r="AI76" s="172"/>
      <c r="AJ76" s="172"/>
      <c r="AK76" s="172"/>
      <c r="AL76" s="172"/>
      <c r="AM76" s="172"/>
      <c r="AN76" s="172"/>
      <c r="AO76" s="172"/>
      <c r="AP76" s="187"/>
      <c r="AR76" s="51"/>
      <c r="AS76" s="51"/>
      <c r="AT76" s="51"/>
      <c r="AU76" s="51"/>
      <c r="AV76" s="51"/>
      <c r="AW76" s="51"/>
      <c r="AX76" s="51"/>
    </row>
    <row r="77" spans="1:50" x14ac:dyDescent="0.3">
      <c r="A77">
        <v>25</v>
      </c>
      <c r="B77" s="51"/>
      <c r="C77" s="51"/>
      <c r="D77" s="51"/>
      <c r="E77" s="51"/>
      <c r="F77" s="51"/>
      <c r="G77" s="51"/>
      <c r="H77" s="51"/>
      <c r="I77" s="192"/>
      <c r="K77" s="7">
        <f t="shared" si="13"/>
        <v>25</v>
      </c>
      <c r="L77" s="172">
        <f t="shared" si="18"/>
        <v>0</v>
      </c>
      <c r="M77" s="172">
        <f t="shared" si="18"/>
        <v>0</v>
      </c>
      <c r="N77" s="172">
        <f t="shared" si="18"/>
        <v>0</v>
      </c>
      <c r="O77" s="172">
        <f t="shared" si="18"/>
        <v>0</v>
      </c>
      <c r="P77" s="172">
        <f t="shared" si="18"/>
        <v>0</v>
      </c>
      <c r="Q77" s="172">
        <f t="shared" si="18"/>
        <v>0</v>
      </c>
      <c r="R77" s="172">
        <f t="shared" si="18"/>
        <v>0</v>
      </c>
      <c r="S77" s="187">
        <f t="shared" ref="S77:S82" si="19">SUM(L77:R77)</f>
        <v>0</v>
      </c>
      <c r="T77" s="172">
        <f t="shared" si="15"/>
        <v>0</v>
      </c>
      <c r="U77" s="51">
        <f t="shared" si="16"/>
        <v>0</v>
      </c>
      <c r="V77">
        <f t="shared" si="17"/>
        <v>0</v>
      </c>
      <c r="AH77" s="7"/>
      <c r="AI77" s="172"/>
      <c r="AJ77" s="172"/>
      <c r="AK77" s="172"/>
      <c r="AL77" s="172"/>
      <c r="AM77" s="172"/>
      <c r="AN77" s="172"/>
      <c r="AO77" s="172"/>
      <c r="AP77" s="187"/>
      <c r="AR77" s="51"/>
      <c r="AS77" s="51"/>
      <c r="AT77" s="51"/>
      <c r="AU77" s="51"/>
      <c r="AV77" s="51"/>
      <c r="AW77" s="51"/>
      <c r="AX77" s="51"/>
    </row>
    <row r="78" spans="1:50" x14ac:dyDescent="0.3">
      <c r="A78">
        <v>26</v>
      </c>
      <c r="B78" s="51"/>
      <c r="C78" s="51"/>
      <c r="D78" s="51"/>
      <c r="E78" s="51"/>
      <c r="F78" s="51"/>
      <c r="G78" s="51"/>
      <c r="H78" s="51"/>
      <c r="I78" s="192"/>
      <c r="K78" s="7">
        <f t="shared" si="13"/>
        <v>26</v>
      </c>
      <c r="L78" s="172">
        <f t="shared" si="18"/>
        <v>0</v>
      </c>
      <c r="M78" s="172">
        <f t="shared" si="18"/>
        <v>0</v>
      </c>
      <c r="N78" s="172">
        <f t="shared" si="18"/>
        <v>0</v>
      </c>
      <c r="O78" s="172">
        <f t="shared" si="18"/>
        <v>0</v>
      </c>
      <c r="P78" s="172">
        <f t="shared" si="18"/>
        <v>0</v>
      </c>
      <c r="Q78" s="172">
        <f t="shared" si="18"/>
        <v>0</v>
      </c>
      <c r="R78" s="172">
        <f t="shared" si="18"/>
        <v>0</v>
      </c>
      <c r="S78" s="187">
        <f t="shared" si="19"/>
        <v>0</v>
      </c>
      <c r="T78" s="172">
        <f t="shared" si="15"/>
        <v>0</v>
      </c>
      <c r="U78" s="51">
        <f t="shared" si="16"/>
        <v>0</v>
      </c>
      <c r="V78">
        <f t="shared" si="17"/>
        <v>0</v>
      </c>
      <c r="AH78" s="7"/>
      <c r="AI78" s="172"/>
      <c r="AJ78" s="172"/>
      <c r="AK78" s="172"/>
      <c r="AL78" s="172"/>
      <c r="AM78" s="172"/>
      <c r="AN78" s="172"/>
      <c r="AO78" s="172"/>
      <c r="AP78" s="187"/>
      <c r="AR78" s="51"/>
      <c r="AS78" s="51"/>
      <c r="AT78" s="51"/>
      <c r="AU78" s="51"/>
      <c r="AV78" s="51"/>
      <c r="AW78" s="51"/>
      <c r="AX78" s="51"/>
    </row>
    <row r="79" spans="1:50" x14ac:dyDescent="0.3">
      <c r="A79">
        <v>27</v>
      </c>
      <c r="B79" s="51"/>
      <c r="C79" s="51"/>
      <c r="D79" s="51"/>
      <c r="E79" s="51"/>
      <c r="F79" s="51"/>
      <c r="G79" s="51"/>
      <c r="H79" s="51"/>
      <c r="I79" s="192"/>
      <c r="K79" s="7">
        <f t="shared" si="13"/>
        <v>27</v>
      </c>
      <c r="L79" s="172">
        <f t="shared" si="18"/>
        <v>0</v>
      </c>
      <c r="M79" s="172">
        <f t="shared" si="18"/>
        <v>0</v>
      </c>
      <c r="N79" s="172">
        <f t="shared" si="18"/>
        <v>0</v>
      </c>
      <c r="O79" s="172">
        <f t="shared" si="18"/>
        <v>0</v>
      </c>
      <c r="P79" s="172">
        <f t="shared" si="18"/>
        <v>0</v>
      </c>
      <c r="Q79" s="172">
        <f t="shared" si="18"/>
        <v>0</v>
      </c>
      <c r="R79" s="172">
        <f t="shared" si="18"/>
        <v>0</v>
      </c>
      <c r="S79" s="187">
        <f t="shared" si="19"/>
        <v>0</v>
      </c>
      <c r="T79" s="172">
        <f t="shared" si="15"/>
        <v>0</v>
      </c>
      <c r="U79" s="51">
        <f t="shared" si="16"/>
        <v>0</v>
      </c>
      <c r="V79">
        <f t="shared" si="17"/>
        <v>0</v>
      </c>
      <c r="AH79" s="7"/>
      <c r="AI79" s="172"/>
      <c r="AJ79" s="172"/>
      <c r="AK79" s="172"/>
      <c r="AL79" s="172"/>
      <c r="AM79" s="172"/>
      <c r="AN79" s="172"/>
      <c r="AO79" s="172"/>
      <c r="AP79" s="187"/>
      <c r="AR79" s="51"/>
      <c r="AS79" s="51"/>
      <c r="AT79" s="51"/>
      <c r="AU79" s="51"/>
      <c r="AV79" s="51"/>
      <c r="AW79" s="51"/>
      <c r="AX79" s="51"/>
    </row>
    <row r="80" spans="1:50" x14ac:dyDescent="0.3">
      <c r="A80">
        <v>28</v>
      </c>
      <c r="B80" s="51"/>
      <c r="C80" s="51"/>
      <c r="D80" s="51"/>
      <c r="E80" s="51"/>
      <c r="F80" s="51"/>
      <c r="G80" s="51"/>
      <c r="H80" s="51"/>
      <c r="I80" s="192"/>
      <c r="K80" s="7">
        <f t="shared" si="13"/>
        <v>28</v>
      </c>
      <c r="L80" s="172">
        <f t="shared" si="18"/>
        <v>0</v>
      </c>
      <c r="M80" s="172">
        <f t="shared" si="18"/>
        <v>0</v>
      </c>
      <c r="N80" s="172">
        <f t="shared" si="18"/>
        <v>0</v>
      </c>
      <c r="O80" s="172">
        <f t="shared" si="18"/>
        <v>0</v>
      </c>
      <c r="P80" s="172">
        <f t="shared" si="18"/>
        <v>0</v>
      </c>
      <c r="Q80" s="172">
        <f t="shared" si="18"/>
        <v>0</v>
      </c>
      <c r="R80" s="172">
        <f t="shared" si="18"/>
        <v>0</v>
      </c>
      <c r="S80" s="187">
        <f t="shared" si="19"/>
        <v>0</v>
      </c>
      <c r="T80" s="172">
        <f t="shared" si="15"/>
        <v>0</v>
      </c>
      <c r="U80" s="51">
        <f t="shared" si="16"/>
        <v>0</v>
      </c>
      <c r="V80">
        <f t="shared" si="17"/>
        <v>0</v>
      </c>
      <c r="AH80" s="7"/>
      <c r="AI80" s="172"/>
      <c r="AJ80" s="172"/>
      <c r="AK80" s="172"/>
      <c r="AL80" s="172"/>
      <c r="AM80" s="172"/>
      <c r="AN80" s="172"/>
      <c r="AO80" s="172"/>
      <c r="AP80" s="187"/>
      <c r="AR80" s="51"/>
      <c r="AS80" s="51"/>
      <c r="AT80" s="51"/>
      <c r="AU80" s="51"/>
      <c r="AV80" s="51"/>
      <c r="AW80" s="51"/>
      <c r="AX80" s="51"/>
    </row>
    <row r="81" spans="1:50" x14ac:dyDescent="0.3">
      <c r="A81">
        <v>29</v>
      </c>
      <c r="B81" s="51"/>
      <c r="C81" s="51"/>
      <c r="D81" s="51"/>
      <c r="E81" s="51"/>
      <c r="F81" s="51"/>
      <c r="G81" s="51"/>
      <c r="H81" s="51"/>
      <c r="I81" s="192"/>
      <c r="K81" s="7">
        <f t="shared" si="13"/>
        <v>29</v>
      </c>
      <c r="L81" s="172">
        <f t="shared" si="18"/>
        <v>0</v>
      </c>
      <c r="M81" s="172">
        <f t="shared" si="18"/>
        <v>0</v>
      </c>
      <c r="N81" s="172">
        <f t="shared" si="18"/>
        <v>0</v>
      </c>
      <c r="O81" s="172">
        <f t="shared" si="18"/>
        <v>0</v>
      </c>
      <c r="P81" s="172">
        <f t="shared" si="18"/>
        <v>0</v>
      </c>
      <c r="Q81" s="172">
        <f t="shared" si="18"/>
        <v>0</v>
      </c>
      <c r="R81" s="172">
        <f t="shared" si="18"/>
        <v>0</v>
      </c>
      <c r="S81" s="187">
        <f t="shared" si="19"/>
        <v>0</v>
      </c>
      <c r="T81" s="172">
        <f t="shared" si="15"/>
        <v>0</v>
      </c>
      <c r="U81" s="51">
        <f t="shared" si="16"/>
        <v>0</v>
      </c>
      <c r="V81">
        <f t="shared" si="17"/>
        <v>0</v>
      </c>
      <c r="AH81" s="7"/>
      <c r="AI81" s="172"/>
      <c r="AJ81" s="172"/>
      <c r="AK81" s="172"/>
      <c r="AL81" s="172"/>
      <c r="AM81" s="172"/>
      <c r="AN81" s="172"/>
      <c r="AO81" s="172"/>
      <c r="AP81" s="187"/>
      <c r="AR81" s="51"/>
      <c r="AS81" s="51"/>
      <c r="AT81" s="51"/>
      <c r="AU81" s="51"/>
      <c r="AV81" s="51"/>
      <c r="AW81" s="51"/>
      <c r="AX81" s="51"/>
    </row>
    <row r="82" spans="1:50" x14ac:dyDescent="0.3">
      <c r="A82">
        <v>30</v>
      </c>
      <c r="B82" s="51"/>
      <c r="C82" s="51"/>
      <c r="D82" s="51"/>
      <c r="E82" s="51"/>
      <c r="F82" s="51"/>
      <c r="G82" s="51"/>
      <c r="H82" s="51"/>
      <c r="I82" s="192"/>
      <c r="K82" s="7">
        <f t="shared" si="13"/>
        <v>30</v>
      </c>
      <c r="L82" s="172">
        <f t="shared" si="18"/>
        <v>0</v>
      </c>
      <c r="M82" s="172">
        <f t="shared" si="18"/>
        <v>0</v>
      </c>
      <c r="N82" s="172">
        <f t="shared" si="18"/>
        <v>0</v>
      </c>
      <c r="O82" s="172">
        <f t="shared" si="18"/>
        <v>0</v>
      </c>
      <c r="P82" s="172">
        <f t="shared" si="18"/>
        <v>0</v>
      </c>
      <c r="Q82" s="172">
        <f t="shared" si="18"/>
        <v>0</v>
      </c>
      <c r="R82" s="172">
        <f t="shared" si="18"/>
        <v>0</v>
      </c>
      <c r="S82" s="187">
        <f t="shared" si="19"/>
        <v>0</v>
      </c>
      <c r="T82" s="172">
        <f t="shared" si="15"/>
        <v>0</v>
      </c>
      <c r="U82" s="51">
        <f t="shared" si="16"/>
        <v>0</v>
      </c>
      <c r="V82">
        <f t="shared" si="17"/>
        <v>0</v>
      </c>
      <c r="AH82" s="7"/>
      <c r="AI82" s="172"/>
      <c r="AJ82" s="172"/>
      <c r="AK82" s="172"/>
      <c r="AL82" s="172"/>
      <c r="AM82" s="172"/>
      <c r="AN82" s="172"/>
      <c r="AO82" s="172"/>
      <c r="AP82" s="187"/>
    </row>
    <row r="83" spans="1:50" ht="16.2" thickBot="1" x14ac:dyDescent="0.35">
      <c r="A83" t="s">
        <v>15</v>
      </c>
      <c r="B83" s="51" t="s">
        <v>163</v>
      </c>
      <c r="C83" s="51" t="s">
        <v>163</v>
      </c>
      <c r="D83" s="51" t="s">
        <v>163</v>
      </c>
      <c r="E83" s="51" t="s">
        <v>163</v>
      </c>
      <c r="F83" s="51" t="s">
        <v>163</v>
      </c>
      <c r="G83" s="51" t="s">
        <v>163</v>
      </c>
      <c r="H83" s="51" t="s">
        <v>163</v>
      </c>
      <c r="I83" s="51">
        <v>0</v>
      </c>
      <c r="J83" s="5"/>
      <c r="K83" s="13" t="s">
        <v>15</v>
      </c>
      <c r="L83" s="188">
        <f>SUM(L52:L82)</f>
        <v>22198</v>
      </c>
      <c r="M83" s="188">
        <f t="shared" ref="M83:Q83" si="20">SUM(M52:M82)</f>
        <v>77306</v>
      </c>
      <c r="N83" s="188">
        <f t="shared" si="20"/>
        <v>117215</v>
      </c>
      <c r="O83" s="188">
        <f t="shared" si="20"/>
        <v>148147</v>
      </c>
      <c r="P83" s="188">
        <f t="shared" si="20"/>
        <v>165905</v>
      </c>
      <c r="Q83" s="188">
        <f t="shared" si="20"/>
        <v>164980</v>
      </c>
      <c r="R83" s="188">
        <f>SUM(R52:R82)</f>
        <v>151770</v>
      </c>
      <c r="S83" s="188">
        <f>SUM(S51:S82)</f>
        <v>847521</v>
      </c>
      <c r="Y83" s="51"/>
      <c r="Z83" s="51"/>
      <c r="AA83" s="51"/>
      <c r="AB83" s="51"/>
      <c r="AC83" s="51"/>
      <c r="AD83" s="51"/>
      <c r="AE83" s="51"/>
      <c r="AF83" s="51"/>
      <c r="AH83" s="13"/>
      <c r="AI83" s="188"/>
      <c r="AJ83" s="188"/>
      <c r="AK83" s="188"/>
      <c r="AL83" s="188"/>
      <c r="AM83" s="188"/>
      <c r="AN83" s="188"/>
      <c r="AO83" s="188"/>
      <c r="AP83" s="188"/>
    </row>
    <row r="84" spans="1:50" x14ac:dyDescent="0.3">
      <c r="B84" s="189">
        <f>SUM(B52:B82)</f>
        <v>91551</v>
      </c>
      <c r="C84" s="189">
        <f t="shared" ref="C84:I84" si="21">SUM(C52:C82)</f>
        <v>84348</v>
      </c>
      <c r="D84" s="189">
        <f t="shared" si="21"/>
        <v>71204</v>
      </c>
      <c r="E84" s="189">
        <f t="shared" si="21"/>
        <v>63544</v>
      </c>
      <c r="F84" s="189">
        <f t="shared" si="21"/>
        <v>57781</v>
      </c>
      <c r="G84" s="189">
        <f t="shared" si="21"/>
        <v>49352</v>
      </c>
      <c r="H84" s="189">
        <f t="shared" si="21"/>
        <v>42922</v>
      </c>
      <c r="I84" s="189">
        <f t="shared" si="21"/>
        <v>548561</v>
      </c>
      <c r="J84" s="5"/>
      <c r="L84">
        <v>22198</v>
      </c>
      <c r="M84">
        <v>77306</v>
      </c>
      <c r="N84">
        <v>117215</v>
      </c>
      <c r="O84">
        <v>148147</v>
      </c>
      <c r="P84">
        <v>165905</v>
      </c>
      <c r="Q84">
        <v>164980</v>
      </c>
      <c r="R84">
        <v>151770</v>
      </c>
      <c r="S84">
        <v>847521</v>
      </c>
    </row>
    <row r="85" spans="1:50" x14ac:dyDescent="0.3">
      <c r="B85" s="51">
        <v>921</v>
      </c>
      <c r="C85" s="51">
        <v>1195</v>
      </c>
      <c r="D85" s="51">
        <v>753</v>
      </c>
      <c r="E85" s="51">
        <v>425</v>
      </c>
      <c r="F85" s="51">
        <v>284</v>
      </c>
      <c r="G85" s="51">
        <v>239</v>
      </c>
      <c r="H85" s="51">
        <v>170</v>
      </c>
      <c r="I85" s="192">
        <v>4171</v>
      </c>
      <c r="J85" s="5"/>
    </row>
    <row r="86" spans="1:50" x14ac:dyDescent="0.3">
      <c r="B86" s="51">
        <f>B84+B85</f>
        <v>92472</v>
      </c>
      <c r="C86" s="51">
        <f t="shared" ref="C86:I86" si="22">C84+C85</f>
        <v>85543</v>
      </c>
      <c r="D86" s="51">
        <f t="shared" si="22"/>
        <v>71957</v>
      </c>
      <c r="E86" s="51">
        <f t="shared" si="22"/>
        <v>63969</v>
      </c>
      <c r="F86" s="51">
        <f t="shared" si="22"/>
        <v>58065</v>
      </c>
      <c r="G86" s="51">
        <f t="shared" si="22"/>
        <v>49591</v>
      </c>
      <c r="H86" s="51">
        <f t="shared" si="22"/>
        <v>43092</v>
      </c>
      <c r="I86" s="51">
        <f t="shared" si="22"/>
        <v>552732</v>
      </c>
      <c r="J86" s="5"/>
      <c r="L86" s="185">
        <v>15</v>
      </c>
      <c r="M86">
        <v>22198</v>
      </c>
    </row>
    <row r="87" spans="1:50" x14ac:dyDescent="0.3">
      <c r="B87">
        <v>92472</v>
      </c>
      <c r="C87">
        <v>85543</v>
      </c>
      <c r="D87">
        <v>71957</v>
      </c>
      <c r="E87">
        <v>63969</v>
      </c>
      <c r="F87">
        <v>58065</v>
      </c>
      <c r="G87">
        <v>49591</v>
      </c>
      <c r="H87">
        <v>43092</v>
      </c>
      <c r="I87">
        <v>552732</v>
      </c>
      <c r="L87" s="185">
        <v>20</v>
      </c>
      <c r="M87">
        <v>77306</v>
      </c>
    </row>
    <row r="88" spans="1:50" x14ac:dyDescent="0.3">
      <c r="L88" s="185">
        <v>25</v>
      </c>
      <c r="M88">
        <v>117215</v>
      </c>
    </row>
    <row r="89" spans="1:50" x14ac:dyDescent="0.3">
      <c r="L89" s="185">
        <v>30</v>
      </c>
      <c r="M89">
        <v>148147</v>
      </c>
    </row>
    <row r="90" spans="1:50" x14ac:dyDescent="0.3">
      <c r="A90" s="239"/>
      <c r="B90" s="239"/>
      <c r="C90" s="239"/>
      <c r="D90" s="239"/>
      <c r="E90" s="239"/>
      <c r="F90" s="239"/>
      <c r="G90" s="239"/>
      <c r="L90" s="185">
        <v>35</v>
      </c>
      <c r="M90">
        <v>165905</v>
      </c>
    </row>
    <row r="91" spans="1:50" x14ac:dyDescent="0.3">
      <c r="L91" s="185">
        <v>40</v>
      </c>
      <c r="M91">
        <v>164980</v>
      </c>
    </row>
    <row r="92" spans="1:50" x14ac:dyDescent="0.3">
      <c r="C92" s="51"/>
      <c r="D92" s="51"/>
      <c r="E92" s="51"/>
      <c r="F92" s="51"/>
      <c r="G92" s="51"/>
      <c r="H92" s="51"/>
      <c r="J92" s="51"/>
      <c r="L92" s="185">
        <v>45</v>
      </c>
      <c r="M92">
        <v>151770</v>
      </c>
    </row>
    <row r="93" spans="1:50" x14ac:dyDescent="0.3">
      <c r="C93" s="51"/>
      <c r="D93" s="51"/>
      <c r="E93" s="51"/>
      <c r="F93" s="51"/>
      <c r="G93" s="51"/>
      <c r="H93" s="51"/>
      <c r="J93" s="51"/>
      <c r="M93">
        <v>847521</v>
      </c>
    </row>
    <row r="94" spans="1:50" x14ac:dyDescent="0.3">
      <c r="M94" s="110" t="s">
        <v>164</v>
      </c>
      <c r="N94" s="110"/>
    </row>
    <row r="97" spans="1:20" x14ac:dyDescent="0.3">
      <c r="C97" s="51"/>
      <c r="D97" s="51"/>
      <c r="E97" s="51"/>
      <c r="F97" s="51"/>
      <c r="G97" s="51"/>
      <c r="H97" s="51"/>
      <c r="J97" s="51"/>
    </row>
    <row r="98" spans="1:20" x14ac:dyDescent="0.3">
      <c r="A98">
        <v>2017</v>
      </c>
      <c r="B98" t="s">
        <v>165</v>
      </c>
      <c r="C98" s="110" t="s">
        <v>155</v>
      </c>
      <c r="D98" s="110" t="s">
        <v>156</v>
      </c>
      <c r="E98" s="110" t="s">
        <v>38</v>
      </c>
      <c r="F98" s="110" t="s">
        <v>157</v>
      </c>
      <c r="G98" s="110" t="s">
        <v>39</v>
      </c>
      <c r="H98" s="110" t="s">
        <v>158</v>
      </c>
      <c r="I98" s="110" t="s">
        <v>159</v>
      </c>
      <c r="L98">
        <v>2004</v>
      </c>
      <c r="M98" s="110" t="s">
        <v>155</v>
      </c>
      <c r="N98" s="110" t="s">
        <v>156</v>
      </c>
      <c r="O98" s="110" t="s">
        <v>38</v>
      </c>
      <c r="P98" s="110" t="s">
        <v>157</v>
      </c>
      <c r="Q98" s="110" t="s">
        <v>39</v>
      </c>
      <c r="R98" s="110" t="s">
        <v>158</v>
      </c>
      <c r="S98" s="110" t="s">
        <v>159</v>
      </c>
      <c r="T98" s="110" t="s">
        <v>15</v>
      </c>
    </row>
    <row r="100" spans="1:20" x14ac:dyDescent="0.3">
      <c r="B100">
        <v>1</v>
      </c>
      <c r="C100">
        <v>315</v>
      </c>
      <c r="D100">
        <v>652</v>
      </c>
      <c r="E100">
        <v>502</v>
      </c>
      <c r="F100">
        <v>333</v>
      </c>
      <c r="G100">
        <v>204</v>
      </c>
      <c r="H100">
        <v>98</v>
      </c>
      <c r="I100" s="51">
        <v>31</v>
      </c>
      <c r="J100" s="51">
        <v>2139</v>
      </c>
      <c r="L100">
        <f>B100</f>
        <v>1</v>
      </c>
      <c r="M100" s="126">
        <f>C100+((C100/(C$114-C$112))*C$112)</f>
        <v>316.73383133477489</v>
      </c>
      <c r="N100" s="126">
        <f t="shared" ref="N100:T111" si="23">D100+((D100/(D$114-D$112))*D$112)</f>
        <v>654.88047761194025</v>
      </c>
      <c r="O100" s="126">
        <f t="shared" si="23"/>
        <v>503.44506636814327</v>
      </c>
      <c r="P100" s="126">
        <f t="shared" si="23"/>
        <v>334.93951612903226</v>
      </c>
      <c r="Q100" s="126">
        <f t="shared" si="23"/>
        <v>204.97464167585446</v>
      </c>
      <c r="R100" s="126">
        <f t="shared" si="23"/>
        <v>98.650622406639002</v>
      </c>
      <c r="S100" s="126">
        <f t="shared" si="23"/>
        <v>31.36328125</v>
      </c>
      <c r="T100" s="126">
        <f t="shared" si="23"/>
        <v>2149.1974971080031</v>
      </c>
    </row>
    <row r="101" spans="1:20" x14ac:dyDescent="0.3">
      <c r="B101">
        <v>2</v>
      </c>
      <c r="C101">
        <v>326</v>
      </c>
      <c r="D101">
        <v>586</v>
      </c>
      <c r="E101">
        <v>427</v>
      </c>
      <c r="F101">
        <v>302</v>
      </c>
      <c r="G101">
        <v>205</v>
      </c>
      <c r="H101">
        <v>75</v>
      </c>
      <c r="I101" s="51">
        <v>26</v>
      </c>
      <c r="J101" s="51">
        <v>1953</v>
      </c>
      <c r="L101">
        <f t="shared" ref="L101:L111" si="24">B101</f>
        <v>2</v>
      </c>
      <c r="M101" s="126">
        <f t="shared" ref="M101:M111" si="25">C101+((C101/(C$114-C$112))*C$112)</f>
        <v>327.79437782583057</v>
      </c>
      <c r="N101" s="126">
        <f t="shared" si="23"/>
        <v>588.58889552238804</v>
      </c>
      <c r="O101" s="126">
        <f t="shared" si="23"/>
        <v>428.22916999840078</v>
      </c>
      <c r="P101" s="126">
        <f t="shared" si="23"/>
        <v>303.75896057347671</v>
      </c>
      <c r="Q101" s="126">
        <f t="shared" si="23"/>
        <v>205.97941933112827</v>
      </c>
      <c r="R101" s="126">
        <f t="shared" si="23"/>
        <v>75.497925311203318</v>
      </c>
      <c r="S101" s="126">
        <f t="shared" si="23"/>
        <v>26.3046875</v>
      </c>
      <c r="T101" s="126">
        <f t="shared" si="23"/>
        <v>1962.3107582290461</v>
      </c>
    </row>
    <row r="102" spans="1:20" x14ac:dyDescent="0.3">
      <c r="B102">
        <v>3</v>
      </c>
      <c r="C102">
        <v>358</v>
      </c>
      <c r="D102">
        <v>683</v>
      </c>
      <c r="E102">
        <v>529</v>
      </c>
      <c r="F102">
        <v>355</v>
      </c>
      <c r="G102">
        <v>264</v>
      </c>
      <c r="H102">
        <v>112</v>
      </c>
      <c r="I102" s="51">
        <v>15</v>
      </c>
      <c r="J102" s="51">
        <v>2329</v>
      </c>
      <c r="L102">
        <f t="shared" si="24"/>
        <v>3</v>
      </c>
      <c r="M102" s="126">
        <f t="shared" si="25"/>
        <v>359.97051307253787</v>
      </c>
      <c r="N102" s="126">
        <f t="shared" si="23"/>
        <v>686.01743283582084</v>
      </c>
      <c r="O102" s="126">
        <f t="shared" si="23"/>
        <v>530.52278906125059</v>
      </c>
      <c r="P102" s="126">
        <f t="shared" si="23"/>
        <v>357.06765232974908</v>
      </c>
      <c r="Q102" s="126">
        <f t="shared" si="23"/>
        <v>265.26130099228226</v>
      </c>
      <c r="R102" s="126">
        <f t="shared" si="23"/>
        <v>112.74356846473029</v>
      </c>
      <c r="S102" s="126">
        <f t="shared" si="23"/>
        <v>15.17578125</v>
      </c>
      <c r="T102" s="126">
        <f t="shared" si="23"/>
        <v>2340.1033056402707</v>
      </c>
    </row>
    <row r="103" spans="1:20" x14ac:dyDescent="0.3">
      <c r="B103">
        <v>4</v>
      </c>
      <c r="C103">
        <v>370</v>
      </c>
      <c r="D103">
        <v>651</v>
      </c>
      <c r="E103">
        <v>540</v>
      </c>
      <c r="F103">
        <v>352</v>
      </c>
      <c r="G103">
        <v>248</v>
      </c>
      <c r="H103">
        <v>116</v>
      </c>
      <c r="I103" s="51">
        <v>22</v>
      </c>
      <c r="J103" s="51">
        <v>2311</v>
      </c>
      <c r="L103">
        <f t="shared" si="24"/>
        <v>4</v>
      </c>
      <c r="M103" s="126">
        <f t="shared" si="25"/>
        <v>372.03656379005309</v>
      </c>
      <c r="N103" s="126">
        <f t="shared" si="23"/>
        <v>653.87605970149252</v>
      </c>
      <c r="O103" s="126">
        <f t="shared" si="23"/>
        <v>541.55445386214615</v>
      </c>
      <c r="P103" s="126">
        <f t="shared" si="23"/>
        <v>354.05017921146953</v>
      </c>
      <c r="Q103" s="126">
        <f t="shared" si="23"/>
        <v>249.18485850790151</v>
      </c>
      <c r="R103" s="126">
        <f t="shared" si="23"/>
        <v>116.7701244813278</v>
      </c>
      <c r="S103" s="126">
        <f t="shared" si="23"/>
        <v>22.2578125</v>
      </c>
      <c r="T103" s="126">
        <f t="shared" si="23"/>
        <v>2322.0174922003716</v>
      </c>
    </row>
    <row r="104" spans="1:20" x14ac:dyDescent="0.3">
      <c r="B104">
        <v>5</v>
      </c>
      <c r="C104">
        <v>409</v>
      </c>
      <c r="D104">
        <v>646</v>
      </c>
      <c r="E104">
        <v>526</v>
      </c>
      <c r="F104">
        <v>397</v>
      </c>
      <c r="G104">
        <v>182</v>
      </c>
      <c r="H104">
        <v>80</v>
      </c>
      <c r="I104" s="51">
        <v>16</v>
      </c>
      <c r="J104" s="51">
        <v>2265</v>
      </c>
      <c r="L104">
        <f t="shared" si="24"/>
        <v>5</v>
      </c>
      <c r="M104" s="126">
        <f t="shared" si="25"/>
        <v>411.25122862197759</v>
      </c>
      <c r="N104" s="126">
        <f t="shared" si="23"/>
        <v>648.85397014925377</v>
      </c>
      <c r="O104" s="126">
        <f t="shared" si="23"/>
        <v>527.51415320646095</v>
      </c>
      <c r="P104" s="126">
        <f t="shared" si="23"/>
        <v>399.31227598566306</v>
      </c>
      <c r="Q104" s="126">
        <f t="shared" si="23"/>
        <v>182.86953325983094</v>
      </c>
      <c r="R104" s="126">
        <f t="shared" si="23"/>
        <v>80.531120331950206</v>
      </c>
      <c r="S104" s="126">
        <f t="shared" si="23"/>
        <v>16.1875</v>
      </c>
      <c r="T104" s="126">
        <f t="shared" si="23"/>
        <v>2275.7981911872962</v>
      </c>
    </row>
    <row r="105" spans="1:20" x14ac:dyDescent="0.3">
      <c r="B105">
        <v>6</v>
      </c>
      <c r="C105">
        <v>416</v>
      </c>
      <c r="D105">
        <v>667</v>
      </c>
      <c r="E105">
        <v>505</v>
      </c>
      <c r="F105">
        <v>322</v>
      </c>
      <c r="G105">
        <v>225</v>
      </c>
      <c r="H105">
        <v>112</v>
      </c>
      <c r="I105" s="51">
        <v>17</v>
      </c>
      <c r="J105" s="51">
        <v>2280</v>
      </c>
      <c r="L105">
        <f t="shared" si="24"/>
        <v>6</v>
      </c>
      <c r="M105" s="126">
        <f t="shared" si="25"/>
        <v>418.28975820719484</v>
      </c>
      <c r="N105" s="126">
        <f t="shared" si="23"/>
        <v>669.94674626865674</v>
      </c>
      <c r="O105" s="126">
        <f t="shared" si="23"/>
        <v>506.45370222293298</v>
      </c>
      <c r="P105" s="126">
        <f t="shared" si="23"/>
        <v>323.87544802867382</v>
      </c>
      <c r="Q105" s="126">
        <f t="shared" si="23"/>
        <v>226.07497243660418</v>
      </c>
      <c r="R105" s="126">
        <f t="shared" si="23"/>
        <v>112.74356846473029</v>
      </c>
      <c r="S105" s="126">
        <f t="shared" si="23"/>
        <v>17.19921875</v>
      </c>
      <c r="T105" s="126">
        <f t="shared" si="23"/>
        <v>2290.8697023872123</v>
      </c>
    </row>
    <row r="106" spans="1:20" x14ac:dyDescent="0.3">
      <c r="B106">
        <v>7</v>
      </c>
      <c r="C106">
        <v>422</v>
      </c>
      <c r="D106">
        <v>714</v>
      </c>
      <c r="E106">
        <v>503</v>
      </c>
      <c r="F106">
        <v>360</v>
      </c>
      <c r="G106">
        <v>222</v>
      </c>
      <c r="H106">
        <v>89</v>
      </c>
      <c r="I106" s="51">
        <v>25</v>
      </c>
      <c r="J106" s="51">
        <v>2347</v>
      </c>
      <c r="L106">
        <f t="shared" si="24"/>
        <v>7</v>
      </c>
      <c r="M106" s="126">
        <f t="shared" si="25"/>
        <v>424.32278356595242</v>
      </c>
      <c r="N106" s="126">
        <f t="shared" si="23"/>
        <v>717.15438805970155</v>
      </c>
      <c r="O106" s="126">
        <f t="shared" si="23"/>
        <v>504.44794498640653</v>
      </c>
      <c r="P106" s="126">
        <f t="shared" si="23"/>
        <v>362.09677419354841</v>
      </c>
      <c r="Q106" s="126">
        <f t="shared" si="23"/>
        <v>223.0606394707828</v>
      </c>
      <c r="R106" s="126">
        <f t="shared" si="23"/>
        <v>89.590871369294604</v>
      </c>
      <c r="S106" s="126">
        <f t="shared" si="23"/>
        <v>25.29296875</v>
      </c>
      <c r="T106" s="126">
        <f t="shared" si="23"/>
        <v>2358.1891190801698</v>
      </c>
    </row>
    <row r="107" spans="1:20" x14ac:dyDescent="0.3">
      <c r="B107">
        <v>8</v>
      </c>
      <c r="C107">
        <v>470</v>
      </c>
      <c r="D107">
        <v>754</v>
      </c>
      <c r="E107">
        <v>529</v>
      </c>
      <c r="F107">
        <v>398</v>
      </c>
      <c r="G107">
        <v>206</v>
      </c>
      <c r="H107">
        <v>120</v>
      </c>
      <c r="I107" s="51">
        <v>18</v>
      </c>
      <c r="J107" s="51">
        <v>2509</v>
      </c>
      <c r="L107">
        <f t="shared" si="24"/>
        <v>8</v>
      </c>
      <c r="M107" s="126">
        <f t="shared" si="25"/>
        <v>472.58698643601338</v>
      </c>
      <c r="N107" s="126">
        <f t="shared" si="23"/>
        <v>757.33110447761192</v>
      </c>
      <c r="O107" s="126">
        <f t="shared" si="23"/>
        <v>530.52278906125059</v>
      </c>
      <c r="P107" s="126">
        <f t="shared" si="23"/>
        <v>400.31810035842295</v>
      </c>
      <c r="Q107" s="126">
        <f t="shared" si="23"/>
        <v>206.98419698640205</v>
      </c>
      <c r="R107" s="126">
        <f t="shared" si="23"/>
        <v>120.79668049792531</v>
      </c>
      <c r="S107" s="126">
        <f t="shared" si="23"/>
        <v>18.2109375</v>
      </c>
      <c r="T107" s="126">
        <f t="shared" si="23"/>
        <v>2520.9614400392611</v>
      </c>
    </row>
    <row r="108" spans="1:20" x14ac:dyDescent="0.3">
      <c r="B108">
        <v>9</v>
      </c>
      <c r="C108">
        <v>471</v>
      </c>
      <c r="D108">
        <v>766</v>
      </c>
      <c r="E108">
        <v>573</v>
      </c>
      <c r="F108">
        <v>429</v>
      </c>
      <c r="G108">
        <v>242</v>
      </c>
      <c r="H108">
        <v>93</v>
      </c>
      <c r="I108" s="51">
        <v>26</v>
      </c>
      <c r="J108" s="51">
        <v>2618</v>
      </c>
      <c r="L108">
        <f t="shared" si="24"/>
        <v>9</v>
      </c>
      <c r="M108" s="126">
        <f t="shared" si="25"/>
        <v>473.59249066247298</v>
      </c>
      <c r="N108" s="126">
        <f t="shared" si="23"/>
        <v>769.38411940298511</v>
      </c>
      <c r="O108" s="126">
        <f t="shared" si="23"/>
        <v>574.64944826483293</v>
      </c>
      <c r="P108" s="126">
        <f t="shared" si="23"/>
        <v>431.4986559139785</v>
      </c>
      <c r="Q108" s="126">
        <f t="shared" si="23"/>
        <v>243.15619257625872</v>
      </c>
      <c r="R108" s="126">
        <f t="shared" si="23"/>
        <v>93.617427385892114</v>
      </c>
      <c r="S108" s="126">
        <f t="shared" si="23"/>
        <v>26.3046875</v>
      </c>
      <c r="T108" s="126">
        <f t="shared" si="23"/>
        <v>2630.4810880919831</v>
      </c>
    </row>
    <row r="109" spans="1:20" x14ac:dyDescent="0.3">
      <c r="B109">
        <v>10</v>
      </c>
      <c r="C109">
        <v>510</v>
      </c>
      <c r="D109">
        <v>749</v>
      </c>
      <c r="E109">
        <v>569</v>
      </c>
      <c r="F109">
        <v>389</v>
      </c>
      <c r="G109">
        <v>224</v>
      </c>
      <c r="H109">
        <v>121</v>
      </c>
      <c r="I109" s="51">
        <v>15</v>
      </c>
      <c r="J109" s="51">
        <v>2596</v>
      </c>
      <c r="L109">
        <f t="shared" si="24"/>
        <v>10</v>
      </c>
      <c r="M109" s="126">
        <f t="shared" si="25"/>
        <v>512.80715549439753</v>
      </c>
      <c r="N109" s="126">
        <f t="shared" si="23"/>
        <v>752.30901492537316</v>
      </c>
      <c r="O109" s="126">
        <f t="shared" si="23"/>
        <v>570.63793379177991</v>
      </c>
      <c r="P109" s="126">
        <f t="shared" si="23"/>
        <v>391.26568100358423</v>
      </c>
      <c r="Q109" s="126">
        <f t="shared" si="23"/>
        <v>225.0701947813304</v>
      </c>
      <c r="R109" s="126">
        <f t="shared" si="23"/>
        <v>121.80331950207469</v>
      </c>
      <c r="S109" s="126">
        <f t="shared" si="23"/>
        <v>15.17578125</v>
      </c>
      <c r="T109" s="126">
        <f t="shared" si="23"/>
        <v>2608.3762049987731</v>
      </c>
    </row>
    <row r="110" spans="1:20" x14ac:dyDescent="0.3">
      <c r="B110">
        <v>11</v>
      </c>
      <c r="C110">
        <v>513</v>
      </c>
      <c r="D110">
        <v>760</v>
      </c>
      <c r="E110">
        <v>520</v>
      </c>
      <c r="F110">
        <v>419</v>
      </c>
      <c r="G110">
        <v>251</v>
      </c>
      <c r="H110">
        <v>93</v>
      </c>
      <c r="I110" s="51">
        <v>24</v>
      </c>
      <c r="J110" s="51">
        <v>2601</v>
      </c>
      <c r="L110">
        <f t="shared" si="24"/>
        <v>11</v>
      </c>
      <c r="M110" s="126">
        <f t="shared" si="25"/>
        <v>515.82366817377624</v>
      </c>
      <c r="N110" s="126">
        <f t="shared" si="23"/>
        <v>763.35761194029851</v>
      </c>
      <c r="O110" s="126">
        <f t="shared" si="23"/>
        <v>521.49688149688154</v>
      </c>
      <c r="P110" s="126">
        <f t="shared" si="23"/>
        <v>421.44041218637994</v>
      </c>
      <c r="Q110" s="126">
        <f t="shared" si="23"/>
        <v>252.19919147372289</v>
      </c>
      <c r="R110" s="126">
        <f t="shared" si="23"/>
        <v>93.617427385892114</v>
      </c>
      <c r="S110" s="126">
        <f t="shared" si="23"/>
        <v>24.28125</v>
      </c>
      <c r="T110" s="126">
        <f t="shared" si="23"/>
        <v>2613.4000420654115</v>
      </c>
    </row>
    <row r="111" spans="1:20" x14ac:dyDescent="0.3">
      <c r="B111">
        <v>12</v>
      </c>
      <c r="C111">
        <v>507</v>
      </c>
      <c r="D111">
        <v>747</v>
      </c>
      <c r="E111">
        <v>530</v>
      </c>
      <c r="F111">
        <v>408</v>
      </c>
      <c r="G111">
        <v>248</v>
      </c>
      <c r="H111">
        <v>96</v>
      </c>
      <c r="I111" s="51">
        <v>21</v>
      </c>
      <c r="J111" s="51">
        <v>2579</v>
      </c>
      <c r="L111">
        <f t="shared" si="24"/>
        <v>12</v>
      </c>
      <c r="M111" s="126">
        <f t="shared" si="25"/>
        <v>509.79064281501866</v>
      </c>
      <c r="N111" s="126">
        <f t="shared" si="23"/>
        <v>750.30017910447759</v>
      </c>
      <c r="O111" s="126">
        <f t="shared" si="23"/>
        <v>531.52566767951384</v>
      </c>
      <c r="P111" s="126">
        <f t="shared" si="23"/>
        <v>410.3763440860215</v>
      </c>
      <c r="Q111" s="126">
        <f t="shared" si="23"/>
        <v>249.18485850790151</v>
      </c>
      <c r="R111" s="126">
        <f t="shared" si="23"/>
        <v>96.637344398340247</v>
      </c>
      <c r="S111" s="126">
        <f t="shared" si="23"/>
        <v>21.24609375</v>
      </c>
      <c r="T111" s="126">
        <f t="shared" si="23"/>
        <v>2591.295158972202</v>
      </c>
    </row>
    <row r="112" spans="1:20" x14ac:dyDescent="0.3">
      <c r="B112">
        <v>99</v>
      </c>
      <c r="C112" s="193">
        <v>28</v>
      </c>
      <c r="D112" s="193">
        <v>37</v>
      </c>
      <c r="E112" s="193">
        <v>18</v>
      </c>
      <c r="F112" s="193">
        <v>26</v>
      </c>
      <c r="G112" s="193">
        <v>13</v>
      </c>
      <c r="H112" s="193">
        <v>8</v>
      </c>
      <c r="I112" s="193">
        <v>3</v>
      </c>
      <c r="J112">
        <v>136</v>
      </c>
    </row>
    <row r="114" spans="1:21" x14ac:dyDescent="0.3">
      <c r="B114" t="s">
        <v>15</v>
      </c>
      <c r="C114" s="194">
        <v>5115</v>
      </c>
      <c r="D114" s="194">
        <v>8412</v>
      </c>
      <c r="E114" s="194">
        <v>6271</v>
      </c>
      <c r="F114" s="194">
        <v>4490</v>
      </c>
      <c r="G114" s="194">
        <v>2734</v>
      </c>
      <c r="H114" s="194">
        <v>1213</v>
      </c>
      <c r="I114" s="194">
        <v>259</v>
      </c>
      <c r="J114" s="51">
        <v>28663</v>
      </c>
      <c r="L114" t="s">
        <v>15</v>
      </c>
      <c r="M114" s="126">
        <f>SUM(M100:M111)</f>
        <v>5115.0000000000009</v>
      </c>
      <c r="N114" s="126">
        <f t="shared" ref="N114:T114" si="26">SUM(N100:N111)</f>
        <v>8412</v>
      </c>
      <c r="O114" s="126">
        <f t="shared" si="26"/>
        <v>6271</v>
      </c>
      <c r="P114" s="126">
        <f t="shared" si="26"/>
        <v>4490</v>
      </c>
      <c r="Q114" s="126">
        <f t="shared" si="26"/>
        <v>2734</v>
      </c>
      <c r="R114" s="126">
        <f t="shared" si="26"/>
        <v>1213</v>
      </c>
      <c r="S114" s="126">
        <f t="shared" si="26"/>
        <v>259</v>
      </c>
      <c r="T114" s="126">
        <f t="shared" si="26"/>
        <v>28663.000000000004</v>
      </c>
    </row>
    <row r="115" spans="1:21" x14ac:dyDescent="0.3">
      <c r="J115" s="51"/>
      <c r="M115" s="51">
        <f>C114</f>
        <v>5115</v>
      </c>
      <c r="N115" s="51">
        <f t="shared" ref="N115:T115" si="27">D114</f>
        <v>8412</v>
      </c>
      <c r="O115" s="51">
        <f t="shared" si="27"/>
        <v>6271</v>
      </c>
      <c r="P115" s="51">
        <f t="shared" si="27"/>
        <v>4490</v>
      </c>
      <c r="Q115" s="51">
        <f t="shared" si="27"/>
        <v>2734</v>
      </c>
      <c r="R115" s="51">
        <f t="shared" si="27"/>
        <v>1213</v>
      </c>
      <c r="S115" s="51">
        <f t="shared" si="27"/>
        <v>259</v>
      </c>
      <c r="T115" s="51">
        <f t="shared" si="27"/>
        <v>28663</v>
      </c>
      <c r="U115" s="51"/>
    </row>
    <row r="116" spans="1:21" x14ac:dyDescent="0.3">
      <c r="J116" s="51"/>
      <c r="M116" s="51"/>
      <c r="N116" s="51"/>
      <c r="O116" s="51"/>
      <c r="P116" s="51"/>
      <c r="Q116" s="51"/>
      <c r="R116" s="51"/>
      <c r="S116" s="51"/>
      <c r="T116" s="51"/>
      <c r="U116" s="51"/>
    </row>
    <row r="117" spans="1:21" x14ac:dyDescent="0.3">
      <c r="J117" s="51"/>
      <c r="M117" s="51"/>
      <c r="N117" s="51"/>
      <c r="O117" s="51"/>
      <c r="P117" s="51"/>
      <c r="Q117" s="51"/>
      <c r="R117" s="51"/>
      <c r="S117" s="51"/>
      <c r="T117" s="51"/>
      <c r="U117" s="51"/>
    </row>
    <row r="118" spans="1:21" x14ac:dyDescent="0.3">
      <c r="A118">
        <v>2018</v>
      </c>
      <c r="B118" t="s">
        <v>165</v>
      </c>
      <c r="C118" s="110" t="s">
        <v>155</v>
      </c>
      <c r="D118" s="110" t="s">
        <v>156</v>
      </c>
      <c r="E118" s="110" t="s">
        <v>38</v>
      </c>
      <c r="F118" s="110" t="s">
        <v>157</v>
      </c>
      <c r="G118" s="110" t="s">
        <v>39</v>
      </c>
      <c r="H118" s="110" t="s">
        <v>158</v>
      </c>
      <c r="I118" s="110" t="s">
        <v>159</v>
      </c>
      <c r="L118">
        <v>2004</v>
      </c>
      <c r="M118" s="110" t="s">
        <v>155</v>
      </c>
      <c r="N118" s="110" t="s">
        <v>156</v>
      </c>
      <c r="O118" s="110" t="s">
        <v>38</v>
      </c>
      <c r="P118" s="110" t="s">
        <v>157</v>
      </c>
      <c r="Q118" s="110" t="s">
        <v>39</v>
      </c>
      <c r="R118" s="110" t="s">
        <v>158</v>
      </c>
      <c r="S118" s="110" t="s">
        <v>159</v>
      </c>
      <c r="T118" s="110" t="s">
        <v>15</v>
      </c>
    </row>
    <row r="120" spans="1:21" x14ac:dyDescent="0.3">
      <c r="B120">
        <v>1</v>
      </c>
      <c r="C120">
        <v>425</v>
      </c>
      <c r="D120">
        <v>639</v>
      </c>
      <c r="E120">
        <v>494</v>
      </c>
      <c r="F120">
        <v>372</v>
      </c>
      <c r="G120">
        <v>218</v>
      </c>
      <c r="H120">
        <v>91</v>
      </c>
      <c r="I120" s="51">
        <v>12</v>
      </c>
      <c r="J120" s="195">
        <v>2262</v>
      </c>
      <c r="L120">
        <f>B120</f>
        <v>1</v>
      </c>
      <c r="M120" s="126">
        <f>C120+((C120/(C$134-C$132))*C$132)</f>
        <v>426.64888457807956</v>
      </c>
      <c r="N120" s="126">
        <f t="shared" ref="N120:T131" si="28">D120+((D120/(D$134-D$132))*D$132)</f>
        <v>642.15011091939857</v>
      </c>
      <c r="O120" s="126">
        <f t="shared" si="28"/>
        <v>497.32436069986539</v>
      </c>
      <c r="P120" s="126">
        <f t="shared" si="28"/>
        <v>374.2919431279621</v>
      </c>
      <c r="Q120" s="126">
        <f t="shared" si="28"/>
        <v>218.8549019607843</v>
      </c>
      <c r="R120" s="126">
        <f t="shared" si="28"/>
        <v>91.507434944237914</v>
      </c>
      <c r="S120" s="126">
        <f>I120+((I120/(I$134-I$132))*I$132)</f>
        <v>12</v>
      </c>
      <c r="T120" s="126">
        <f t="shared" si="28"/>
        <v>2274.1774452911977</v>
      </c>
    </row>
    <row r="121" spans="1:21" x14ac:dyDescent="0.3">
      <c r="B121">
        <v>2</v>
      </c>
      <c r="C121">
        <v>436</v>
      </c>
      <c r="D121">
        <v>583</v>
      </c>
      <c r="E121">
        <v>450</v>
      </c>
      <c r="F121">
        <v>287</v>
      </c>
      <c r="G121">
        <v>176</v>
      </c>
      <c r="H121">
        <v>74</v>
      </c>
      <c r="I121" s="51">
        <v>7</v>
      </c>
      <c r="J121" s="195">
        <v>2036</v>
      </c>
      <c r="L121">
        <f t="shared" ref="L121:L131" si="29">B121</f>
        <v>2</v>
      </c>
      <c r="M121" s="126">
        <f t="shared" ref="M121:M131" si="30">C121+((C121/(C$134-C$132))*C$132)</f>
        <v>437.69156159068865</v>
      </c>
      <c r="N121" s="126">
        <f t="shared" si="28"/>
        <v>585.87404486073456</v>
      </c>
      <c r="O121" s="126">
        <f t="shared" si="28"/>
        <v>453.02826379542398</v>
      </c>
      <c r="P121" s="126">
        <f t="shared" si="28"/>
        <v>288.76824644549765</v>
      </c>
      <c r="Q121" s="126">
        <f t="shared" si="28"/>
        <v>176.69019607843137</v>
      </c>
      <c r="R121" s="126">
        <f t="shared" si="28"/>
        <v>74.412639405204459</v>
      </c>
      <c r="S121" s="126">
        <f t="shared" si="28"/>
        <v>7</v>
      </c>
      <c r="T121" s="126">
        <f t="shared" si="28"/>
        <v>2046.9607774592744</v>
      </c>
    </row>
    <row r="122" spans="1:21" x14ac:dyDescent="0.3">
      <c r="B122">
        <v>3</v>
      </c>
      <c r="C122">
        <v>532</v>
      </c>
      <c r="D122">
        <v>674</v>
      </c>
      <c r="E122">
        <v>481</v>
      </c>
      <c r="F122">
        <v>350</v>
      </c>
      <c r="G122">
        <v>202</v>
      </c>
      <c r="H122">
        <v>91</v>
      </c>
      <c r="I122" s="51">
        <v>19</v>
      </c>
      <c r="J122" s="195">
        <v>2369</v>
      </c>
      <c r="L122">
        <f t="shared" si="29"/>
        <v>3</v>
      </c>
      <c r="M122" s="126">
        <f t="shared" si="30"/>
        <v>534.06401551891372</v>
      </c>
      <c r="N122" s="126">
        <f t="shared" si="28"/>
        <v>677.32265220606359</v>
      </c>
      <c r="O122" s="126">
        <f t="shared" si="28"/>
        <v>484.23687752355318</v>
      </c>
      <c r="P122" s="126">
        <f t="shared" si="28"/>
        <v>352.15639810426541</v>
      </c>
      <c r="Q122" s="126">
        <f t="shared" si="28"/>
        <v>202.79215686274509</v>
      </c>
      <c r="R122" s="126">
        <f t="shared" si="28"/>
        <v>91.507434944237914</v>
      </c>
      <c r="S122" s="126">
        <f t="shared" si="28"/>
        <v>19</v>
      </c>
      <c r="T122" s="126">
        <f t="shared" si="28"/>
        <v>2381.7534782912676</v>
      </c>
    </row>
    <row r="123" spans="1:21" x14ac:dyDescent="0.3">
      <c r="B123">
        <v>4</v>
      </c>
      <c r="C123">
        <v>512</v>
      </c>
      <c r="D123">
        <v>626</v>
      </c>
      <c r="E123">
        <v>453</v>
      </c>
      <c r="F123">
        <v>300</v>
      </c>
      <c r="G123">
        <v>210</v>
      </c>
      <c r="H123">
        <v>80</v>
      </c>
      <c r="I123" s="51">
        <v>17</v>
      </c>
      <c r="J123" s="195">
        <v>2221</v>
      </c>
      <c r="L123">
        <f t="shared" si="29"/>
        <v>4</v>
      </c>
      <c r="M123" s="126">
        <f t="shared" si="30"/>
        <v>513.98642095053344</v>
      </c>
      <c r="N123" s="126">
        <f t="shared" si="28"/>
        <v>629.08602415578014</v>
      </c>
      <c r="O123" s="126">
        <f t="shared" si="28"/>
        <v>456.0484522207268</v>
      </c>
      <c r="P123" s="126">
        <f t="shared" si="28"/>
        <v>301.84834123222748</v>
      </c>
      <c r="Q123" s="126">
        <f t="shared" si="28"/>
        <v>210.8235294117647</v>
      </c>
      <c r="R123" s="126">
        <f t="shared" si="28"/>
        <v>80.446096654275095</v>
      </c>
      <c r="S123" s="126">
        <f t="shared" si="28"/>
        <v>17</v>
      </c>
      <c r="T123" s="126">
        <f t="shared" si="28"/>
        <v>2232.9567223659374</v>
      </c>
    </row>
    <row r="124" spans="1:21" x14ac:dyDescent="0.3">
      <c r="B124">
        <v>5</v>
      </c>
      <c r="C124">
        <v>466</v>
      </c>
      <c r="D124">
        <v>604</v>
      </c>
      <c r="E124">
        <v>429</v>
      </c>
      <c r="F124">
        <v>329</v>
      </c>
      <c r="G124">
        <v>182</v>
      </c>
      <c r="H124">
        <v>76</v>
      </c>
      <c r="I124" s="51">
        <v>19</v>
      </c>
      <c r="J124" s="195">
        <v>2137</v>
      </c>
      <c r="L124">
        <f t="shared" si="29"/>
        <v>5</v>
      </c>
      <c r="M124" s="126">
        <f t="shared" si="30"/>
        <v>467.80795344325895</v>
      </c>
      <c r="N124" s="126">
        <f t="shared" si="28"/>
        <v>606.97756963273355</v>
      </c>
      <c r="O124" s="126">
        <f t="shared" si="28"/>
        <v>431.88694481830419</v>
      </c>
      <c r="P124" s="126">
        <f t="shared" si="28"/>
        <v>331.02701421800947</v>
      </c>
      <c r="Q124" s="126">
        <f t="shared" si="28"/>
        <v>182.71372549019608</v>
      </c>
      <c r="R124" s="126">
        <f t="shared" si="28"/>
        <v>76.423791821561338</v>
      </c>
      <c r="S124" s="126">
        <f t="shared" si="28"/>
        <v>19</v>
      </c>
      <c r="T124" s="126">
        <f t="shared" si="28"/>
        <v>2148.5045095434525</v>
      </c>
    </row>
    <row r="125" spans="1:21" x14ac:dyDescent="0.3">
      <c r="B125">
        <v>6</v>
      </c>
      <c r="C125">
        <v>378</v>
      </c>
      <c r="D125">
        <v>519</v>
      </c>
      <c r="E125">
        <v>337</v>
      </c>
      <c r="F125">
        <v>264</v>
      </c>
      <c r="G125">
        <v>155</v>
      </c>
      <c r="H125">
        <v>48</v>
      </c>
      <c r="I125" s="51">
        <v>14</v>
      </c>
      <c r="J125" s="195">
        <v>1729</v>
      </c>
      <c r="L125">
        <f t="shared" si="29"/>
        <v>6</v>
      </c>
      <c r="M125" s="126">
        <f t="shared" si="30"/>
        <v>379.466537342386</v>
      </c>
      <c r="N125" s="126">
        <f t="shared" si="28"/>
        <v>521.55854079368987</v>
      </c>
      <c r="O125" s="126">
        <f t="shared" si="28"/>
        <v>339.26783310901749</v>
      </c>
      <c r="P125" s="126">
        <f t="shared" si="28"/>
        <v>265.6265402843602</v>
      </c>
      <c r="Q125" s="126">
        <f t="shared" si="28"/>
        <v>155.60784313725489</v>
      </c>
      <c r="R125" s="126">
        <f t="shared" si="28"/>
        <v>48.267657992565056</v>
      </c>
      <c r="S125" s="126">
        <f t="shared" si="28"/>
        <v>14</v>
      </c>
      <c r="T125" s="126">
        <f t="shared" si="28"/>
        <v>1738.3080472628119</v>
      </c>
    </row>
    <row r="126" spans="1:21" x14ac:dyDescent="0.3">
      <c r="B126">
        <v>7</v>
      </c>
      <c r="C126">
        <v>218</v>
      </c>
      <c r="D126">
        <v>278</v>
      </c>
      <c r="E126">
        <v>210</v>
      </c>
      <c r="F126">
        <v>118</v>
      </c>
      <c r="G126">
        <v>75</v>
      </c>
      <c r="H126">
        <v>36</v>
      </c>
      <c r="I126" s="51">
        <v>7</v>
      </c>
      <c r="J126" s="195">
        <v>955</v>
      </c>
      <c r="L126">
        <f t="shared" si="29"/>
        <v>7</v>
      </c>
      <c r="M126" s="126">
        <f t="shared" si="30"/>
        <v>218.84578079534433</v>
      </c>
      <c r="N126" s="126">
        <f t="shared" si="28"/>
        <v>279.37047079122505</v>
      </c>
      <c r="O126" s="126">
        <f t="shared" si="28"/>
        <v>211.41318977119784</v>
      </c>
      <c r="P126" s="126">
        <f t="shared" si="28"/>
        <v>118.72701421800947</v>
      </c>
      <c r="Q126" s="126">
        <f t="shared" si="28"/>
        <v>75.294117647058826</v>
      </c>
      <c r="R126" s="126">
        <f t="shared" si="28"/>
        <v>36.20074349442379</v>
      </c>
      <c r="S126" s="126">
        <f t="shared" si="28"/>
        <v>7</v>
      </c>
      <c r="T126" s="126">
        <f t="shared" si="28"/>
        <v>960.14122911277354</v>
      </c>
    </row>
    <row r="127" spans="1:21" x14ac:dyDescent="0.3">
      <c r="B127">
        <v>8</v>
      </c>
      <c r="C127">
        <v>67</v>
      </c>
      <c r="D127">
        <v>68</v>
      </c>
      <c r="E127">
        <v>55</v>
      </c>
      <c r="F127">
        <v>40</v>
      </c>
      <c r="G127">
        <v>27</v>
      </c>
      <c r="H127">
        <v>13</v>
      </c>
      <c r="I127" s="51">
        <v>10</v>
      </c>
      <c r="J127" s="195">
        <v>283</v>
      </c>
      <c r="L127">
        <f t="shared" si="29"/>
        <v>8</v>
      </c>
      <c r="M127" s="126">
        <f t="shared" si="30"/>
        <v>67.259941804073719</v>
      </c>
      <c r="N127" s="126">
        <f t="shared" si="28"/>
        <v>68.335223071234907</v>
      </c>
      <c r="O127" s="126">
        <f t="shared" si="28"/>
        <v>55.370121130551816</v>
      </c>
      <c r="P127" s="126">
        <f t="shared" si="28"/>
        <v>40.246445497630333</v>
      </c>
      <c r="Q127" s="126">
        <f t="shared" si="28"/>
        <v>27.105882352941176</v>
      </c>
      <c r="R127" s="126">
        <f t="shared" si="28"/>
        <v>13.072490706319703</v>
      </c>
      <c r="S127" s="126">
        <f t="shared" si="28"/>
        <v>10</v>
      </c>
      <c r="T127" s="126">
        <f t="shared" si="28"/>
        <v>284.52352653289518</v>
      </c>
    </row>
    <row r="128" spans="1:21" x14ac:dyDescent="0.3">
      <c r="B128">
        <v>9</v>
      </c>
      <c r="C128">
        <v>19</v>
      </c>
      <c r="D128">
        <v>19</v>
      </c>
      <c r="E128">
        <v>18</v>
      </c>
      <c r="F128">
        <v>15</v>
      </c>
      <c r="G128">
        <v>7</v>
      </c>
      <c r="H128">
        <v>8</v>
      </c>
      <c r="I128" s="51">
        <v>2</v>
      </c>
      <c r="J128" s="195">
        <v>88</v>
      </c>
      <c r="L128">
        <f t="shared" si="29"/>
        <v>9</v>
      </c>
      <c r="M128" s="126">
        <f t="shared" si="30"/>
        <v>19.073714839961202</v>
      </c>
      <c r="N128" s="126">
        <f t="shared" si="28"/>
        <v>19.09366526990387</v>
      </c>
      <c r="O128" s="126">
        <f t="shared" si="28"/>
        <v>18.121130551816957</v>
      </c>
      <c r="P128" s="126">
        <f t="shared" si="28"/>
        <v>15.092417061611375</v>
      </c>
      <c r="Q128" s="126">
        <f t="shared" si="28"/>
        <v>7.0274509803921568</v>
      </c>
      <c r="R128" s="126">
        <f t="shared" si="28"/>
        <v>8.0446096654275099</v>
      </c>
      <c r="S128" s="126">
        <f t="shared" si="28"/>
        <v>2</v>
      </c>
      <c r="T128" s="126">
        <f t="shared" si="28"/>
        <v>88.473746766412646</v>
      </c>
    </row>
    <row r="129" spans="1:20" x14ac:dyDescent="0.3">
      <c r="B129">
        <v>10</v>
      </c>
      <c r="C129">
        <v>12</v>
      </c>
      <c r="D129">
        <v>16</v>
      </c>
      <c r="E129">
        <v>8</v>
      </c>
      <c r="F129">
        <v>15</v>
      </c>
      <c r="G129">
        <v>8</v>
      </c>
      <c r="H129">
        <v>3</v>
      </c>
      <c r="I129" s="51">
        <v>3</v>
      </c>
      <c r="J129" s="195">
        <v>65</v>
      </c>
      <c r="L129">
        <f t="shared" si="29"/>
        <v>10</v>
      </c>
      <c r="M129" s="126">
        <f t="shared" si="30"/>
        <v>12.046556741028128</v>
      </c>
      <c r="N129" s="126">
        <f t="shared" si="28"/>
        <v>16.078876016761154</v>
      </c>
      <c r="O129" s="126">
        <f t="shared" si="28"/>
        <v>8.053835800807537</v>
      </c>
      <c r="P129" s="126">
        <f t="shared" si="28"/>
        <v>15.092417061611375</v>
      </c>
      <c r="Q129" s="126">
        <f t="shared" si="28"/>
        <v>8.0313725490196077</v>
      </c>
      <c r="R129" s="126">
        <f t="shared" si="28"/>
        <v>3.016728624535316</v>
      </c>
      <c r="S129" s="126">
        <f t="shared" si="28"/>
        <v>3</v>
      </c>
      <c r="T129" s="126">
        <f t="shared" si="28"/>
        <v>65.349926588827515</v>
      </c>
    </row>
    <row r="130" spans="1:20" x14ac:dyDescent="0.3">
      <c r="B130">
        <v>11</v>
      </c>
      <c r="C130">
        <v>12</v>
      </c>
      <c r="D130">
        <v>16</v>
      </c>
      <c r="E130">
        <v>18</v>
      </c>
      <c r="F130">
        <v>8</v>
      </c>
      <c r="G130">
        <v>9</v>
      </c>
      <c r="H130">
        <v>9</v>
      </c>
      <c r="I130" s="51">
        <v>4</v>
      </c>
      <c r="J130" s="195">
        <v>78</v>
      </c>
      <c r="L130">
        <f t="shared" si="29"/>
        <v>11</v>
      </c>
      <c r="M130" s="126">
        <f t="shared" si="30"/>
        <v>12.046556741028128</v>
      </c>
      <c r="N130" s="126">
        <f t="shared" si="28"/>
        <v>16.078876016761154</v>
      </c>
      <c r="O130" s="126">
        <f t="shared" si="28"/>
        <v>18.121130551816957</v>
      </c>
      <c r="P130" s="126">
        <f t="shared" si="28"/>
        <v>8.0492890995260655</v>
      </c>
      <c r="Q130" s="126">
        <f t="shared" si="28"/>
        <v>9.0352941176470587</v>
      </c>
      <c r="R130" s="126">
        <f t="shared" si="28"/>
        <v>9.0501858736059475</v>
      </c>
      <c r="S130" s="126">
        <f t="shared" si="28"/>
        <v>4</v>
      </c>
      <c r="T130" s="126">
        <f t="shared" si="28"/>
        <v>78.419911906593029</v>
      </c>
    </row>
    <row r="131" spans="1:20" x14ac:dyDescent="0.3">
      <c r="B131">
        <v>12</v>
      </c>
      <c r="C131">
        <v>16</v>
      </c>
      <c r="D131">
        <v>15</v>
      </c>
      <c r="E131">
        <v>19</v>
      </c>
      <c r="F131">
        <v>12</v>
      </c>
      <c r="G131">
        <v>6</v>
      </c>
      <c r="H131">
        <v>9</v>
      </c>
      <c r="I131" s="51">
        <v>2</v>
      </c>
      <c r="J131" s="195">
        <v>80</v>
      </c>
      <c r="L131">
        <f t="shared" si="29"/>
        <v>12</v>
      </c>
      <c r="M131" s="126">
        <f t="shared" si="30"/>
        <v>16.06207565470417</v>
      </c>
      <c r="N131" s="126">
        <f t="shared" si="28"/>
        <v>15.073946265713582</v>
      </c>
      <c r="O131" s="126">
        <f t="shared" si="28"/>
        <v>19.127860026917901</v>
      </c>
      <c r="P131" s="126">
        <f t="shared" si="28"/>
        <v>12.073933649289099</v>
      </c>
      <c r="Q131" s="126">
        <f t="shared" si="28"/>
        <v>6.0235294117647058</v>
      </c>
      <c r="R131" s="126">
        <f t="shared" si="28"/>
        <v>9.0501858736059475</v>
      </c>
      <c r="S131" s="126">
        <f t="shared" si="28"/>
        <v>2</v>
      </c>
      <c r="T131" s="126">
        <f t="shared" si="28"/>
        <v>80.430678878556947</v>
      </c>
    </row>
    <row r="132" spans="1:20" x14ac:dyDescent="0.3">
      <c r="B132">
        <v>99</v>
      </c>
      <c r="C132" s="193">
        <v>12</v>
      </c>
      <c r="D132" s="193">
        <v>20</v>
      </c>
      <c r="E132" s="193">
        <v>20</v>
      </c>
      <c r="F132" s="193">
        <v>13</v>
      </c>
      <c r="G132" s="193">
        <v>5</v>
      </c>
      <c r="H132" s="193">
        <v>3</v>
      </c>
      <c r="I132" s="193">
        <v>0</v>
      </c>
      <c r="J132" s="196">
        <v>77</v>
      </c>
    </row>
    <row r="133" spans="1:20" x14ac:dyDescent="0.3">
      <c r="J133" s="51"/>
    </row>
    <row r="134" spans="1:20" x14ac:dyDescent="0.3">
      <c r="B134" t="s">
        <v>15</v>
      </c>
      <c r="C134" s="194">
        <v>3105</v>
      </c>
      <c r="D134" s="194">
        <v>4077</v>
      </c>
      <c r="E134" s="194">
        <v>2992</v>
      </c>
      <c r="F134" s="194">
        <v>2123</v>
      </c>
      <c r="G134" s="194">
        <v>1280</v>
      </c>
      <c r="H134" s="194">
        <v>541</v>
      </c>
      <c r="I134" s="194">
        <v>116</v>
      </c>
      <c r="J134" s="197">
        <v>14380</v>
      </c>
      <c r="L134" t="s">
        <v>15</v>
      </c>
      <c r="M134" s="126">
        <f>SUM(M120:M131)</f>
        <v>3105</v>
      </c>
      <c r="N134" s="126">
        <f t="shared" ref="N134:T134" si="31">SUM(N120:N131)</f>
        <v>4076.9999999999995</v>
      </c>
      <c r="O134" s="126">
        <f t="shared" si="31"/>
        <v>2991.9999999999995</v>
      </c>
      <c r="P134" s="126">
        <f t="shared" si="31"/>
        <v>2123</v>
      </c>
      <c r="Q134" s="126">
        <f t="shared" si="31"/>
        <v>1279.9999999999995</v>
      </c>
      <c r="R134" s="126">
        <f t="shared" si="31"/>
        <v>540.99999999999989</v>
      </c>
      <c r="S134" s="126">
        <f t="shared" si="31"/>
        <v>116</v>
      </c>
      <c r="T134" s="126">
        <f t="shared" si="31"/>
        <v>14379.999999999998</v>
      </c>
    </row>
    <row r="135" spans="1:20" x14ac:dyDescent="0.3">
      <c r="M135" s="51">
        <f>C134</f>
        <v>3105</v>
      </c>
      <c r="N135" s="51">
        <f t="shared" ref="N135:T135" si="32">D134</f>
        <v>4077</v>
      </c>
      <c r="O135" s="51">
        <f t="shared" si="32"/>
        <v>2992</v>
      </c>
      <c r="P135" s="51">
        <f t="shared" si="32"/>
        <v>2123</v>
      </c>
      <c r="Q135" s="51">
        <f t="shared" si="32"/>
        <v>1280</v>
      </c>
      <c r="R135" s="51">
        <f t="shared" si="32"/>
        <v>541</v>
      </c>
      <c r="S135" s="51">
        <f t="shared" si="32"/>
        <v>116</v>
      </c>
      <c r="T135" s="51">
        <f t="shared" si="32"/>
        <v>14380</v>
      </c>
    </row>
    <row r="136" spans="1:20" x14ac:dyDescent="0.3">
      <c r="A136" t="s">
        <v>166</v>
      </c>
      <c r="C136" s="110" t="s">
        <v>155</v>
      </c>
      <c r="D136" s="110" t="s">
        <v>156</v>
      </c>
      <c r="E136" s="110" t="s">
        <v>38</v>
      </c>
      <c r="F136" s="110" t="s">
        <v>157</v>
      </c>
      <c r="G136" s="110" t="s">
        <v>39</v>
      </c>
      <c r="H136" s="110" t="s">
        <v>158</v>
      </c>
      <c r="I136" s="110" t="s">
        <v>159</v>
      </c>
      <c r="M136" s="110" t="s">
        <v>155</v>
      </c>
      <c r="N136" s="110" t="s">
        <v>156</v>
      </c>
      <c r="O136" s="110" t="s">
        <v>38</v>
      </c>
      <c r="P136" s="110" t="s">
        <v>157</v>
      </c>
      <c r="Q136" s="110" t="s">
        <v>39</v>
      </c>
      <c r="R136" s="110" t="s">
        <v>158</v>
      </c>
      <c r="S136" s="110" t="s">
        <v>159</v>
      </c>
    </row>
    <row r="137" spans="1:20" x14ac:dyDescent="0.3">
      <c r="C137">
        <f>C106+C107+C108+C109+C110+C111+C120+C121+C122+C123+C124+C125+C12</f>
        <v>5642</v>
      </c>
      <c r="D137">
        <f t="shared" ref="D137:I137" si="33">D106+D107+D108+D109+D110+D111+D120+D121+D122+D123+D124+D125+D12</f>
        <v>8135</v>
      </c>
      <c r="E137">
        <f t="shared" si="33"/>
        <v>5868</v>
      </c>
      <c r="F137">
        <f t="shared" si="33"/>
        <v>4305</v>
      </c>
      <c r="G137">
        <f t="shared" si="33"/>
        <v>2536</v>
      </c>
      <c r="H137">
        <f t="shared" si="33"/>
        <v>1072</v>
      </c>
      <c r="I137">
        <f t="shared" si="33"/>
        <v>217</v>
      </c>
      <c r="J137">
        <f>J106+J107+J108+J109+J110+J111+J120+J121+J122+J123+J124+J125+J12</f>
        <v>28004</v>
      </c>
      <c r="M137" s="126">
        <f>M106+M107+M108+M109+M110+M111+M120+M121+M122+M123+M124+M125</f>
        <v>5668.5891005714911</v>
      </c>
      <c r="N137" s="126">
        <f>N106+N107+N108+N109+N110+N111+N120+N121+N122+N123+N124+N125</f>
        <v>8172.8053604788474</v>
      </c>
      <c r="O137" s="126">
        <f t="shared" ref="O137:S137" si="34">O106+O107+O108+O109+O110+O111+O120+O121+O122+O123+O124+O125</f>
        <v>5895.073397447557</v>
      </c>
      <c r="P137" s="126">
        <f t="shared" si="34"/>
        <v>4330.7144511542583</v>
      </c>
      <c r="Q137" s="126">
        <f t="shared" si="34"/>
        <v>2547.1376267375745</v>
      </c>
      <c r="R137" s="126">
        <f t="shared" si="34"/>
        <v>1078.628126301501</v>
      </c>
      <c r="S137" s="126">
        <f t="shared" si="34"/>
        <v>218.51171875</v>
      </c>
      <c r="T137" s="126">
        <f>T106+T107+T108+T109+T110+T111+T120+T121+T122+T123+T124+T125</f>
        <v>28145.364033461738</v>
      </c>
    </row>
    <row r="138" spans="1:20" x14ac:dyDescent="0.3">
      <c r="B138" t="s">
        <v>167</v>
      </c>
      <c r="C138">
        <v>5642</v>
      </c>
      <c r="D138">
        <v>8135</v>
      </c>
      <c r="E138">
        <v>5868</v>
      </c>
      <c r="F138">
        <v>4305</v>
      </c>
      <c r="G138">
        <v>2536</v>
      </c>
      <c r="H138">
        <v>1072</v>
      </c>
      <c r="I138">
        <v>217</v>
      </c>
    </row>
    <row r="139" spans="1:20" x14ac:dyDescent="0.3">
      <c r="C139" t="s">
        <v>155</v>
      </c>
      <c r="D139" t="s">
        <v>156</v>
      </c>
      <c r="E139" t="s">
        <v>38</v>
      </c>
      <c r="F139" t="s">
        <v>157</v>
      </c>
      <c r="G139" t="s">
        <v>39</v>
      </c>
      <c r="H139" t="s">
        <v>158</v>
      </c>
      <c r="I139" t="s">
        <v>159</v>
      </c>
    </row>
    <row r="140" spans="1:20" x14ac:dyDescent="0.3">
      <c r="C140" s="126">
        <f>M137</f>
        <v>5668.5891005714911</v>
      </c>
      <c r="D140" s="126">
        <f t="shared" ref="D140:J140" si="35">N137</f>
        <v>8172.8053604788474</v>
      </c>
      <c r="E140" s="126">
        <f t="shared" si="35"/>
        <v>5895.073397447557</v>
      </c>
      <c r="F140" s="126">
        <f t="shared" si="35"/>
        <v>4330.7144511542583</v>
      </c>
      <c r="G140" s="126">
        <f t="shared" si="35"/>
        <v>2547.1376267375745</v>
      </c>
      <c r="H140" s="126">
        <f t="shared" si="35"/>
        <v>1078.628126301501</v>
      </c>
      <c r="I140" s="126">
        <f t="shared" si="35"/>
        <v>218.51171875</v>
      </c>
      <c r="J140" s="126">
        <f t="shared" si="35"/>
        <v>28145.364033461738</v>
      </c>
    </row>
    <row r="142" spans="1:20" x14ac:dyDescent="0.3">
      <c r="C142" s="126">
        <v>5668.5891005714911</v>
      </c>
      <c r="D142" s="126">
        <v>8172.8053604788474</v>
      </c>
      <c r="E142" s="126">
        <v>5895.073397447557</v>
      </c>
      <c r="F142" s="126">
        <v>4330.7144511542583</v>
      </c>
      <c r="G142" s="126">
        <v>2547.1376267375745</v>
      </c>
      <c r="H142" s="126">
        <v>1078.628126301501</v>
      </c>
      <c r="I142" s="126">
        <v>218.51171875</v>
      </c>
      <c r="J142" s="126">
        <v>28145.364033461738</v>
      </c>
    </row>
    <row r="144" spans="1:20" x14ac:dyDescent="0.3">
      <c r="A144" s="239" t="s">
        <v>168</v>
      </c>
      <c r="B144" s="239"/>
    </row>
    <row r="147" spans="1:2" x14ac:dyDescent="0.3">
      <c r="A147" t="s">
        <v>155</v>
      </c>
      <c r="B147" s="126">
        <v>5668.5891005714911</v>
      </c>
    </row>
    <row r="148" spans="1:2" x14ac:dyDescent="0.3">
      <c r="A148" t="s">
        <v>156</v>
      </c>
      <c r="B148" s="126">
        <v>8172.8053604788474</v>
      </c>
    </row>
    <row r="149" spans="1:2" x14ac:dyDescent="0.3">
      <c r="A149" t="s">
        <v>38</v>
      </c>
      <c r="B149" s="126">
        <v>5895.073397447557</v>
      </c>
    </row>
    <row r="150" spans="1:2" x14ac:dyDescent="0.3">
      <c r="A150" t="s">
        <v>157</v>
      </c>
      <c r="B150" s="126">
        <v>4330.7144511542583</v>
      </c>
    </row>
    <row r="151" spans="1:2" x14ac:dyDescent="0.3">
      <c r="A151" t="s">
        <v>39</v>
      </c>
      <c r="B151" s="126">
        <v>2547.1376267375745</v>
      </c>
    </row>
    <row r="152" spans="1:2" x14ac:dyDescent="0.3">
      <c r="A152" t="s">
        <v>158</v>
      </c>
      <c r="B152" s="126">
        <v>1078.628126301501</v>
      </c>
    </row>
    <row r="153" spans="1:2" x14ac:dyDescent="0.3">
      <c r="A153" t="s">
        <v>159</v>
      </c>
      <c r="B153" s="126">
        <v>218.51171875</v>
      </c>
    </row>
    <row r="154" spans="1:2" x14ac:dyDescent="0.3">
      <c r="B154" s="126">
        <v>28145.364033461738</v>
      </c>
    </row>
    <row r="155" spans="1:2" x14ac:dyDescent="0.3">
      <c r="B155" s="126"/>
    </row>
  </sheetData>
  <mergeCells count="35">
    <mergeCell ref="B14:E14"/>
    <mergeCell ref="M2:M3"/>
    <mergeCell ref="N2:N3"/>
    <mergeCell ref="O2:O3"/>
    <mergeCell ref="P2:P3"/>
    <mergeCell ref="B2:E2"/>
    <mergeCell ref="G2:G3"/>
    <mergeCell ref="H2:H3"/>
    <mergeCell ref="I2:I3"/>
    <mergeCell ref="J2:K2"/>
    <mergeCell ref="L2:L3"/>
    <mergeCell ref="S2:S3"/>
    <mergeCell ref="K13:K14"/>
    <mergeCell ref="L13:L14"/>
    <mergeCell ref="R13:R14"/>
    <mergeCell ref="S13:S14"/>
    <mergeCell ref="Q2:Q3"/>
    <mergeCell ref="R2:R3"/>
    <mergeCell ref="G16:O17"/>
    <mergeCell ref="Q16:T18"/>
    <mergeCell ref="V16:Y18"/>
    <mergeCell ref="H18:O18"/>
    <mergeCell ref="Q19:S20"/>
    <mergeCell ref="T19:T20"/>
    <mergeCell ref="V19:X20"/>
    <mergeCell ref="Y19:Y20"/>
    <mergeCell ref="B50:I50"/>
    <mergeCell ref="A90:G90"/>
    <mergeCell ref="A144:B144"/>
    <mergeCell ref="C25:C26"/>
    <mergeCell ref="D25:D26"/>
    <mergeCell ref="E25:E26"/>
    <mergeCell ref="A32:D32"/>
    <mergeCell ref="A34:G34"/>
    <mergeCell ref="A49:I49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5A79B-C2CE-4B4B-A334-7062F27267F6}">
  <dimension ref="A1:AA44"/>
  <sheetViews>
    <sheetView zoomScale="132" zoomScaleNormal="150" zoomScalePageLayoutView="150" workbookViewId="0">
      <selection activeCell="D16" sqref="D16:D23"/>
    </sheetView>
  </sheetViews>
  <sheetFormatPr defaultColWidth="11.19921875" defaultRowHeight="15.6" x14ac:dyDescent="0.3"/>
  <cols>
    <col min="2" max="2" width="13.5" customWidth="1"/>
    <col min="3" max="3" width="14.19921875" customWidth="1"/>
    <col min="4" max="4" width="13.796875" customWidth="1"/>
    <col min="5" max="5" width="13.69921875" customWidth="1"/>
    <col min="6" max="6" width="11.69921875" customWidth="1"/>
    <col min="7" max="7" width="15.5" customWidth="1"/>
    <col min="8" max="8" width="14.5" bestFit="1" customWidth="1"/>
    <col min="9" max="9" width="11.796875" customWidth="1"/>
    <col min="10" max="10" width="14.296875" bestFit="1" customWidth="1"/>
    <col min="15" max="15" width="14.19921875" customWidth="1"/>
    <col min="19" max="19" width="11.796875" bestFit="1" customWidth="1"/>
    <col min="21" max="21" width="13.796875" customWidth="1"/>
    <col min="25" max="25" width="13.296875" customWidth="1"/>
    <col min="32" max="32" width="11.796875" bestFit="1" customWidth="1"/>
    <col min="33" max="33" width="11.296875" customWidth="1"/>
    <col min="34" max="34" width="12.19921875" customWidth="1"/>
    <col min="35" max="35" width="11.5" customWidth="1"/>
    <col min="36" max="36" width="12" customWidth="1"/>
    <col min="37" max="37" width="11.5" customWidth="1"/>
    <col min="38" max="38" width="11.296875" customWidth="1"/>
    <col min="39" max="39" width="10.19921875" customWidth="1"/>
    <col min="40" max="40" width="11.69921875" customWidth="1"/>
    <col min="41" max="41" width="10.69921875" customWidth="1"/>
    <col min="42" max="42" width="9.296875" customWidth="1"/>
    <col min="43" max="43" width="12.796875" bestFit="1" customWidth="1"/>
    <col min="44" max="44" width="16" bestFit="1" customWidth="1"/>
    <col min="50" max="50" width="11.5" bestFit="1" customWidth="1"/>
  </cols>
  <sheetData>
    <row r="1" spans="2:25" ht="16.2" thickBot="1" x14ac:dyDescent="0.35"/>
    <row r="2" spans="2:25" x14ac:dyDescent="0.3">
      <c r="B2" s="312" t="s">
        <v>0</v>
      </c>
      <c r="C2" s="313"/>
      <c r="D2" s="313"/>
      <c r="E2" s="314"/>
      <c r="G2" s="315" t="s">
        <v>28</v>
      </c>
      <c r="H2" s="317" t="s">
        <v>14</v>
      </c>
      <c r="I2" s="319" t="s">
        <v>29</v>
      </c>
      <c r="J2" s="321" t="s">
        <v>31</v>
      </c>
      <c r="K2" s="321"/>
      <c r="L2" s="308" t="s">
        <v>25</v>
      </c>
      <c r="M2" s="308" t="s">
        <v>26</v>
      </c>
      <c r="N2" s="310" t="s">
        <v>16</v>
      </c>
      <c r="O2" s="310" t="s">
        <v>17</v>
      </c>
      <c r="P2" s="308" t="s">
        <v>41</v>
      </c>
      <c r="Q2" s="308" t="s">
        <v>40</v>
      </c>
      <c r="R2" s="308" t="s">
        <v>12</v>
      </c>
      <c r="S2" s="295" t="s">
        <v>27</v>
      </c>
    </row>
    <row r="3" spans="2:25" x14ac:dyDescent="0.3">
      <c r="B3" s="40" t="s">
        <v>1</v>
      </c>
      <c r="C3" s="47" t="s">
        <v>2</v>
      </c>
      <c r="D3" s="47" t="s">
        <v>11</v>
      </c>
      <c r="E3" s="41" t="s">
        <v>76</v>
      </c>
      <c r="G3" s="316"/>
      <c r="H3" s="318"/>
      <c r="I3" s="320"/>
      <c r="J3" s="4" t="s">
        <v>15</v>
      </c>
      <c r="K3" s="4" t="s">
        <v>30</v>
      </c>
      <c r="L3" s="309"/>
      <c r="M3" s="309"/>
      <c r="N3" s="311"/>
      <c r="O3" s="311"/>
      <c r="P3" s="309"/>
      <c r="Q3" s="309"/>
      <c r="R3" s="309"/>
      <c r="S3" s="296"/>
    </row>
    <row r="4" spans="2:25" x14ac:dyDescent="0.3">
      <c r="B4" s="48" t="s">
        <v>3</v>
      </c>
      <c r="C4" s="51">
        <v>1450506</v>
      </c>
      <c r="D4" s="51">
        <v>5864</v>
      </c>
      <c r="E4" s="49">
        <v>1169</v>
      </c>
      <c r="F4" s="51">
        <f>'Brass_No Etnic 2018 - Urban'!E4+'Brass_No Etnic 2018 - Rural'!E4</f>
        <v>1169</v>
      </c>
      <c r="G4" s="30" t="s">
        <v>84</v>
      </c>
      <c r="H4" s="3">
        <v>12</v>
      </c>
      <c r="I4" s="52">
        <f>C4</f>
        <v>1450506</v>
      </c>
      <c r="J4" s="53">
        <f>D4</f>
        <v>5864</v>
      </c>
      <c r="K4" s="54">
        <f t="shared" ref="J4:K11" si="0">E4</f>
        <v>1169</v>
      </c>
      <c r="L4" s="55">
        <f>K4/I4</f>
        <v>8.0592565628821939E-4</v>
      </c>
      <c r="M4" s="55">
        <f t="shared" ref="M4:M11" si="1">J4/I4</f>
        <v>4.0427271586604948E-3</v>
      </c>
      <c r="N4" s="55">
        <f>L4*H4</f>
        <v>9.6711078754586326E-3</v>
      </c>
      <c r="O4" s="55">
        <f>Y23</f>
        <v>1.4251318619266511</v>
      </c>
      <c r="P4" s="55">
        <f>(5*L3)+P3</f>
        <v>0</v>
      </c>
      <c r="Q4" s="55">
        <f>P4+O4*L4</f>
        <v>1.1485503311204884E-3</v>
      </c>
      <c r="R4" s="55">
        <f>M4/Q4</f>
        <v>3.5198519813376761</v>
      </c>
      <c r="S4" s="32">
        <f>$R$6*L4</f>
        <v>1.3039749203087678E-3</v>
      </c>
    </row>
    <row r="5" spans="2:25" x14ac:dyDescent="0.3">
      <c r="B5" s="48" t="s">
        <v>4</v>
      </c>
      <c r="C5" s="51">
        <v>1578038</v>
      </c>
      <c r="D5" s="51">
        <v>201049</v>
      </c>
      <c r="E5" s="85">
        <v>53533</v>
      </c>
      <c r="F5" s="51">
        <f>'Brass_No Etnic 2018 - Urban'!E5+'Brass_No Etnic 2018 - Rural'!E5</f>
        <v>53533</v>
      </c>
      <c r="G5" s="31" t="s">
        <v>18</v>
      </c>
      <c r="H5" s="50">
        <v>17</v>
      </c>
      <c r="I5" s="52">
        <f>C5</f>
        <v>1578038</v>
      </c>
      <c r="J5" s="53">
        <f>D5</f>
        <v>201049</v>
      </c>
      <c r="K5" s="54">
        <f t="shared" si="0"/>
        <v>53533</v>
      </c>
      <c r="L5" s="55">
        <f>K5/I5</f>
        <v>3.392377116393902E-2</v>
      </c>
      <c r="M5" s="55">
        <f t="shared" si="1"/>
        <v>0.12740440977973913</v>
      </c>
      <c r="N5" s="55">
        <f>L5*H5</f>
        <v>0.5767041097869634</v>
      </c>
      <c r="O5" s="55">
        <f>Y24</f>
        <v>2.4417540938125391</v>
      </c>
      <c r="P5" s="55">
        <v>0</v>
      </c>
      <c r="Q5" s="55">
        <f>P5+O5*L5</f>
        <v>8.2833507117107866E-2</v>
      </c>
      <c r="R5" s="55">
        <f>M5/Q5</f>
        <v>1.5380781789139759</v>
      </c>
      <c r="S5" s="32">
        <f>$R$6*L5</f>
        <v>5.4888123308796159E-2</v>
      </c>
    </row>
    <row r="6" spans="2:25" x14ac:dyDescent="0.3">
      <c r="B6" s="48" t="s">
        <v>5</v>
      </c>
      <c r="C6" s="51">
        <v>1675780</v>
      </c>
      <c r="D6" s="51">
        <v>925380</v>
      </c>
      <c r="E6" s="85">
        <v>99057</v>
      </c>
      <c r="F6" s="51">
        <f>'Brass_No Etnic 2018 - Urban'!E6+'Brass_No Etnic 2018 - Rural'!E6</f>
        <v>99057</v>
      </c>
      <c r="G6" s="31" t="s">
        <v>19</v>
      </c>
      <c r="H6" s="50">
        <v>22</v>
      </c>
      <c r="I6" s="53">
        <f t="shared" ref="I6:I11" si="2">C6</f>
        <v>1675780</v>
      </c>
      <c r="J6" s="53">
        <f t="shared" si="0"/>
        <v>925380</v>
      </c>
      <c r="K6" s="54">
        <f t="shared" si="0"/>
        <v>99057</v>
      </c>
      <c r="L6" s="55">
        <f t="shared" ref="L6:L11" si="3">K6/I6</f>
        <v>5.911098115504422E-2</v>
      </c>
      <c r="M6" s="55">
        <f t="shared" si="1"/>
        <v>0.55220852379190588</v>
      </c>
      <c r="N6" s="55">
        <f t="shared" ref="N6:N11" si="4">L6*H6</f>
        <v>1.3004415854109728</v>
      </c>
      <c r="O6" s="55">
        <f>Y25</f>
        <v>2.9042877411445938</v>
      </c>
      <c r="P6" s="55">
        <f>(5*L5)+P5</f>
        <v>0.1696188558196951</v>
      </c>
      <c r="Q6" s="55">
        <f t="shared" ref="Q6:Q11" si="5">P6+O6*L6</f>
        <v>0.34129415375531913</v>
      </c>
      <c r="R6" s="55">
        <f>M6/Q6</f>
        <v>1.6179841281072622</v>
      </c>
      <c r="S6" s="32">
        <f t="shared" ref="S6:S11" si="6">$R$6*L6</f>
        <v>9.5640629305709032E-2</v>
      </c>
    </row>
    <row r="7" spans="2:25" x14ac:dyDescent="0.3">
      <c r="B7" s="48" t="s">
        <v>6</v>
      </c>
      <c r="C7" s="51">
        <v>1604809</v>
      </c>
      <c r="D7" s="51">
        <v>1684924</v>
      </c>
      <c r="E7" s="85">
        <v>88278</v>
      </c>
      <c r="F7" s="51">
        <f>'Brass_No Etnic 2018 - Urban'!E7+'Brass_No Etnic 2018 - Rural'!E7</f>
        <v>88278</v>
      </c>
      <c r="G7" s="31" t="s">
        <v>20</v>
      </c>
      <c r="H7" s="50">
        <v>27</v>
      </c>
      <c r="I7" s="53">
        <f t="shared" si="2"/>
        <v>1604809</v>
      </c>
      <c r="J7" s="53">
        <f t="shared" si="0"/>
        <v>1684924</v>
      </c>
      <c r="K7" s="54">
        <f t="shared" si="0"/>
        <v>88278</v>
      </c>
      <c r="L7" s="55">
        <f t="shared" si="3"/>
        <v>5.5008415331668753E-2</v>
      </c>
      <c r="M7" s="55">
        <f t="shared" si="1"/>
        <v>1.0499218287036027</v>
      </c>
      <c r="N7" s="55">
        <f t="shared" si="4"/>
        <v>1.4852272139550564</v>
      </c>
      <c r="O7" s="55">
        <f>Y26</f>
        <v>3.0431644235111963</v>
      </c>
      <c r="P7" s="55">
        <f>(5*L6)+P6</f>
        <v>0.46517376159491619</v>
      </c>
      <c r="Q7" s="55">
        <f t="shared" si="5"/>
        <v>0.63257341412597845</v>
      </c>
      <c r="R7" s="55">
        <f t="shared" ref="R7:R10" si="7">M7/Q7</f>
        <v>1.659762812122402</v>
      </c>
      <c r="S7" s="32">
        <f t="shared" si="6"/>
        <v>8.9002742918972227E-2</v>
      </c>
    </row>
    <row r="8" spans="2:25" x14ac:dyDescent="0.3">
      <c r="B8" s="48" t="s">
        <v>7</v>
      </c>
      <c r="C8" s="51">
        <v>1476325</v>
      </c>
      <c r="D8" s="51">
        <v>2260846</v>
      </c>
      <c r="E8" s="85">
        <v>62986</v>
      </c>
      <c r="F8" s="51">
        <f>'Brass_No Etnic 2018 - Urban'!E8+'Brass_No Etnic 2018 - Rural'!E8</f>
        <v>62986</v>
      </c>
      <c r="G8" s="31" t="s">
        <v>21</v>
      </c>
      <c r="H8" s="50">
        <v>32</v>
      </c>
      <c r="I8" s="53">
        <f t="shared" si="2"/>
        <v>1476325</v>
      </c>
      <c r="J8" s="53">
        <f t="shared" si="0"/>
        <v>2260846</v>
      </c>
      <c r="K8" s="54">
        <f t="shared" si="0"/>
        <v>62986</v>
      </c>
      <c r="L8" s="55">
        <f t="shared" si="3"/>
        <v>4.2664047550505478E-2</v>
      </c>
      <c r="M8" s="55">
        <f t="shared" si="1"/>
        <v>1.5314012835927049</v>
      </c>
      <c r="N8" s="55">
        <f t="shared" si="4"/>
        <v>1.3652495216161753</v>
      </c>
      <c r="O8" s="55">
        <f>T27</f>
        <v>3.1629908671313762</v>
      </c>
      <c r="P8" s="55">
        <f t="shared" ref="P8:P10" si="8">(5*L7)+P7</f>
        <v>0.74021583825325998</v>
      </c>
      <c r="Q8" s="55">
        <f t="shared" si="5"/>
        <v>0.8751618310103676</v>
      </c>
      <c r="R8" s="55">
        <f t="shared" si="7"/>
        <v>1.7498492613928487</v>
      </c>
      <c r="S8" s="32">
        <f t="shared" si="6"/>
        <v>6.9029751777531387E-2</v>
      </c>
    </row>
    <row r="9" spans="2:25" x14ac:dyDescent="0.3">
      <c r="B9" s="48" t="s">
        <v>8</v>
      </c>
      <c r="C9" s="51">
        <v>1447563</v>
      </c>
      <c r="D9" s="51">
        <v>2759344</v>
      </c>
      <c r="E9" s="85">
        <v>36145</v>
      </c>
      <c r="F9" s="51">
        <f>'Brass_No Etnic 2018 - Urban'!E9+'Brass_No Etnic 2018 - Rural'!E9</f>
        <v>36145</v>
      </c>
      <c r="G9" s="31" t="s">
        <v>22</v>
      </c>
      <c r="H9" s="50">
        <v>37</v>
      </c>
      <c r="I9" s="53">
        <f t="shared" si="2"/>
        <v>1447563</v>
      </c>
      <c r="J9" s="53">
        <f t="shared" si="0"/>
        <v>2759344</v>
      </c>
      <c r="K9" s="54">
        <f t="shared" si="0"/>
        <v>36145</v>
      </c>
      <c r="L9" s="55">
        <f t="shared" si="3"/>
        <v>2.4969552275099598E-2</v>
      </c>
      <c r="M9" s="55">
        <f t="shared" si="1"/>
        <v>1.9061995920039405</v>
      </c>
      <c r="N9" s="55">
        <f t="shared" si="4"/>
        <v>0.92387343417868517</v>
      </c>
      <c r="O9" s="55">
        <f>T28</f>
        <v>3.3217853874102019</v>
      </c>
      <c r="P9" s="55">
        <f t="shared" si="8"/>
        <v>0.95353607600578738</v>
      </c>
      <c r="Q9" s="55">
        <f t="shared" si="5"/>
        <v>1.0364795698833884</v>
      </c>
      <c r="R9" s="55">
        <f t="shared" si="7"/>
        <v>1.8391096625458832</v>
      </c>
      <c r="S9" s="32">
        <f t="shared" si="6"/>
        <v>4.0400339267055732E-2</v>
      </c>
    </row>
    <row r="10" spans="2:25" x14ac:dyDescent="0.3">
      <c r="B10" s="48" t="s">
        <v>9</v>
      </c>
      <c r="C10" s="51">
        <v>1257228</v>
      </c>
      <c r="D10" s="51">
        <v>2793534</v>
      </c>
      <c r="E10" s="85">
        <v>9768</v>
      </c>
      <c r="F10" s="51">
        <f>'Brass_No Etnic 2018 - Urban'!E10+'Brass_No Etnic 2018 - Rural'!E10</f>
        <v>9768</v>
      </c>
      <c r="G10" s="31" t="s">
        <v>23</v>
      </c>
      <c r="H10" s="50">
        <v>42</v>
      </c>
      <c r="I10" s="53">
        <f t="shared" si="2"/>
        <v>1257228</v>
      </c>
      <c r="J10" s="53">
        <f t="shared" si="0"/>
        <v>2793534</v>
      </c>
      <c r="K10" s="54">
        <f t="shared" si="0"/>
        <v>9768</v>
      </c>
      <c r="L10" s="55">
        <f t="shared" si="3"/>
        <v>7.7694737947293568E-3</v>
      </c>
      <c r="M10" s="55">
        <f t="shared" si="1"/>
        <v>2.2219788296156304</v>
      </c>
      <c r="N10" s="55">
        <f t="shared" si="4"/>
        <v>0.32631789937863298</v>
      </c>
      <c r="O10" s="55">
        <f>T29</f>
        <v>3.7295525090831561</v>
      </c>
      <c r="P10" s="55">
        <f t="shared" si="8"/>
        <v>1.0783838373812853</v>
      </c>
      <c r="Q10" s="55">
        <f t="shared" si="5"/>
        <v>1.107360497866674</v>
      </c>
      <c r="R10" s="55">
        <f t="shared" si="7"/>
        <v>2.0065541744502036</v>
      </c>
      <c r="S10" s="32">
        <f t="shared" si="6"/>
        <v>1.2570885283617401E-2</v>
      </c>
    </row>
    <row r="11" spans="2:25" ht="16.2" thickBot="1" x14ac:dyDescent="0.35">
      <c r="B11" s="56" t="s">
        <v>10</v>
      </c>
      <c r="C11" s="51">
        <v>1235328</v>
      </c>
      <c r="D11" s="86">
        <v>2990465</v>
      </c>
      <c r="E11" s="87">
        <v>1104</v>
      </c>
      <c r="F11" s="51">
        <f>'Brass_No Etnic 2018 - Urban'!E11+'Brass_No Etnic 2018 - Rural'!E11</f>
        <v>1104</v>
      </c>
      <c r="G11" s="33" t="s">
        <v>24</v>
      </c>
      <c r="H11" s="34">
        <v>47</v>
      </c>
      <c r="I11" s="35">
        <f t="shared" si="2"/>
        <v>1235328</v>
      </c>
      <c r="J11" s="35">
        <f t="shared" si="0"/>
        <v>2990465</v>
      </c>
      <c r="K11" s="57">
        <f t="shared" si="0"/>
        <v>1104</v>
      </c>
      <c r="L11" s="36">
        <f t="shared" si="3"/>
        <v>8.9368977308050979E-4</v>
      </c>
      <c r="M11" s="36">
        <f t="shared" si="1"/>
        <v>2.4207862203398611</v>
      </c>
      <c r="N11" s="36">
        <f t="shared" si="4"/>
        <v>4.2003419334783958E-2</v>
      </c>
      <c r="O11" s="36">
        <f>T30</f>
        <v>4.8231232839035592</v>
      </c>
      <c r="P11" s="36">
        <f>(5*L10)+P10</f>
        <v>1.1172312063549321</v>
      </c>
      <c r="Q11" s="36">
        <f t="shared" si="5"/>
        <v>1.1215415823080632</v>
      </c>
      <c r="R11" s="36">
        <f>M11/Q11</f>
        <v>2.1584453563977832</v>
      </c>
      <c r="S11" s="37">
        <f t="shared" si="6"/>
        <v>1.4459758682960457E-3</v>
      </c>
    </row>
    <row r="12" spans="2:25" ht="16.2" thickBot="1" x14ac:dyDescent="0.35">
      <c r="C12" s="84"/>
      <c r="L12" s="27">
        <f>SUM(L4:L11)</f>
        <v>0.22514585670035517</v>
      </c>
      <c r="M12" s="58"/>
      <c r="N12" s="45">
        <f>SUM(N4:N11)</f>
        <v>6.0294882915367296</v>
      </c>
      <c r="O12" s="53"/>
      <c r="P12" s="59"/>
      <c r="Q12" s="59"/>
      <c r="R12" s="59"/>
      <c r="S12" s="60">
        <f>SUM(S5:S11)</f>
        <v>0.36297844772997795</v>
      </c>
    </row>
    <row r="13" spans="2:25" ht="16.2" thickBot="1" x14ac:dyDescent="0.35">
      <c r="K13" s="297" t="s">
        <v>32</v>
      </c>
      <c r="L13" s="299">
        <f>5*L12</f>
        <v>1.1257292835017758</v>
      </c>
      <c r="M13" s="59"/>
      <c r="N13" s="59"/>
      <c r="O13" s="59"/>
      <c r="P13" s="59"/>
      <c r="Q13" s="59"/>
      <c r="R13" s="301" t="s">
        <v>42</v>
      </c>
      <c r="S13" s="303">
        <f>5*S12</f>
        <v>1.8148922386498898</v>
      </c>
    </row>
    <row r="14" spans="2:25" ht="16.2" thickBot="1" x14ac:dyDescent="0.35">
      <c r="B14" s="305" t="s">
        <v>33</v>
      </c>
      <c r="C14" s="306"/>
      <c r="D14" s="306"/>
      <c r="E14" s="307"/>
      <c r="K14" s="298"/>
      <c r="L14" s="300"/>
      <c r="M14" s="59"/>
      <c r="N14" s="59"/>
      <c r="O14" s="59"/>
      <c r="P14" s="59"/>
      <c r="Q14" s="59"/>
      <c r="R14" s="302"/>
      <c r="S14" s="304"/>
    </row>
    <row r="15" spans="2:25" ht="63" thickBot="1" x14ac:dyDescent="0.35">
      <c r="B15" s="42" t="s">
        <v>1</v>
      </c>
      <c r="C15" s="2" t="s">
        <v>37</v>
      </c>
      <c r="D15" s="2" t="s">
        <v>34</v>
      </c>
      <c r="E15" s="43" t="s">
        <v>36</v>
      </c>
      <c r="R15" s="38" t="s">
        <v>62</v>
      </c>
      <c r="S15" s="61">
        <f>N12/L12</f>
        <v>26.780365314744955</v>
      </c>
      <c r="W15" s="39" t="s">
        <v>13</v>
      </c>
      <c r="X15" s="62">
        <f>M5/M6</f>
        <v>0.23071793406026847</v>
      </c>
    </row>
    <row r="16" spans="2:25" x14ac:dyDescent="0.3">
      <c r="B16" s="48" t="s">
        <v>3</v>
      </c>
      <c r="C16" s="63">
        <f>L4</f>
        <v>8.0592565628821939E-4</v>
      </c>
      <c r="D16" s="63">
        <f t="shared" ref="D16:D23" si="9">S4</f>
        <v>1.3039749203087678E-3</v>
      </c>
      <c r="E16" s="64">
        <f>100*((D16-C16)/C16)</f>
        <v>61.798412810726234</v>
      </c>
      <c r="G16" s="256" t="s">
        <v>61</v>
      </c>
      <c r="H16" s="257"/>
      <c r="I16" s="257"/>
      <c r="J16" s="257"/>
      <c r="K16" s="257"/>
      <c r="L16" s="257"/>
      <c r="M16" s="257"/>
      <c r="N16" s="257"/>
      <c r="O16" s="258"/>
      <c r="P16" s="5"/>
      <c r="Q16" s="262" t="s">
        <v>56</v>
      </c>
      <c r="R16" s="263"/>
      <c r="S16" s="263"/>
      <c r="T16" s="264"/>
      <c r="U16" s="5"/>
      <c r="V16" s="271" t="s">
        <v>59</v>
      </c>
      <c r="W16" s="272"/>
      <c r="X16" s="272"/>
      <c r="Y16" s="273"/>
    </row>
    <row r="17" spans="2:27" ht="16.2" thickBot="1" x14ac:dyDescent="0.35">
      <c r="B17" s="48" t="s">
        <v>4</v>
      </c>
      <c r="C17" s="63">
        <f>L5</f>
        <v>3.392377116393902E-2</v>
      </c>
      <c r="D17" s="63">
        <f t="shared" si="9"/>
        <v>5.4888123308796159E-2</v>
      </c>
      <c r="E17" s="64">
        <f>100*((D17-C17)/C17)</f>
        <v>61.798412810726219</v>
      </c>
      <c r="G17" s="259"/>
      <c r="H17" s="260"/>
      <c r="I17" s="260"/>
      <c r="J17" s="260"/>
      <c r="K17" s="260"/>
      <c r="L17" s="260"/>
      <c r="M17" s="260"/>
      <c r="N17" s="260"/>
      <c r="O17" s="261"/>
      <c r="P17" s="5"/>
      <c r="Q17" s="265"/>
      <c r="R17" s="266"/>
      <c r="S17" s="266"/>
      <c r="T17" s="267"/>
      <c r="U17" s="5"/>
      <c r="V17" s="274"/>
      <c r="W17" s="275"/>
      <c r="X17" s="275"/>
      <c r="Y17" s="276"/>
    </row>
    <row r="18" spans="2:27" ht="16.2" thickBot="1" x14ac:dyDescent="0.35">
      <c r="B18" s="48" t="s">
        <v>5</v>
      </c>
      <c r="C18" s="63">
        <f t="shared" ref="C18:C23" si="10">L6</f>
        <v>5.911098115504422E-2</v>
      </c>
      <c r="D18" s="63">
        <f t="shared" si="9"/>
        <v>9.5640629305709032E-2</v>
      </c>
      <c r="E18" s="64">
        <f t="shared" ref="E18:E23" si="11">100*((D18-C18)/C18)</f>
        <v>61.798412810726219</v>
      </c>
      <c r="G18" s="6" t="s">
        <v>54</v>
      </c>
      <c r="H18" s="280" t="s">
        <v>55</v>
      </c>
      <c r="I18" s="281"/>
      <c r="J18" s="281"/>
      <c r="K18" s="281"/>
      <c r="L18" s="281"/>
      <c r="M18" s="281"/>
      <c r="N18" s="281"/>
      <c r="O18" s="282"/>
      <c r="P18" s="5"/>
      <c r="Q18" s="268"/>
      <c r="R18" s="269"/>
      <c r="S18" s="269"/>
      <c r="T18" s="270"/>
      <c r="U18" s="5"/>
      <c r="V18" s="277"/>
      <c r="W18" s="278"/>
      <c r="X18" s="278"/>
      <c r="Y18" s="279"/>
    </row>
    <row r="19" spans="2:27" x14ac:dyDescent="0.3">
      <c r="B19" s="48" t="s">
        <v>6</v>
      </c>
      <c r="C19" s="63">
        <f t="shared" si="10"/>
        <v>5.5008415331668753E-2</v>
      </c>
      <c r="D19" s="63">
        <f t="shared" si="9"/>
        <v>8.9002742918972227E-2</v>
      </c>
      <c r="E19" s="64">
        <f t="shared" si="11"/>
        <v>61.798412810726234</v>
      </c>
      <c r="G19" s="102" t="s">
        <v>3</v>
      </c>
      <c r="H19" s="103">
        <v>-1.7435</v>
      </c>
      <c r="I19" s="79">
        <v>-1.0257000000000001</v>
      </c>
      <c r="J19" s="79">
        <v>-0.30780000000000002</v>
      </c>
      <c r="K19" s="79">
        <v>0.40860000000000002</v>
      </c>
      <c r="L19" s="108">
        <v>1.1286</v>
      </c>
      <c r="M19" s="108">
        <v>1.855</v>
      </c>
      <c r="N19" s="108">
        <v>2.5486</v>
      </c>
      <c r="O19" s="104">
        <v>3.2879</v>
      </c>
      <c r="P19" s="5"/>
      <c r="Q19" s="283" t="s">
        <v>57</v>
      </c>
      <c r="R19" s="284"/>
      <c r="S19" s="285"/>
      <c r="T19" s="289" t="s">
        <v>58</v>
      </c>
      <c r="U19" s="5"/>
      <c r="V19" s="291" t="s">
        <v>60</v>
      </c>
      <c r="W19" s="292"/>
      <c r="X19" s="292"/>
      <c r="Y19" s="293" t="s">
        <v>45</v>
      </c>
    </row>
    <row r="20" spans="2:27" ht="16.2" thickBot="1" x14ac:dyDescent="0.35">
      <c r="B20" s="48" t="s">
        <v>7</v>
      </c>
      <c r="C20" s="63">
        <f t="shared" si="10"/>
        <v>4.2664047550505478E-2</v>
      </c>
      <c r="D20" s="63">
        <f t="shared" si="9"/>
        <v>6.9029751777531387E-2</v>
      </c>
      <c r="E20" s="64">
        <f>100*((D20-C20)/C20)</f>
        <v>61.798412810726234</v>
      </c>
      <c r="G20" s="7" t="s">
        <v>44</v>
      </c>
      <c r="H20" s="8">
        <v>1.1200000000000001</v>
      </c>
      <c r="I20" s="65">
        <v>1.31</v>
      </c>
      <c r="J20" s="65">
        <v>1.615</v>
      </c>
      <c r="K20" s="66">
        <v>1.95</v>
      </c>
      <c r="L20" s="66">
        <v>2.3050000000000002</v>
      </c>
      <c r="M20" s="67">
        <v>2.64</v>
      </c>
      <c r="N20" s="67">
        <v>2.9249999999999998</v>
      </c>
      <c r="O20" s="69">
        <v>3.17</v>
      </c>
      <c r="P20" s="5"/>
      <c r="Q20" s="286"/>
      <c r="R20" s="287"/>
      <c r="S20" s="288"/>
      <c r="T20" s="290"/>
      <c r="U20" s="5"/>
      <c r="V20" s="286"/>
      <c r="W20" s="287"/>
      <c r="X20" s="287"/>
      <c r="Y20" s="294"/>
    </row>
    <row r="21" spans="2:27" ht="16.2" thickBot="1" x14ac:dyDescent="0.35">
      <c r="B21" s="48" t="s">
        <v>8</v>
      </c>
      <c r="C21" s="63">
        <f t="shared" si="10"/>
        <v>2.4969552275099598E-2</v>
      </c>
      <c r="D21" s="63">
        <f t="shared" si="9"/>
        <v>4.0400339267055732E-2</v>
      </c>
      <c r="E21" s="64">
        <f t="shared" si="11"/>
        <v>61.798412810726234</v>
      </c>
      <c r="G21" s="7" t="s">
        <v>46</v>
      </c>
      <c r="H21" s="8">
        <v>2.5550000000000002</v>
      </c>
      <c r="I21" s="65">
        <v>2.69</v>
      </c>
      <c r="J21" s="65">
        <v>2.78</v>
      </c>
      <c r="K21" s="66">
        <v>2.84</v>
      </c>
      <c r="L21" s="66">
        <v>2.89</v>
      </c>
      <c r="M21" s="67">
        <v>2.9249999999999998</v>
      </c>
      <c r="N21" s="67">
        <v>2.96</v>
      </c>
      <c r="O21" s="69">
        <v>2.9849999999999999</v>
      </c>
      <c r="P21" s="9"/>
      <c r="Q21" s="99"/>
      <c r="R21" s="100" t="s">
        <v>72</v>
      </c>
      <c r="S21" s="101" t="s">
        <v>73</v>
      </c>
      <c r="T21" s="28" t="s">
        <v>74</v>
      </c>
      <c r="U21" s="9"/>
      <c r="V21" s="99"/>
      <c r="W21" s="100" t="s">
        <v>72</v>
      </c>
      <c r="X21" s="101" t="s">
        <v>73</v>
      </c>
      <c r="Y21" s="28" t="s">
        <v>74</v>
      </c>
    </row>
    <row r="22" spans="2:27" ht="16.2" thickBot="1" x14ac:dyDescent="0.35">
      <c r="B22" s="48" t="s">
        <v>9</v>
      </c>
      <c r="C22" s="63">
        <f t="shared" si="10"/>
        <v>7.7694737947293568E-3</v>
      </c>
      <c r="D22" s="63">
        <f t="shared" si="9"/>
        <v>1.2570885283617401E-2</v>
      </c>
      <c r="E22" s="64">
        <f t="shared" si="11"/>
        <v>61.798412810726219</v>
      </c>
      <c r="G22" s="7" t="s">
        <v>47</v>
      </c>
      <c r="H22" s="8">
        <v>2.9249999999999998</v>
      </c>
      <c r="I22" s="65">
        <v>2.96</v>
      </c>
      <c r="J22" s="65">
        <v>2.9849999999999999</v>
      </c>
      <c r="K22" s="66">
        <v>3.01</v>
      </c>
      <c r="L22" s="66">
        <v>3.0350000000000001</v>
      </c>
      <c r="M22" s="67">
        <v>3.0550000000000002</v>
      </c>
      <c r="N22" s="67">
        <v>3.0750000000000002</v>
      </c>
      <c r="O22" s="69">
        <v>3.0950000000000002</v>
      </c>
      <c r="P22" s="5"/>
      <c r="Q22" s="10" t="s">
        <v>43</v>
      </c>
      <c r="R22" s="70">
        <v>27.7</v>
      </c>
      <c r="S22" s="95">
        <v>26.7</v>
      </c>
      <c r="T22" s="105">
        <f>S15</f>
        <v>26.780365314744955</v>
      </c>
      <c r="V22" s="10" t="s">
        <v>43</v>
      </c>
      <c r="W22" s="21">
        <v>0.20499999999999999</v>
      </c>
      <c r="X22" s="22">
        <v>0.26800000000000002</v>
      </c>
      <c r="Y22" s="25">
        <f>X15</f>
        <v>0.23071793406026847</v>
      </c>
      <c r="AA22" s="71"/>
    </row>
    <row r="23" spans="2:27" ht="16.2" thickBot="1" x14ac:dyDescent="0.35">
      <c r="B23" s="56" t="s">
        <v>10</v>
      </c>
      <c r="C23" s="72">
        <f t="shared" si="10"/>
        <v>8.9368977308050979E-4</v>
      </c>
      <c r="D23" s="72">
        <f t="shared" si="9"/>
        <v>1.4459758682960457E-3</v>
      </c>
      <c r="E23" s="73">
        <f t="shared" si="11"/>
        <v>61.798412810726219</v>
      </c>
      <c r="G23" s="7" t="s">
        <v>48</v>
      </c>
      <c r="H23" s="8">
        <v>3.0550000000000002</v>
      </c>
      <c r="I23" s="65">
        <v>3.0750000000000002</v>
      </c>
      <c r="J23" s="65">
        <v>3.0950000000000002</v>
      </c>
      <c r="K23" s="66">
        <v>3.12</v>
      </c>
      <c r="L23" s="66">
        <v>3.14</v>
      </c>
      <c r="M23" s="67">
        <v>3.165</v>
      </c>
      <c r="N23" s="67">
        <v>3.19</v>
      </c>
      <c r="O23" s="69">
        <v>3.2149999999999999</v>
      </c>
      <c r="P23" s="5"/>
      <c r="Q23" s="107" t="s">
        <v>3</v>
      </c>
      <c r="R23" s="66">
        <v>1.1286</v>
      </c>
      <c r="S23" s="66">
        <v>1.855</v>
      </c>
      <c r="T23" s="106"/>
      <c r="U23" s="5" t="s">
        <v>90</v>
      </c>
      <c r="V23" s="107" t="s">
        <v>3</v>
      </c>
      <c r="W23" s="108">
        <v>1.1286</v>
      </c>
      <c r="X23" s="108">
        <v>1.855</v>
      </c>
      <c r="Y23" s="26">
        <f>($W$32*(X23-W23))+W23</f>
        <v>1.4251318619266511</v>
      </c>
    </row>
    <row r="24" spans="2:27" ht="16.2" thickBot="1" x14ac:dyDescent="0.35">
      <c r="G24" s="7" t="s">
        <v>49</v>
      </c>
      <c r="H24" s="8">
        <v>3.165</v>
      </c>
      <c r="I24" s="65">
        <v>3.19</v>
      </c>
      <c r="J24" s="65">
        <v>3.2149999999999999</v>
      </c>
      <c r="K24" s="66">
        <v>3.2450000000000001</v>
      </c>
      <c r="L24" s="66">
        <v>3.2850000000000001</v>
      </c>
      <c r="M24" s="67">
        <v>3.3250000000000002</v>
      </c>
      <c r="N24" s="67">
        <v>3.375</v>
      </c>
      <c r="O24" s="69">
        <v>3.4350000000000001</v>
      </c>
      <c r="P24" s="5"/>
      <c r="Q24" s="11" t="s">
        <v>44</v>
      </c>
      <c r="R24" s="66">
        <v>2.3050000000000002</v>
      </c>
      <c r="S24" s="66">
        <v>2.64</v>
      </c>
      <c r="T24" s="12"/>
      <c r="U24" s="5" t="s">
        <v>63</v>
      </c>
      <c r="V24" s="11" t="s">
        <v>44</v>
      </c>
      <c r="W24" s="66">
        <v>2.3050000000000002</v>
      </c>
      <c r="X24" s="67">
        <v>2.64</v>
      </c>
      <c r="Y24" s="26">
        <f>($W$32*(X24-W24))+W24</f>
        <v>2.4417540938125391</v>
      </c>
    </row>
    <row r="25" spans="2:27" ht="16.2" thickBot="1" x14ac:dyDescent="0.35">
      <c r="C25" s="245" t="s">
        <v>32</v>
      </c>
      <c r="D25" s="247" t="s">
        <v>35</v>
      </c>
      <c r="E25" s="249" t="s">
        <v>36</v>
      </c>
      <c r="G25" s="7" t="s">
        <v>50</v>
      </c>
      <c r="H25" s="8">
        <v>3.3250000000000002</v>
      </c>
      <c r="I25" s="65">
        <v>3.375</v>
      </c>
      <c r="J25" s="65">
        <v>3.4350000000000001</v>
      </c>
      <c r="K25" s="66">
        <v>3.51</v>
      </c>
      <c r="L25" s="66">
        <v>3.61</v>
      </c>
      <c r="M25" s="67">
        <v>3.74</v>
      </c>
      <c r="N25" s="67">
        <v>3.915</v>
      </c>
      <c r="O25" s="69">
        <v>4.1500000000000004</v>
      </c>
      <c r="P25" s="5"/>
      <c r="Q25" s="11" t="s">
        <v>46</v>
      </c>
      <c r="R25" s="66">
        <v>2.89</v>
      </c>
      <c r="S25" s="66">
        <v>2.9249999999999998</v>
      </c>
      <c r="T25" s="12"/>
      <c r="U25" s="5" t="s">
        <v>64</v>
      </c>
      <c r="V25" s="11" t="s">
        <v>46</v>
      </c>
      <c r="W25" s="66">
        <v>2.89</v>
      </c>
      <c r="X25" s="67">
        <v>2.9249999999999998</v>
      </c>
      <c r="Y25" s="26">
        <f>($W$32*(X25-W25))+W25</f>
        <v>2.9042877411445938</v>
      </c>
    </row>
    <row r="26" spans="2:27" ht="16.2" thickBot="1" x14ac:dyDescent="0.35">
      <c r="C26" s="246"/>
      <c r="D26" s="248"/>
      <c r="E26" s="250"/>
      <c r="G26" s="13" t="s">
        <v>51</v>
      </c>
      <c r="H26" s="14">
        <v>3.64</v>
      </c>
      <c r="I26" s="46">
        <v>3.895</v>
      </c>
      <c r="J26" s="46">
        <v>4.1500000000000004</v>
      </c>
      <c r="K26" s="20">
        <v>4.3949999999999996</v>
      </c>
      <c r="L26" s="20">
        <v>4.63</v>
      </c>
      <c r="M26" s="74">
        <v>4.84</v>
      </c>
      <c r="N26" s="74">
        <v>4.9850000000000003</v>
      </c>
      <c r="O26" s="76">
        <v>5</v>
      </c>
      <c r="P26" s="5"/>
      <c r="Q26" s="11" t="s">
        <v>47</v>
      </c>
      <c r="R26" s="66">
        <v>3.0350000000000001</v>
      </c>
      <c r="S26" s="66">
        <v>3.0550000000000002</v>
      </c>
      <c r="T26" s="18"/>
      <c r="U26" s="5" t="s">
        <v>65</v>
      </c>
      <c r="V26" s="11" t="s">
        <v>47</v>
      </c>
      <c r="W26" s="66">
        <v>3.0350000000000001</v>
      </c>
      <c r="X26" s="67">
        <v>3.0550000000000002</v>
      </c>
      <c r="Y26" s="29">
        <f>($W$32*(X26-W26))+W26</f>
        <v>3.0431644235111963</v>
      </c>
    </row>
    <row r="27" spans="2:27" ht="16.2" thickBot="1" x14ac:dyDescent="0.35">
      <c r="B27" s="77"/>
      <c r="C27" s="44">
        <f>L13</f>
        <v>1.1257292835017758</v>
      </c>
      <c r="D27" s="78">
        <f>S13</f>
        <v>1.8148922386498898</v>
      </c>
      <c r="E27" s="73">
        <f>100*((D27-C27)/C27)</f>
        <v>61.219243849138692</v>
      </c>
      <c r="G27" s="15" t="s">
        <v>52</v>
      </c>
      <c r="H27" s="8">
        <v>3.5999999999999997E-2</v>
      </c>
      <c r="I27" s="65">
        <v>0.113</v>
      </c>
      <c r="J27" s="65">
        <v>0.21299999999999999</v>
      </c>
      <c r="K27" s="65">
        <v>0.33</v>
      </c>
      <c r="L27" s="65">
        <v>0.46</v>
      </c>
      <c r="M27" s="68">
        <v>0.60499999999999998</v>
      </c>
      <c r="N27" s="68">
        <v>0.76400000000000001</v>
      </c>
      <c r="O27" s="69">
        <v>0.93899999999999995</v>
      </c>
      <c r="P27" s="5"/>
      <c r="Q27" s="11" t="s">
        <v>48</v>
      </c>
      <c r="R27" s="66">
        <v>3.14</v>
      </c>
      <c r="S27" s="66">
        <v>3.165</v>
      </c>
      <c r="T27" s="27">
        <f>($R$32*(S27-R27))+R27</f>
        <v>3.1629908671313762</v>
      </c>
      <c r="U27" s="5" t="s">
        <v>66</v>
      </c>
      <c r="V27" s="11" t="s">
        <v>48</v>
      </c>
      <c r="W27" s="66">
        <v>3.14</v>
      </c>
      <c r="X27" s="67">
        <v>3.165</v>
      </c>
      <c r="Y27" s="12"/>
    </row>
    <row r="28" spans="2:27" ht="16.2" thickBot="1" x14ac:dyDescent="0.35">
      <c r="G28" s="15" t="s">
        <v>53</v>
      </c>
      <c r="H28" s="8">
        <v>31.7</v>
      </c>
      <c r="I28" s="65">
        <v>30.7</v>
      </c>
      <c r="J28" s="79">
        <v>29.7</v>
      </c>
      <c r="K28" s="65">
        <v>28.7</v>
      </c>
      <c r="L28" s="70">
        <v>27.7</v>
      </c>
      <c r="M28" s="95">
        <v>26.7</v>
      </c>
      <c r="N28" s="68">
        <v>25.7</v>
      </c>
      <c r="O28" s="69">
        <v>24.7</v>
      </c>
      <c r="P28" s="5"/>
      <c r="Q28" s="11" t="s">
        <v>49</v>
      </c>
      <c r="R28" s="66">
        <v>3.2850000000000001</v>
      </c>
      <c r="S28" s="66">
        <v>3.3250000000000002</v>
      </c>
      <c r="T28" s="26">
        <f>($R$32*(S28-R28))+R28</f>
        <v>3.3217853874102019</v>
      </c>
      <c r="U28" s="5" t="s">
        <v>67</v>
      </c>
      <c r="V28" s="11" t="s">
        <v>49</v>
      </c>
      <c r="W28" s="66">
        <v>3.2850000000000001</v>
      </c>
      <c r="X28" s="67">
        <v>3.3250000000000002</v>
      </c>
      <c r="Y28" s="12"/>
    </row>
    <row r="29" spans="2:27" ht="16.2" thickBot="1" x14ac:dyDescent="0.35">
      <c r="B29" s="80"/>
      <c r="G29" s="16" t="s">
        <v>13</v>
      </c>
      <c r="H29" s="14">
        <v>1.4E-2</v>
      </c>
      <c r="I29" s="46">
        <v>4.4999999999999998E-2</v>
      </c>
      <c r="J29" s="19">
        <v>0.09</v>
      </c>
      <c r="K29" s="19">
        <v>0.14299999999999999</v>
      </c>
      <c r="L29" s="23">
        <v>0.20499999999999999</v>
      </c>
      <c r="M29" s="24">
        <v>0.26800000000000002</v>
      </c>
      <c r="N29" s="75">
        <v>0.33</v>
      </c>
      <c r="O29" s="76">
        <v>0.38700000000000001</v>
      </c>
      <c r="Q29" s="11" t="s">
        <v>50</v>
      </c>
      <c r="R29" s="66">
        <v>3.61</v>
      </c>
      <c r="S29" s="66">
        <v>3.74</v>
      </c>
      <c r="T29" s="26">
        <f>($R$32*(S29-R29))+R29</f>
        <v>3.7295525090831561</v>
      </c>
      <c r="U29" s="5" t="s">
        <v>68</v>
      </c>
      <c r="V29" s="11" t="s">
        <v>50</v>
      </c>
      <c r="W29" s="66">
        <v>3.61</v>
      </c>
      <c r="X29" s="67">
        <v>3.74</v>
      </c>
      <c r="Y29" s="12"/>
    </row>
    <row r="30" spans="2:27" ht="16.2" thickBot="1" x14ac:dyDescent="0.35">
      <c r="Q30" s="17" t="s">
        <v>51</v>
      </c>
      <c r="R30" s="20">
        <v>4.63</v>
      </c>
      <c r="S30" s="20">
        <v>4.84</v>
      </c>
      <c r="T30" s="29">
        <f>($R$32*(S30-R30))+R30</f>
        <v>4.8231232839035592</v>
      </c>
      <c r="U30" s="5" t="s">
        <v>69</v>
      </c>
      <c r="V30" s="17" t="s">
        <v>51</v>
      </c>
      <c r="W30" s="66">
        <v>4.63</v>
      </c>
      <c r="X30" s="74">
        <v>4.84</v>
      </c>
      <c r="Y30" s="18"/>
    </row>
    <row r="31" spans="2:27" ht="16.2" thickTop="1" x14ac:dyDescent="0.3">
      <c r="R31" s="81" t="s">
        <v>70</v>
      </c>
      <c r="W31" s="82" t="s">
        <v>70</v>
      </c>
    </row>
    <row r="32" spans="2:27" ht="16.2" thickBot="1" x14ac:dyDescent="0.35">
      <c r="R32" s="83">
        <f>((T22-R22)/(S22-R22))</f>
        <v>0.9196346852550441</v>
      </c>
      <c r="W32" s="83">
        <f>((Y22-W22)/(X22-W22))</f>
        <v>0.40822117555981702</v>
      </c>
    </row>
    <row r="33" spans="1:25" ht="16.2" thickTop="1" x14ac:dyDescent="0.3"/>
    <row r="34" spans="1:25" s="1" customFormat="1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/>
      <c r="R34"/>
      <c r="S34"/>
      <c r="T34"/>
      <c r="U34"/>
      <c r="V34"/>
      <c r="W34"/>
      <c r="X34"/>
      <c r="Y34"/>
    </row>
    <row r="35" spans="1:25" x14ac:dyDescent="0.3">
      <c r="Q35" s="1"/>
      <c r="R35" t="s">
        <v>71</v>
      </c>
      <c r="W35" t="s">
        <v>71</v>
      </c>
      <c r="Y35" s="1"/>
    </row>
    <row r="36" spans="1:25" x14ac:dyDescent="0.3">
      <c r="R36" t="s">
        <v>75</v>
      </c>
      <c r="W36" t="s">
        <v>75</v>
      </c>
    </row>
    <row r="38" spans="1:25" x14ac:dyDescent="0.3">
      <c r="P38" s="5"/>
    </row>
    <row r="39" spans="1:25" x14ac:dyDescent="0.3">
      <c r="P39" s="5"/>
    </row>
    <row r="40" spans="1:25" x14ac:dyDescent="0.3">
      <c r="P40" s="5"/>
      <c r="Q40" s="5"/>
      <c r="R40" s="5"/>
      <c r="S40" s="5"/>
    </row>
    <row r="41" spans="1:25" x14ac:dyDescent="0.3">
      <c r="P41" s="5"/>
      <c r="Q41" s="5"/>
      <c r="R41" s="5"/>
      <c r="S41" s="5"/>
    </row>
    <row r="42" spans="1:25" x14ac:dyDescent="0.3">
      <c r="P42" s="5"/>
      <c r="Q42" s="5"/>
      <c r="R42" s="5"/>
      <c r="S42" s="5"/>
    </row>
    <row r="43" spans="1:25" x14ac:dyDescent="0.3">
      <c r="P43" s="5"/>
      <c r="Q43" s="5"/>
      <c r="R43" s="5"/>
      <c r="S43" s="5"/>
    </row>
    <row r="44" spans="1:25" x14ac:dyDescent="0.3">
      <c r="P44" s="5"/>
      <c r="Q44" s="5"/>
      <c r="R44" s="5"/>
      <c r="S44" s="5"/>
    </row>
  </sheetData>
  <mergeCells count="29">
    <mergeCell ref="B14:E14"/>
    <mergeCell ref="M2:M3"/>
    <mergeCell ref="N2:N3"/>
    <mergeCell ref="O2:O3"/>
    <mergeCell ref="P2:P3"/>
    <mergeCell ref="B2:E2"/>
    <mergeCell ref="G2:G3"/>
    <mergeCell ref="H2:H3"/>
    <mergeCell ref="I2:I3"/>
    <mergeCell ref="J2:K2"/>
    <mergeCell ref="L2:L3"/>
    <mergeCell ref="S2:S3"/>
    <mergeCell ref="K13:K14"/>
    <mergeCell ref="L13:L14"/>
    <mergeCell ref="R13:R14"/>
    <mergeCell ref="S13:S14"/>
    <mergeCell ref="Q2:Q3"/>
    <mergeCell ref="R2:R3"/>
    <mergeCell ref="V16:Y18"/>
    <mergeCell ref="H18:O18"/>
    <mergeCell ref="Q19:S20"/>
    <mergeCell ref="T19:T20"/>
    <mergeCell ref="V19:X20"/>
    <mergeCell ref="Y19:Y20"/>
    <mergeCell ref="C25:C26"/>
    <mergeCell ref="D25:D26"/>
    <mergeCell ref="E25:E26"/>
    <mergeCell ref="G16:O17"/>
    <mergeCell ref="Q16:T1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Estimaciones</vt:lpstr>
      <vt:lpstr>Gráficos</vt:lpstr>
      <vt:lpstr>Estimaciones Vitales</vt:lpstr>
      <vt:lpstr>VITAL STAT INDIG</vt:lpstr>
      <vt:lpstr>Resumen Gompertz NARP</vt:lpstr>
      <vt:lpstr>Resumen Gompertz INDIGEN</vt:lpstr>
      <vt:lpstr>Resumen Brass NARP</vt:lpstr>
      <vt:lpstr>Brass Indigena 2018</vt:lpstr>
      <vt:lpstr>Brass_No Etnic 2018 - Total </vt:lpstr>
      <vt:lpstr>Brass_No Etnic 2018 - Urban</vt:lpstr>
      <vt:lpstr>Brass_No Etnic 2018 - Rural</vt:lpstr>
      <vt:lpstr>Brass_NARP 2018 - Total</vt:lpstr>
      <vt:lpstr>Brass_NARP 2018 - Cabecera</vt:lpstr>
      <vt:lpstr>Brass_NARP 2018 - Rural</vt:lpstr>
    </vt:vector>
  </TitlesOfParts>
  <Company>UFMG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Andres Urrego Posada</dc:creator>
  <cp:lastModifiedBy>Ivan Williams</cp:lastModifiedBy>
  <dcterms:created xsi:type="dcterms:W3CDTF">2018-08-27T14:18:07Z</dcterms:created>
  <dcterms:modified xsi:type="dcterms:W3CDTF">2023-11-16T12:47:17Z</dcterms:modified>
</cp:coreProperties>
</file>