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eb643\Desktop\JAC_problems fixed\"/>
    </mc:Choice>
  </mc:AlternateContent>
  <xr:revisionPtr revIDLastSave="0" documentId="13_ncr:1_{45F311F6-8141-4745-88F7-5FAD1A4A64BB}" xr6:coauthVersionLast="45" xr6:coauthVersionMax="45" xr10:uidLastSave="{00000000-0000-0000-0000-000000000000}"/>
  <bookViews>
    <workbookView xWindow="-28920" yWindow="-120" windowWidth="29040" windowHeight="17640" activeTab="4" xr2:uid="{B7C6A00C-47D7-4F69-9426-5554FB1F82A4}"/>
  </bookViews>
  <sheets>
    <sheet name="Readme" sheetId="15" r:id="rId1"/>
    <sheet name="Instructions" sheetId="14" r:id="rId2"/>
    <sheet name="Results" sheetId="1" r:id="rId3"/>
    <sheet name="Total antimicrobial sales" sheetId="13" r:id="rId4"/>
    <sheet name="FDA_Proposed" sheetId="2" r:id="rId5"/>
    <sheet name="ESVAC" sheetId="6" r:id="rId6"/>
    <sheet name=" PHAC" sheetId="9" r:id="rId7"/>
    <sheet name="OI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5" i="1" l="1"/>
  <c r="J45" i="1"/>
  <c r="I46" i="1"/>
  <c r="J46" i="1"/>
  <c r="I47" i="1"/>
  <c r="J47" i="1"/>
  <c r="I48" i="1"/>
  <c r="J48" i="1"/>
  <c r="I49" i="1"/>
  <c r="J49" i="1"/>
  <c r="H46" i="1"/>
  <c r="H47" i="1"/>
  <c r="H48" i="1"/>
  <c r="H49" i="1"/>
  <c r="H45" i="1"/>
  <c r="F45" i="1"/>
  <c r="G45" i="1"/>
  <c r="F46" i="1"/>
  <c r="G46" i="1"/>
  <c r="F47" i="1"/>
  <c r="G47" i="1"/>
  <c r="F48" i="1"/>
  <c r="G48" i="1"/>
  <c r="F49" i="1"/>
  <c r="G49" i="1"/>
  <c r="E46" i="1"/>
  <c r="E47" i="1"/>
  <c r="E48" i="1"/>
  <c r="E49" i="1"/>
  <c r="E45" i="1"/>
  <c r="I35" i="1"/>
  <c r="J35" i="1"/>
  <c r="I36" i="1"/>
  <c r="J36" i="1"/>
  <c r="I37" i="1"/>
  <c r="J37" i="1"/>
  <c r="I38" i="1"/>
  <c r="J38" i="1"/>
  <c r="I39" i="1"/>
  <c r="J39" i="1"/>
  <c r="H36" i="1"/>
  <c r="H37" i="1"/>
  <c r="H38" i="1"/>
  <c r="H39" i="1"/>
  <c r="H35" i="1"/>
  <c r="F35" i="1"/>
  <c r="G35" i="1"/>
  <c r="F36" i="1"/>
  <c r="G36" i="1"/>
  <c r="F37" i="1"/>
  <c r="G37" i="1"/>
  <c r="F38" i="1"/>
  <c r="G38" i="1"/>
  <c r="F39" i="1"/>
  <c r="G39" i="1"/>
  <c r="E36" i="1"/>
  <c r="E37" i="1"/>
  <c r="E38" i="1"/>
  <c r="E39" i="1"/>
  <c r="E35" i="1"/>
  <c r="I25" i="1"/>
  <c r="J25" i="1"/>
  <c r="I26" i="1"/>
  <c r="J26" i="1"/>
  <c r="I27" i="1"/>
  <c r="J27" i="1"/>
  <c r="I28" i="1"/>
  <c r="J28" i="1"/>
  <c r="I29" i="1"/>
  <c r="J29" i="1"/>
  <c r="H26" i="1"/>
  <c r="H27" i="1"/>
  <c r="H28" i="1"/>
  <c r="H29" i="1"/>
  <c r="H25" i="1"/>
  <c r="F25" i="1"/>
  <c r="G25" i="1"/>
  <c r="F26" i="1"/>
  <c r="G26" i="1"/>
  <c r="F27" i="1"/>
  <c r="G27" i="1"/>
  <c r="F28" i="1"/>
  <c r="G28" i="1"/>
  <c r="F29" i="1"/>
  <c r="G29" i="1"/>
  <c r="E26" i="1"/>
  <c r="E27" i="1"/>
  <c r="E28" i="1"/>
  <c r="E29" i="1"/>
  <c r="E25" i="1"/>
  <c r="J15" i="1"/>
  <c r="J16" i="1"/>
  <c r="J17" i="1"/>
  <c r="J18" i="1"/>
  <c r="J19" i="1"/>
  <c r="I15" i="1"/>
  <c r="I16" i="1"/>
  <c r="I17" i="1"/>
  <c r="I18" i="1"/>
  <c r="I19" i="1"/>
  <c r="H19" i="1"/>
  <c r="H18" i="1"/>
  <c r="H17" i="1"/>
  <c r="H16" i="1"/>
  <c r="H15" i="1"/>
  <c r="G19" i="1"/>
  <c r="F19" i="1"/>
  <c r="G18" i="1"/>
  <c r="F18" i="1"/>
  <c r="G17" i="1"/>
  <c r="F17" i="1"/>
  <c r="G16" i="1"/>
  <c r="F16" i="1"/>
  <c r="G15" i="1"/>
  <c r="F15" i="1"/>
  <c r="E15" i="1"/>
  <c r="E16" i="1"/>
  <c r="E17" i="1"/>
  <c r="E18" i="1"/>
  <c r="E19" i="1"/>
  <c r="G24" i="7" l="1"/>
  <c r="F54" i="7"/>
  <c r="E80" i="7"/>
  <c r="F87" i="7"/>
  <c r="B20" i="7"/>
  <c r="F20" i="7" s="1"/>
  <c r="E20" i="7"/>
  <c r="E3" i="2" l="1"/>
  <c r="B86" i="6" l="1"/>
  <c r="B47" i="6"/>
  <c r="E75" i="2"/>
  <c r="B8" i="6"/>
  <c r="F86" i="6" l="1"/>
  <c r="H82" i="6" s="1"/>
  <c r="G85" i="6"/>
  <c r="G84" i="6"/>
  <c r="G83" i="6"/>
  <c r="G82" i="6"/>
  <c r="F47" i="6"/>
  <c r="H43" i="6" s="1"/>
  <c r="G46" i="6"/>
  <c r="G45" i="6"/>
  <c r="G44" i="6"/>
  <c r="G43" i="6"/>
  <c r="G47" i="6" s="1"/>
  <c r="F8" i="6"/>
  <c r="H4" i="6" s="1"/>
  <c r="G7" i="6"/>
  <c r="G6" i="6"/>
  <c r="G5" i="6"/>
  <c r="G4" i="6"/>
  <c r="I45" i="6" l="1"/>
  <c r="B43" i="6" s="1"/>
  <c r="I46" i="6"/>
  <c r="I44" i="6"/>
  <c r="B44" i="6" s="1"/>
  <c r="I43" i="6"/>
  <c r="I83" i="6"/>
  <c r="B83" i="6" s="1"/>
  <c r="B105" i="9" s="1"/>
  <c r="I84" i="6"/>
  <c r="B82" i="6" s="1"/>
  <c r="B104" i="9" s="1"/>
  <c r="I85" i="6"/>
  <c r="I82" i="6"/>
  <c r="G86" i="6"/>
  <c r="I6" i="6"/>
  <c r="B4" i="6" s="1"/>
  <c r="I5" i="6"/>
  <c r="B5" i="6" s="1"/>
  <c r="I7" i="6"/>
  <c r="I4" i="6"/>
  <c r="B84" i="6" l="1"/>
  <c r="B106" i="9" s="1"/>
  <c r="B45" i="6"/>
  <c r="F48" i="6" s="1"/>
  <c r="F87" i="6"/>
  <c r="B6" i="6"/>
  <c r="F9" i="6" s="1"/>
  <c r="G6" i="1"/>
  <c r="G5" i="1"/>
  <c r="G4" i="1"/>
  <c r="G3" i="1"/>
  <c r="F6" i="1"/>
  <c r="F5" i="1"/>
  <c r="F4" i="1"/>
  <c r="F3" i="1"/>
  <c r="E6" i="1"/>
  <c r="E5" i="1"/>
  <c r="E4" i="1"/>
  <c r="E3" i="1"/>
  <c r="D6" i="1"/>
  <c r="D5" i="1"/>
  <c r="D4" i="1"/>
  <c r="D3" i="1"/>
  <c r="C6" i="1"/>
  <c r="C5" i="1"/>
  <c r="C4" i="1"/>
  <c r="C3" i="1"/>
  <c r="B6" i="1"/>
  <c r="B5" i="1"/>
  <c r="B4" i="1"/>
  <c r="B3" i="1"/>
  <c r="S3" i="1" l="1"/>
  <c r="S4" i="1"/>
  <c r="S5" i="1"/>
  <c r="N6" i="1"/>
  <c r="S6" i="1"/>
  <c r="P3" i="1"/>
  <c r="P4" i="1"/>
  <c r="P6" i="1"/>
  <c r="P5" i="1"/>
  <c r="R4" i="1"/>
  <c r="R6" i="1"/>
  <c r="Q3" i="1"/>
  <c r="R5" i="1"/>
  <c r="O4" i="1"/>
  <c r="Q4" i="1"/>
  <c r="O3" i="1"/>
  <c r="N5" i="1"/>
  <c r="O5" i="1"/>
  <c r="Q5" i="1"/>
  <c r="O6" i="1"/>
  <c r="Q6" i="1"/>
  <c r="N3" i="1"/>
  <c r="R3" i="1"/>
  <c r="N4" i="1"/>
  <c r="B96" i="7"/>
  <c r="B95" i="7"/>
  <c r="C95" i="7" s="1"/>
  <c r="D95" i="7" s="1"/>
  <c r="B47" i="1" s="1"/>
  <c r="B91" i="7"/>
  <c r="C91" i="7" s="1"/>
  <c r="G91" i="7" s="1"/>
  <c r="B46" i="1" s="1"/>
  <c r="B77" i="7"/>
  <c r="C77" i="7" s="1"/>
  <c r="D77" i="7" s="1"/>
  <c r="C81" i="7" s="1"/>
  <c r="E81" i="7" s="1"/>
  <c r="B58" i="7"/>
  <c r="C58" i="7" s="1"/>
  <c r="G58" i="7" s="1"/>
  <c r="C46" i="1" s="1"/>
  <c r="B44" i="7"/>
  <c r="C44" i="7" s="1"/>
  <c r="D44" i="7" s="1"/>
  <c r="B63" i="7"/>
  <c r="C63" i="7" s="1"/>
  <c r="D63" i="7" s="1"/>
  <c r="C48" i="1" s="1"/>
  <c r="B62" i="7"/>
  <c r="C62" i="7" s="1"/>
  <c r="D62" i="7" s="1"/>
  <c r="C47" i="1" s="1"/>
  <c r="C96" i="7" l="1"/>
  <c r="D96" i="7" s="1"/>
  <c r="B48" i="1" s="1"/>
  <c r="N47" i="1"/>
  <c r="N46" i="1"/>
  <c r="C47" i="7"/>
  <c r="E47" i="7" s="1"/>
  <c r="C48" i="7"/>
  <c r="E48" i="7" s="1"/>
  <c r="C50" i="7"/>
  <c r="E50" i="7" s="1"/>
  <c r="C49" i="7"/>
  <c r="E49" i="7" s="1"/>
  <c r="F7" i="1"/>
  <c r="G7" i="1"/>
  <c r="E7" i="1"/>
  <c r="C83" i="7"/>
  <c r="E83" i="7" s="1"/>
  <c r="C82" i="7"/>
  <c r="E82" i="7" s="1"/>
  <c r="C80" i="7"/>
  <c r="E51" i="7" l="1"/>
  <c r="E54" i="7" s="1"/>
  <c r="C45" i="1" s="1"/>
  <c r="R7" i="1"/>
  <c r="S7" i="1"/>
  <c r="T48" i="1"/>
  <c r="Q48" i="1"/>
  <c r="N48" i="1"/>
  <c r="E84" i="7"/>
  <c r="E87" i="7" s="1"/>
  <c r="B45" i="1" s="1"/>
  <c r="T47" i="1"/>
  <c r="T46" i="1"/>
  <c r="Q7" i="1"/>
  <c r="C49" i="1"/>
  <c r="B146" i="9"/>
  <c r="D146" i="9" s="1"/>
  <c r="B143" i="9"/>
  <c r="D143" i="9" s="1"/>
  <c r="B145" i="9"/>
  <c r="D145" i="9" s="1"/>
  <c r="B142" i="9"/>
  <c r="D142" i="9" s="1"/>
  <c r="B138" i="9"/>
  <c r="D138" i="9" s="1"/>
  <c r="B137" i="9"/>
  <c r="D137" i="9" s="1"/>
  <c r="B135" i="9"/>
  <c r="D135" i="9" s="1"/>
  <c r="B134" i="9"/>
  <c r="D134" i="9" s="1"/>
  <c r="B127" i="9"/>
  <c r="D127" i="9" s="1"/>
  <c r="B126" i="9"/>
  <c r="D126" i="9" s="1"/>
  <c r="B124" i="9"/>
  <c r="D124" i="9" s="1"/>
  <c r="B123" i="9"/>
  <c r="D123" i="9" s="1"/>
  <c r="B140" i="9"/>
  <c r="D140" i="9" s="1"/>
  <c r="B121" i="9"/>
  <c r="D121" i="9" s="1"/>
  <c r="B132" i="9"/>
  <c r="D132" i="9" s="1"/>
  <c r="B120" i="9"/>
  <c r="D120" i="9" s="1"/>
  <c r="B118" i="9"/>
  <c r="D118" i="9" s="1"/>
  <c r="B117" i="9"/>
  <c r="D117" i="9" s="1"/>
  <c r="B116" i="9"/>
  <c r="D116" i="9" s="1"/>
  <c r="B115" i="9"/>
  <c r="D115" i="9" s="1"/>
  <c r="B114" i="9"/>
  <c r="D114" i="9" s="1"/>
  <c r="B112" i="9"/>
  <c r="D112" i="9" s="1"/>
  <c r="B111" i="9"/>
  <c r="D111" i="9" s="1"/>
  <c r="B108" i="9"/>
  <c r="D108" i="9" s="1"/>
  <c r="D110" i="9"/>
  <c r="B109" i="9"/>
  <c r="D109" i="9" s="1"/>
  <c r="B107" i="9"/>
  <c r="D107" i="9" s="1"/>
  <c r="D105" i="9"/>
  <c r="B96" i="9"/>
  <c r="D96" i="9" s="1"/>
  <c r="B95" i="9"/>
  <c r="D95" i="9" s="1"/>
  <c r="B93" i="9"/>
  <c r="D93" i="9" s="1"/>
  <c r="B92" i="9"/>
  <c r="D92" i="9" s="1"/>
  <c r="B90" i="9"/>
  <c r="D90" i="9" s="1"/>
  <c r="B88" i="9"/>
  <c r="D88" i="9" s="1"/>
  <c r="B87" i="9"/>
  <c r="D87" i="9" s="1"/>
  <c r="B85" i="9"/>
  <c r="D85" i="9" s="1"/>
  <c r="B84" i="9"/>
  <c r="D84" i="9" s="1"/>
  <c r="B82" i="9"/>
  <c r="D82" i="9" s="1"/>
  <c r="B77" i="9"/>
  <c r="D77" i="9" s="1"/>
  <c r="B76" i="9"/>
  <c r="D76" i="9" s="1"/>
  <c r="B74" i="9"/>
  <c r="D74" i="9" s="1"/>
  <c r="B73" i="9"/>
  <c r="D73" i="9" s="1"/>
  <c r="B71" i="9"/>
  <c r="D71" i="9" s="1"/>
  <c r="B70" i="9"/>
  <c r="D70" i="9" s="1"/>
  <c r="B68" i="9"/>
  <c r="D68" i="9" s="1"/>
  <c r="B67" i="9"/>
  <c r="D67" i="9" s="1"/>
  <c r="B66" i="9"/>
  <c r="D66" i="9" s="1"/>
  <c r="B65" i="9"/>
  <c r="D65" i="9" s="1"/>
  <c r="B64" i="9"/>
  <c r="D64" i="9" s="1"/>
  <c r="B62" i="9"/>
  <c r="D62" i="9" s="1"/>
  <c r="B61" i="9"/>
  <c r="D61" i="9" s="1"/>
  <c r="B59" i="9"/>
  <c r="D59" i="9" s="1"/>
  <c r="B58" i="9"/>
  <c r="D58" i="9" s="1"/>
  <c r="B57" i="9"/>
  <c r="D57" i="9" s="1"/>
  <c r="B55" i="9"/>
  <c r="D55" i="9" s="1"/>
  <c r="B56" i="9"/>
  <c r="D56" i="9" s="1"/>
  <c r="B54" i="9"/>
  <c r="D54" i="9" s="1"/>
  <c r="D60" i="9"/>
  <c r="B113" i="6"/>
  <c r="D113" i="6" s="1"/>
  <c r="B112" i="6"/>
  <c r="D112" i="6" s="1"/>
  <c r="B111" i="6"/>
  <c r="D111" i="6" s="1"/>
  <c r="B109" i="6"/>
  <c r="D109" i="6" s="1"/>
  <c r="B108" i="6"/>
  <c r="B107" i="6"/>
  <c r="D107" i="6" s="1"/>
  <c r="B102" i="6"/>
  <c r="D102" i="6" s="1"/>
  <c r="B101" i="6"/>
  <c r="D101" i="6" s="1"/>
  <c r="B100" i="6"/>
  <c r="D100" i="6" s="1"/>
  <c r="B99" i="6"/>
  <c r="B97" i="6"/>
  <c r="D97" i="6" s="1"/>
  <c r="B96" i="6"/>
  <c r="D96" i="6" s="1"/>
  <c r="B94" i="6"/>
  <c r="D94" i="6" s="1"/>
  <c r="B95" i="6"/>
  <c r="B93" i="6"/>
  <c r="B92" i="6"/>
  <c r="D92" i="6" s="1"/>
  <c r="B90" i="6"/>
  <c r="D90" i="6" s="1"/>
  <c r="B88" i="6"/>
  <c r="D88" i="6" s="1"/>
  <c r="B87" i="6"/>
  <c r="D87" i="6" s="1"/>
  <c r="D86" i="6"/>
  <c r="B85" i="6"/>
  <c r="D85" i="6" s="1"/>
  <c r="D108" i="6"/>
  <c r="D99" i="6"/>
  <c r="D89" i="6"/>
  <c r="D84" i="6"/>
  <c r="D83" i="6"/>
  <c r="D82" i="6"/>
  <c r="B74" i="6"/>
  <c r="D74" i="6" s="1"/>
  <c r="B73" i="6"/>
  <c r="D73" i="6" s="1"/>
  <c r="B72" i="6"/>
  <c r="D72" i="6" s="1"/>
  <c r="B70" i="6"/>
  <c r="D70" i="6" s="1"/>
  <c r="B69" i="6"/>
  <c r="D69" i="6" s="1"/>
  <c r="B68" i="6"/>
  <c r="D68" i="6" s="1"/>
  <c r="B63" i="6"/>
  <c r="B62" i="6"/>
  <c r="B61" i="6"/>
  <c r="D61" i="6" s="1"/>
  <c r="B60" i="6"/>
  <c r="D60" i="6" s="1"/>
  <c r="B57" i="6"/>
  <c r="D57" i="6" s="1"/>
  <c r="B58" i="6"/>
  <c r="D58" i="6" s="1"/>
  <c r="B56" i="6"/>
  <c r="D56" i="6" s="1"/>
  <c r="B55" i="6"/>
  <c r="D55" i="6" s="1"/>
  <c r="B54" i="6"/>
  <c r="D54" i="6" s="1"/>
  <c r="B53" i="6"/>
  <c r="D53" i="6" s="1"/>
  <c r="B51" i="6"/>
  <c r="D51" i="6" s="1"/>
  <c r="B49" i="6"/>
  <c r="D49" i="6" s="1"/>
  <c r="B48" i="6"/>
  <c r="D48" i="6" s="1"/>
  <c r="D47" i="6"/>
  <c r="B46" i="6"/>
  <c r="D46" i="6" s="1"/>
  <c r="D50" i="6"/>
  <c r="D45" i="6"/>
  <c r="D44" i="6"/>
  <c r="D43" i="6"/>
  <c r="B27" i="9"/>
  <c r="D27" i="9" s="1"/>
  <c r="B26" i="9"/>
  <c r="D26" i="9" s="1"/>
  <c r="B24" i="9"/>
  <c r="D24" i="9" s="1"/>
  <c r="B23" i="9"/>
  <c r="D23" i="9" s="1"/>
  <c r="B46" i="9"/>
  <c r="D46" i="9" s="1"/>
  <c r="B45" i="9"/>
  <c r="D45" i="9" s="1"/>
  <c r="B43" i="9"/>
  <c r="D43" i="9" s="1"/>
  <c r="B42" i="9"/>
  <c r="D42" i="9" s="1"/>
  <c r="B38" i="9"/>
  <c r="D38" i="9" s="1"/>
  <c r="B37" i="9"/>
  <c r="D37" i="9" s="1"/>
  <c r="B35" i="9"/>
  <c r="D35" i="9" s="1"/>
  <c r="B34" i="9"/>
  <c r="D34" i="9" s="1"/>
  <c r="B40" i="9"/>
  <c r="D40" i="9" s="1"/>
  <c r="B32" i="9"/>
  <c r="D32" i="9" s="1"/>
  <c r="B21" i="9"/>
  <c r="D21" i="9" s="1"/>
  <c r="B20" i="9"/>
  <c r="D20" i="9" s="1"/>
  <c r="B18" i="9"/>
  <c r="D18" i="9" s="1"/>
  <c r="B17" i="9"/>
  <c r="D17" i="9" s="1"/>
  <c r="B16" i="9"/>
  <c r="D16" i="9" s="1"/>
  <c r="B15" i="9"/>
  <c r="D15" i="9" s="1"/>
  <c r="B14" i="9"/>
  <c r="D14" i="9" s="1"/>
  <c r="D10" i="9"/>
  <c r="B12" i="9"/>
  <c r="D12" i="9" s="1"/>
  <c r="B11" i="9"/>
  <c r="D11" i="9" s="1"/>
  <c r="B9" i="9"/>
  <c r="D9" i="9" s="1"/>
  <c r="B8" i="9"/>
  <c r="D8" i="9" s="1"/>
  <c r="B7" i="9"/>
  <c r="D7" i="9" s="1"/>
  <c r="B6" i="9"/>
  <c r="D6" i="9" s="1"/>
  <c r="B5" i="9"/>
  <c r="D5" i="9" s="1"/>
  <c r="B4" i="9"/>
  <c r="D4" i="9" s="1"/>
  <c r="B16" i="6"/>
  <c r="B15" i="6"/>
  <c r="B17" i="6"/>
  <c r="B34" i="6"/>
  <c r="D34" i="6" s="1"/>
  <c r="B30" i="6"/>
  <c r="D30" i="6" s="1"/>
  <c r="B35" i="6"/>
  <c r="D35" i="6" s="1"/>
  <c r="B31" i="6"/>
  <c r="D31" i="6" s="1"/>
  <c r="B33" i="6"/>
  <c r="B29" i="6"/>
  <c r="B22" i="6"/>
  <c r="B21" i="6"/>
  <c r="B19" i="6"/>
  <c r="B18" i="6"/>
  <c r="B14" i="6"/>
  <c r="B9" i="6"/>
  <c r="B10" i="6"/>
  <c r="B7" i="6"/>
  <c r="B12" i="6"/>
  <c r="C104" i="2"/>
  <c r="D104" i="2" s="1"/>
  <c r="E104" i="2" s="1"/>
  <c r="E103" i="2"/>
  <c r="C102" i="2"/>
  <c r="D102" i="2" s="1"/>
  <c r="E102" i="2" s="1"/>
  <c r="E101" i="2"/>
  <c r="D100" i="2"/>
  <c r="E100" i="2" s="1"/>
  <c r="C98" i="2"/>
  <c r="D98" i="2" s="1"/>
  <c r="E98" i="2" s="1"/>
  <c r="E97" i="2"/>
  <c r="C96" i="2"/>
  <c r="D96" i="2" s="1"/>
  <c r="E96" i="2" s="1"/>
  <c r="E95" i="2"/>
  <c r="D94" i="2"/>
  <c r="E94" i="2" s="1"/>
  <c r="E92" i="2"/>
  <c r="C91" i="2"/>
  <c r="D91" i="2" s="1"/>
  <c r="E91" i="2" s="1"/>
  <c r="C90" i="2"/>
  <c r="D90" i="2" s="1"/>
  <c r="E90" i="2" s="1"/>
  <c r="E89" i="2"/>
  <c r="E88" i="2"/>
  <c r="E87" i="2"/>
  <c r="C86" i="2"/>
  <c r="D86" i="2" s="1"/>
  <c r="E86" i="2" s="1"/>
  <c r="D85" i="2"/>
  <c r="E85" i="2" s="1"/>
  <c r="D84" i="2"/>
  <c r="E84" i="2" s="1"/>
  <c r="C82" i="2"/>
  <c r="D82" i="2" s="1"/>
  <c r="E82" i="2" s="1"/>
  <c r="D81" i="2"/>
  <c r="E81" i="2" s="1"/>
  <c r="C80" i="2"/>
  <c r="D80" i="2" s="1"/>
  <c r="E80" i="2" s="1"/>
  <c r="D79" i="2"/>
  <c r="E79" i="2" s="1"/>
  <c r="D78" i="2"/>
  <c r="E78" i="2" s="1"/>
  <c r="D77" i="2"/>
  <c r="E77" i="2" s="1"/>
  <c r="D76" i="2"/>
  <c r="E76" i="2" s="1"/>
  <c r="N45" i="1" l="1"/>
  <c r="D44" i="9"/>
  <c r="D144" i="9"/>
  <c r="D22" i="9"/>
  <c r="B49" i="1"/>
  <c r="T49" i="1" s="1"/>
  <c r="D93" i="6"/>
  <c r="D104" i="9"/>
  <c r="D95" i="6"/>
  <c r="D106" i="9"/>
  <c r="B23" i="6"/>
  <c r="D23" i="6" s="1"/>
  <c r="D25" i="9"/>
  <c r="D41" i="9"/>
  <c r="D86" i="9"/>
  <c r="Q45" i="1"/>
  <c r="D122" i="9"/>
  <c r="D42" i="6"/>
  <c r="C25" i="1" s="1"/>
  <c r="B24" i="6"/>
  <c r="D24" i="6" s="1"/>
  <c r="D33" i="9"/>
  <c r="D13" i="9"/>
  <c r="D36" i="1" s="1"/>
  <c r="P36" i="1" s="1"/>
  <c r="D81" i="6"/>
  <c r="B25" i="1" s="1"/>
  <c r="D141" i="9"/>
  <c r="D136" i="9"/>
  <c r="D133" i="9"/>
  <c r="D125" i="9"/>
  <c r="D113" i="9"/>
  <c r="B36" i="1" s="1"/>
  <c r="D94" i="9"/>
  <c r="D83" i="9"/>
  <c r="D75" i="9"/>
  <c r="D72" i="9"/>
  <c r="D53" i="9"/>
  <c r="C35" i="1" s="1"/>
  <c r="D63" i="9"/>
  <c r="C36" i="1" s="1"/>
  <c r="D91" i="9"/>
  <c r="D110" i="6"/>
  <c r="B28" i="1" s="1"/>
  <c r="D106" i="6"/>
  <c r="D98" i="6"/>
  <c r="D71" i="6"/>
  <c r="C28" i="1" s="1"/>
  <c r="D67" i="6"/>
  <c r="C27" i="1" s="1"/>
  <c r="D52" i="6"/>
  <c r="C26" i="1" s="1"/>
  <c r="D63" i="6"/>
  <c r="D62" i="6"/>
  <c r="D3" i="9"/>
  <c r="D35" i="1" s="1"/>
  <c r="D36" i="9"/>
  <c r="E99" i="2"/>
  <c r="E93" i="2"/>
  <c r="E83" i="2"/>
  <c r="T45" i="1" l="1"/>
  <c r="D31" i="9"/>
  <c r="D37" i="1" s="1"/>
  <c r="D119" i="9"/>
  <c r="D39" i="9"/>
  <c r="D38" i="1" s="1"/>
  <c r="D19" i="9"/>
  <c r="D91" i="6"/>
  <c r="B26" i="1" s="1"/>
  <c r="D139" i="9"/>
  <c r="B38" i="1" s="1"/>
  <c r="D81" i="9"/>
  <c r="C37" i="1" s="1"/>
  <c r="D103" i="9"/>
  <c r="B35" i="1" s="1"/>
  <c r="N35" i="1" s="1"/>
  <c r="N49" i="1"/>
  <c r="D69" i="9"/>
  <c r="T25" i="1"/>
  <c r="D105" i="6"/>
  <c r="B27" i="1"/>
  <c r="D131" i="9"/>
  <c r="B37" i="1" s="1"/>
  <c r="N28" i="1"/>
  <c r="D66" i="6"/>
  <c r="N36" i="1"/>
  <c r="T36" i="1"/>
  <c r="C29" i="1"/>
  <c r="O36" i="1"/>
  <c r="V36" i="1"/>
  <c r="Q25" i="1"/>
  <c r="N25" i="1"/>
  <c r="O35" i="1"/>
  <c r="D89" i="9"/>
  <c r="C38" i="1" s="1"/>
  <c r="D59" i="6"/>
  <c r="B18" i="1"/>
  <c r="B17" i="1"/>
  <c r="B16" i="1"/>
  <c r="B15" i="1"/>
  <c r="C68" i="2"/>
  <c r="D68" i="2" s="1"/>
  <c r="E68" i="2" s="1"/>
  <c r="E67" i="2"/>
  <c r="C66" i="2"/>
  <c r="D66" i="2" s="1"/>
  <c r="E66" i="2" s="1"/>
  <c r="E65" i="2"/>
  <c r="D64" i="2"/>
  <c r="E64" i="2" s="1"/>
  <c r="C62" i="2"/>
  <c r="D62" i="2" s="1"/>
  <c r="E62" i="2" s="1"/>
  <c r="E61" i="2"/>
  <c r="C60" i="2"/>
  <c r="D60" i="2" s="1"/>
  <c r="E60" i="2" s="1"/>
  <c r="E59" i="2"/>
  <c r="D58" i="2"/>
  <c r="E58" i="2" s="1"/>
  <c r="E56" i="2"/>
  <c r="C55" i="2"/>
  <c r="D55" i="2" s="1"/>
  <c r="E55" i="2" s="1"/>
  <c r="C54" i="2"/>
  <c r="D54" i="2" s="1"/>
  <c r="E54" i="2" s="1"/>
  <c r="E53" i="2"/>
  <c r="E52" i="2"/>
  <c r="E51" i="2"/>
  <c r="C50" i="2"/>
  <c r="D50" i="2" s="1"/>
  <c r="E50" i="2" s="1"/>
  <c r="D49" i="2"/>
  <c r="E49" i="2" s="1"/>
  <c r="D48" i="2"/>
  <c r="E48" i="2" s="1"/>
  <c r="C46" i="2"/>
  <c r="D46" i="2" s="1"/>
  <c r="E46" i="2" s="1"/>
  <c r="D45" i="2"/>
  <c r="E45" i="2" s="1"/>
  <c r="C44" i="2"/>
  <c r="D44" i="2" s="1"/>
  <c r="E44" i="2" s="1"/>
  <c r="D43" i="2"/>
  <c r="E43" i="2" s="1"/>
  <c r="D42" i="2"/>
  <c r="E42" i="2" s="1"/>
  <c r="D41" i="2"/>
  <c r="E41" i="2" s="1"/>
  <c r="D40" i="2"/>
  <c r="E40" i="2" s="1"/>
  <c r="D28" i="2"/>
  <c r="E28" i="2" s="1"/>
  <c r="C32" i="2"/>
  <c r="D32" i="2" s="1"/>
  <c r="E32" i="2" s="1"/>
  <c r="C30" i="2"/>
  <c r="D30" i="2" s="1"/>
  <c r="E30" i="2" s="1"/>
  <c r="C26" i="2"/>
  <c r="D26" i="2" s="1"/>
  <c r="E26" i="2" s="1"/>
  <c r="C24" i="2"/>
  <c r="D24" i="2" s="1"/>
  <c r="E24" i="2" s="1"/>
  <c r="C19" i="2"/>
  <c r="D19" i="2" s="1"/>
  <c r="E19" i="2" s="1"/>
  <c r="C18" i="2"/>
  <c r="D18" i="2" s="1"/>
  <c r="E18" i="2" s="1"/>
  <c r="C14" i="2"/>
  <c r="D14" i="2" s="1"/>
  <c r="E14" i="2" s="1"/>
  <c r="C8" i="2"/>
  <c r="C10" i="2"/>
  <c r="D10" i="2" s="1"/>
  <c r="E31" i="2"/>
  <c r="E29" i="2"/>
  <c r="E25" i="2"/>
  <c r="E23" i="2"/>
  <c r="D22" i="2"/>
  <c r="E22" i="2" s="1"/>
  <c r="E20" i="2"/>
  <c r="E17" i="2"/>
  <c r="E16" i="2"/>
  <c r="E15" i="2"/>
  <c r="D13" i="2"/>
  <c r="E13" i="2" s="1"/>
  <c r="D12" i="2"/>
  <c r="E12" i="2" s="1"/>
  <c r="O38" i="1" l="1"/>
  <c r="V37" i="1"/>
  <c r="P37" i="1"/>
  <c r="V38" i="1"/>
  <c r="P38" i="1"/>
  <c r="P35" i="1"/>
  <c r="D39" i="1"/>
  <c r="N37" i="1"/>
  <c r="T35" i="1"/>
  <c r="E39" i="2"/>
  <c r="C15" i="1" s="1"/>
  <c r="N15" i="1" s="1"/>
  <c r="T26" i="1"/>
  <c r="T37" i="1"/>
  <c r="B29" i="1"/>
  <c r="N29" i="1" s="1"/>
  <c r="O37" i="1"/>
  <c r="D30" i="9"/>
  <c r="D130" i="9"/>
  <c r="N26" i="1"/>
  <c r="B39" i="1"/>
  <c r="Q35" i="1"/>
  <c r="U36" i="1"/>
  <c r="C39" i="1"/>
  <c r="N27" i="1"/>
  <c r="T27" i="1"/>
  <c r="D80" i="9"/>
  <c r="Q28" i="1"/>
  <c r="T28" i="1"/>
  <c r="N38" i="1"/>
  <c r="T38" i="1"/>
  <c r="U35" i="1"/>
  <c r="R35" i="1"/>
  <c r="D7" i="1"/>
  <c r="E27" i="2"/>
  <c r="D18" i="1" s="1"/>
  <c r="P18" i="1" s="1"/>
  <c r="B19" i="1"/>
  <c r="E63" i="2"/>
  <c r="C18" i="1" s="1"/>
  <c r="N18" i="1" s="1"/>
  <c r="E47" i="2"/>
  <c r="C16" i="1" s="1"/>
  <c r="N16" i="1" s="1"/>
  <c r="E57" i="2"/>
  <c r="C17" i="1" s="1"/>
  <c r="N17" i="1" s="1"/>
  <c r="E21" i="2"/>
  <c r="D17" i="1" s="1"/>
  <c r="P17" i="1" s="1"/>
  <c r="E11" i="2"/>
  <c r="D16" i="1" s="1"/>
  <c r="P16" i="1" s="1"/>
  <c r="C7" i="1"/>
  <c r="V39" i="1" l="1"/>
  <c r="P39" i="1"/>
  <c r="U39" i="1"/>
  <c r="S38" i="1"/>
  <c r="V35" i="1"/>
  <c r="S36" i="1"/>
  <c r="S35" i="1"/>
  <c r="U37" i="1"/>
  <c r="T29" i="1"/>
  <c r="T39" i="1"/>
  <c r="Q38" i="1"/>
  <c r="O39" i="1"/>
  <c r="N39" i="1"/>
  <c r="R38" i="1"/>
  <c r="O18" i="1"/>
  <c r="O16" i="1"/>
  <c r="U38" i="1"/>
  <c r="O17" i="1"/>
  <c r="R37" i="1"/>
  <c r="O7" i="1"/>
  <c r="Q27" i="1"/>
  <c r="Q47" i="1"/>
  <c r="B7" i="1"/>
  <c r="Q36" i="1"/>
  <c r="Q26" i="1"/>
  <c r="Q46" i="1"/>
  <c r="Q15" i="1"/>
  <c r="T15" i="1"/>
  <c r="S18" i="1"/>
  <c r="V18" i="1"/>
  <c r="Q18" i="1"/>
  <c r="T18" i="1"/>
  <c r="S16" i="1"/>
  <c r="V16" i="1"/>
  <c r="Q16" i="1"/>
  <c r="T16" i="1"/>
  <c r="S17" i="1"/>
  <c r="V17" i="1"/>
  <c r="Q17" i="1"/>
  <c r="T17" i="1"/>
  <c r="C19" i="1"/>
  <c r="N19" i="1" s="1"/>
  <c r="P7" i="1" l="1"/>
  <c r="Q37" i="1"/>
  <c r="S37" i="1"/>
  <c r="R18" i="1"/>
  <c r="U18" i="1"/>
  <c r="R17" i="1"/>
  <c r="U17" i="1"/>
  <c r="U16" i="1"/>
  <c r="R16" i="1"/>
  <c r="R36" i="1"/>
  <c r="Q49" i="1"/>
  <c r="N7" i="1"/>
  <c r="R39" i="1"/>
  <c r="Q29" i="1"/>
  <c r="Q39" i="1"/>
  <c r="T19" i="1"/>
  <c r="S39" i="1" l="1"/>
  <c r="Q19" i="1"/>
  <c r="B28" i="7"/>
  <c r="C28" i="7" s="1"/>
  <c r="D28" i="7" s="1"/>
  <c r="D47" i="1" s="1"/>
  <c r="P47" i="1" s="1"/>
  <c r="O47" i="1" l="1"/>
  <c r="B29" i="7"/>
  <c r="C29" i="7" s="1"/>
  <c r="D29" i="7" s="1"/>
  <c r="D48" i="1" s="1"/>
  <c r="P48" i="1" s="1"/>
  <c r="B24" i="7"/>
  <c r="C24" i="7" s="1"/>
  <c r="D46" i="1" s="1"/>
  <c r="P46" i="1" s="1"/>
  <c r="B10" i="7"/>
  <c r="C10" i="7" s="1"/>
  <c r="D10" i="7" s="1"/>
  <c r="D29" i="6"/>
  <c r="D28" i="6" s="1"/>
  <c r="D27" i="1" s="1"/>
  <c r="P27" i="1" s="1"/>
  <c r="D33" i="6"/>
  <c r="D32" i="6" s="1"/>
  <c r="D28" i="1" s="1"/>
  <c r="P28" i="1" s="1"/>
  <c r="D22" i="6"/>
  <c r="D21" i="6"/>
  <c r="D20" i="6" s="1"/>
  <c r="D15" i="6"/>
  <c r="D16" i="6"/>
  <c r="D17" i="6"/>
  <c r="D18" i="6"/>
  <c r="D19" i="6"/>
  <c r="D14" i="6"/>
  <c r="D5" i="6"/>
  <c r="D7" i="6"/>
  <c r="D8" i="6"/>
  <c r="D9" i="6"/>
  <c r="D10" i="6"/>
  <c r="D11" i="6"/>
  <c r="D12" i="6"/>
  <c r="D4" i="6"/>
  <c r="U47" i="1" l="1"/>
  <c r="V47" i="1"/>
  <c r="R47" i="1"/>
  <c r="S47" i="1"/>
  <c r="D13" i="6"/>
  <c r="D26" i="1" s="1"/>
  <c r="O28" i="1"/>
  <c r="O27" i="1"/>
  <c r="C14" i="7"/>
  <c r="E14" i="7" s="1"/>
  <c r="C15" i="7"/>
  <c r="E15" i="7" s="1"/>
  <c r="C16" i="7"/>
  <c r="E16" i="7" s="1"/>
  <c r="C13" i="7"/>
  <c r="E13" i="7" s="1"/>
  <c r="O46" i="1"/>
  <c r="O48" i="1"/>
  <c r="O26" i="1" l="1"/>
  <c r="P26" i="1"/>
  <c r="R48" i="1"/>
  <c r="S48" i="1"/>
  <c r="U48" i="1"/>
  <c r="V48" i="1"/>
  <c r="R27" i="1"/>
  <c r="S27" i="1"/>
  <c r="U28" i="1"/>
  <c r="V28" i="1"/>
  <c r="R46" i="1"/>
  <c r="S46" i="1"/>
  <c r="R28" i="1"/>
  <c r="S28" i="1"/>
  <c r="U27" i="1"/>
  <c r="V27" i="1"/>
  <c r="U46" i="1"/>
  <c r="V46" i="1"/>
  <c r="E17" i="7"/>
  <c r="D45" i="1" s="1"/>
  <c r="D6" i="6"/>
  <c r="D3" i="6" s="1"/>
  <c r="D25" i="1" s="1"/>
  <c r="D27" i="6"/>
  <c r="D29" i="1" l="1"/>
  <c r="P25" i="1"/>
  <c r="R45" i="1"/>
  <c r="P45" i="1"/>
  <c r="S45" i="1"/>
  <c r="U26" i="1"/>
  <c r="V26" i="1"/>
  <c r="R26" i="1"/>
  <c r="S26" i="1"/>
  <c r="O45" i="1"/>
  <c r="D49" i="1"/>
  <c r="O25" i="1"/>
  <c r="E10" i="2"/>
  <c r="D9" i="2"/>
  <c r="E9" i="2" s="1"/>
  <c r="D8" i="2"/>
  <c r="E8" i="2" s="1"/>
  <c r="D7" i="2"/>
  <c r="E7" i="2" s="1"/>
  <c r="D6" i="2"/>
  <c r="E6" i="2" s="1"/>
  <c r="D5" i="2"/>
  <c r="E5" i="2" s="1"/>
  <c r="D4" i="2"/>
  <c r="E4" i="2" s="1"/>
  <c r="O49" i="1" l="1"/>
  <c r="P49" i="1"/>
  <c r="O29" i="1"/>
  <c r="P29" i="1"/>
  <c r="R29" i="1"/>
  <c r="S29" i="1"/>
  <c r="U29" i="1"/>
  <c r="V29" i="1"/>
  <c r="R25" i="1"/>
  <c r="S25" i="1"/>
  <c r="U25" i="1"/>
  <c r="V25" i="1"/>
  <c r="U45" i="1"/>
  <c r="V45" i="1"/>
  <c r="R49" i="1" l="1"/>
  <c r="S49" i="1"/>
  <c r="U49" i="1"/>
  <c r="V49" i="1"/>
  <c r="D15" i="1"/>
  <c r="P15" i="1" l="1"/>
  <c r="D19" i="1"/>
  <c r="O15" i="1"/>
  <c r="O19" i="1" l="1"/>
  <c r="P19" i="1"/>
  <c r="R15" i="1"/>
  <c r="S15" i="1"/>
  <c r="U15" i="1"/>
  <c r="V15" i="1"/>
  <c r="U19" i="1" l="1"/>
  <c r="V19" i="1"/>
  <c r="R19" i="1"/>
  <c r="S19" i="1"/>
</calcChain>
</file>

<file path=xl/sharedStrings.xml><?xml version="1.0" encoding="utf-8"?>
<sst xmlns="http://schemas.openxmlformats.org/spreadsheetml/2006/main" count="724" uniqueCount="198">
  <si>
    <t>Cattle</t>
  </si>
  <si>
    <t>Swine</t>
  </si>
  <si>
    <t>Chickens</t>
  </si>
  <si>
    <t>Turkeys</t>
  </si>
  <si>
    <t>Species</t>
  </si>
  <si>
    <t>Animal category</t>
  </si>
  <si>
    <t>Population</t>
  </si>
  <si>
    <t>Weight in kg</t>
  </si>
  <si>
    <t>Weight in lbs</t>
  </si>
  <si>
    <t>Slaughtered calves</t>
  </si>
  <si>
    <t>Biomass</t>
  </si>
  <si>
    <t>Chickens - number of slaughtered, total</t>
  </si>
  <si>
    <t>Turkeys - number of slaughtered, total</t>
  </si>
  <si>
    <t>FDA_Proposed</t>
  </si>
  <si>
    <t>Hogs and pigs, kept for breeding, includes boars</t>
  </si>
  <si>
    <t>Slaughtered cattle</t>
  </si>
  <si>
    <t>Slaughtered hogs</t>
  </si>
  <si>
    <t>ESVAC</t>
  </si>
  <si>
    <t>PHAC</t>
  </si>
  <si>
    <t>Slaughtered cows</t>
  </si>
  <si>
    <t>Slaughtered bovine - Import</t>
  </si>
  <si>
    <t>Slaughtered bovine - Export</t>
  </si>
  <si>
    <t>Fattening bovine - Import</t>
  </si>
  <si>
    <t>Fattening bovine - Export</t>
  </si>
  <si>
    <t>Slaughtered pigs</t>
  </si>
  <si>
    <t>Slaughtered pigs - Import</t>
  </si>
  <si>
    <t>Slaughtered pigs - Export</t>
  </si>
  <si>
    <t>Fattening pigs - Import</t>
  </si>
  <si>
    <t>Fattening pigs - Export</t>
  </si>
  <si>
    <t>Living sows</t>
  </si>
  <si>
    <t>Slaughtered poultry - Import</t>
  </si>
  <si>
    <t>Slaughtered poultry - Export</t>
  </si>
  <si>
    <t>Broilers</t>
  </si>
  <si>
    <t>Slaughtered heifers</t>
  </si>
  <si>
    <t>Slaughtered bullocks and bulls</t>
  </si>
  <si>
    <t>Slaughtered calves and young cattle</t>
  </si>
  <si>
    <t>Dairy cows</t>
  </si>
  <si>
    <t xml:space="preserve">   Slaughtered</t>
  </si>
  <si>
    <t xml:space="preserve">   Import</t>
  </si>
  <si>
    <t xml:space="preserve">   Export</t>
  </si>
  <si>
    <t>OIE</t>
  </si>
  <si>
    <t>Meat, cattle</t>
  </si>
  <si>
    <t>Meat, chicken</t>
  </si>
  <si>
    <t>Meat, pig</t>
  </si>
  <si>
    <t>Meat, turkey</t>
  </si>
  <si>
    <t>Year</t>
  </si>
  <si>
    <t>Weight of species slaughtered (kg)</t>
  </si>
  <si>
    <t>Number of species slaughtered (heads)</t>
  </si>
  <si>
    <t>Generic carcass weight (kg)</t>
  </si>
  <si>
    <t>Mean live weight of adults at time of slaughter (kg)</t>
  </si>
  <si>
    <t>Bovine</t>
  </si>
  <si>
    <t>LSU weight ratio</t>
  </si>
  <si>
    <t>Mean live weight at slaughter (kg)</t>
  </si>
  <si>
    <t>Calves (&lt;1 yr)</t>
  </si>
  <si>
    <t>Young (1-2 yrs)</t>
  </si>
  <si>
    <t>Adult cows</t>
  </si>
  <si>
    <t>Adult males</t>
  </si>
  <si>
    <t>Population ratio (renewal rate)</t>
  </si>
  <si>
    <t>Census population (head) (WAHIS)</t>
  </si>
  <si>
    <t>Standard weight of a sow in Americas (kg)</t>
  </si>
  <si>
    <t>Expected percentage of sows in US-swine population</t>
  </si>
  <si>
    <t>Carcass weight (kg)</t>
  </si>
  <si>
    <t>TOTAL</t>
  </si>
  <si>
    <t>CATTLE</t>
  </si>
  <si>
    <t>SWINE</t>
  </si>
  <si>
    <t>CHICKENS</t>
  </si>
  <si>
    <t>TURKEYS</t>
  </si>
  <si>
    <t>Ionophores</t>
  </si>
  <si>
    <t>Aminoglycosides</t>
  </si>
  <si>
    <t>Amphenicols</t>
  </si>
  <si>
    <t>Cephalosporins</t>
  </si>
  <si>
    <t>Fluoroquinolones</t>
  </si>
  <si>
    <t>Lincosamides</t>
  </si>
  <si>
    <t>Macrolides</t>
  </si>
  <si>
    <t>Penicillins</t>
  </si>
  <si>
    <t>Sulfas</t>
  </si>
  <si>
    <t>Tetracyclines</t>
  </si>
  <si>
    <t>NIR</t>
  </si>
  <si>
    <t>Beef cows</t>
  </si>
  <si>
    <t>2016 to 2017</t>
  </si>
  <si>
    <t>2017 to 2018</t>
  </si>
  <si>
    <t>SUBTOTAL</t>
  </si>
  <si>
    <t>Pig imports (&lt;7kg)</t>
  </si>
  <si>
    <t>Pig imports (7 to &lt;23kg)</t>
  </si>
  <si>
    <t>Pig imports (23 to &lt;50kg)</t>
  </si>
  <si>
    <t>Pig exports (&lt;50 kg)</t>
  </si>
  <si>
    <r>
      <t>Pig imports, for immediate slaughter (</t>
    </r>
    <r>
      <rPr>
        <sz val="9"/>
        <color theme="1"/>
        <rFont val="Calibri"/>
        <family val="2"/>
      </rPr>
      <t>≥</t>
    </r>
    <r>
      <rPr>
        <sz val="9"/>
        <color theme="1"/>
        <rFont val="Arial"/>
        <family val="2"/>
      </rPr>
      <t>50kg)</t>
    </r>
  </si>
  <si>
    <t>Pig imports (≥50kg)</t>
  </si>
  <si>
    <t>Pig exports (≥50 kg)</t>
  </si>
  <si>
    <t>Chicken imports (&lt;0.185kg)</t>
  </si>
  <si>
    <t>Chicken imports (&gt;0.185kg)</t>
  </si>
  <si>
    <t>Chicken exports (&lt;0.185kg)</t>
  </si>
  <si>
    <t>Chicken exports (&gt;0.185kg)</t>
  </si>
  <si>
    <t>Turkey imports (&lt;0.185kg)</t>
  </si>
  <si>
    <t>Turkey imports (&gt;0.185kg)</t>
  </si>
  <si>
    <t>Turkey exports (&lt;0.185kg)</t>
  </si>
  <si>
    <t>Turkey exports (&gt;0.185kg)</t>
  </si>
  <si>
    <t>Pigs</t>
  </si>
  <si>
    <t>Poultry</t>
  </si>
  <si>
    <t>This section is for comparison with other methods</t>
  </si>
  <si>
    <t>Slaughter cows</t>
  </si>
  <si>
    <t>Slaughter heifers</t>
  </si>
  <si>
    <t>Slaughter steers and bulls</t>
  </si>
  <si>
    <t>Slaughter calves</t>
  </si>
  <si>
    <t>Cattle and calf import for feeding or slaughter</t>
  </si>
  <si>
    <t>Cattle and calf export for slaughter</t>
  </si>
  <si>
    <t>Cattle and calf export for feeding</t>
  </si>
  <si>
    <t>Slaughter finishers</t>
  </si>
  <si>
    <t>All swine international import</t>
  </si>
  <si>
    <t>Swine export for slaughter</t>
  </si>
  <si>
    <t>Swine export for feeding</t>
  </si>
  <si>
    <t>Sows and gilts (6 months and over)</t>
  </si>
  <si>
    <t>Slaughter chickens</t>
  </si>
  <si>
    <t>Slaughter turkeys</t>
  </si>
  <si>
    <t>Live poultry for import</t>
  </si>
  <si>
    <t>Export (Included all poultry - total live birds)</t>
  </si>
  <si>
    <t xml:space="preserve">   Live poultry for import (&lt;0.185 kg) (included in total)</t>
  </si>
  <si>
    <t xml:space="preserve">   Live poultry for import (&gt;0.185 kg) (included in total)</t>
  </si>
  <si>
    <t xml:space="preserve">   Export (&lt;0.185 kg) (included in total)</t>
  </si>
  <si>
    <t xml:space="preserve">   Export (&gt;0.185 kg) (included in total)</t>
  </si>
  <si>
    <t xml:space="preserve">      Import (&lt;0.185 kg) (included in total)</t>
  </si>
  <si>
    <t xml:space="preserve">      Import (&gt;0.185 kg) (included in total)</t>
  </si>
  <si>
    <t xml:space="preserve">      Export (&lt;0.185 kg) (included in total)</t>
  </si>
  <si>
    <t xml:space="preserve">      Export (&gt;0.185 kg) (included in total)</t>
  </si>
  <si>
    <r>
      <t xml:space="preserve">Generic mean live weight at slaughter (kg) </t>
    </r>
    <r>
      <rPr>
        <sz val="9"/>
        <color theme="1"/>
        <rFont val="Arial"/>
        <family val="2"/>
      </rPr>
      <t>(Conversion coefficient = 0.54)</t>
    </r>
  </si>
  <si>
    <r>
      <t xml:space="preserve">Mean live weight of adults at time of slaughter (kg) </t>
    </r>
    <r>
      <rPr>
        <sz val="9"/>
        <color rgb="FF000000"/>
        <rFont val="Arial"/>
        <family val="2"/>
      </rPr>
      <t>(Correction factor = 1.15)</t>
    </r>
  </si>
  <si>
    <r>
      <t xml:space="preserve">Mean live weight at slaughter (kg) </t>
    </r>
    <r>
      <rPr>
        <sz val="9"/>
        <color theme="1"/>
        <rFont val="Arial"/>
        <family val="2"/>
      </rPr>
      <t>(Conversion coefficient = 0.78)</t>
    </r>
  </si>
  <si>
    <r>
      <t xml:space="preserve">Mean live weight at slaughter (kg) </t>
    </r>
    <r>
      <rPr>
        <sz val="9"/>
        <color theme="1"/>
        <rFont val="Arial"/>
        <family val="2"/>
      </rPr>
      <t>(Conversion coefficient = 0.7 chickens &amp; turkeys)</t>
    </r>
  </si>
  <si>
    <t>% Change in kg animal biomass</t>
  </si>
  <si>
    <t>% Change in adjusted sales</t>
  </si>
  <si>
    <t>% Change in adjusted sales for MI antimicrobials only</t>
  </si>
  <si>
    <t>% Change in total sales  for MI antimicrobials only</t>
  </si>
  <si>
    <t>Total sales for MI antimicrobials only (kg)</t>
  </si>
  <si>
    <t>Animal biomass (kg)</t>
  </si>
  <si>
    <t>Adjusted sales (mg/kg)</t>
  </si>
  <si>
    <t>Adjusted sales for MI antimicrobials only (mg/kg)</t>
  </si>
  <si>
    <t xml:space="preserve">Results </t>
  </si>
  <si>
    <t>Created when the data in all other sheets are completed.</t>
  </si>
  <si>
    <t>Total antimicrobial sales</t>
  </si>
  <si>
    <t>Total antimicrobial sales (kg)</t>
  </si>
  <si>
    <t>% Change in total antimicrobial sales</t>
  </si>
  <si>
    <t>% Change in animal biomass</t>
  </si>
  <si>
    <t>Total sales, Total sales for medically important (MI) antimcirobials only, Animal biomass, Adjusted sales, Adjusted sales for MI antimicrobials only for years 2016, 2017 and 2018 is calculated in columns A-J.</t>
  </si>
  <si>
    <t xml:space="preserve">"Weight in kg" and "Biomass" columns are calculated based on the entries. </t>
  </si>
  <si>
    <t>To fill Chickens/Turkeys Import/export, please do the following:</t>
  </si>
  <si>
    <t>3. Click on "List Selected Chapters"</t>
  </si>
  <si>
    <t xml:space="preserve">2. Select the following in the website: Data Source: FAS US Trade; Product Type: Imports - General OR Exports; Product Groups: HS-6; Partners: World Total; Products: 01 - Live Animals </t>
  </si>
  <si>
    <t>4. Choose 010511 for chicken imports/exports (&lt;0.185kg); OR 010594 for chicken imports/exports (&gt;0.185kg); OR 010512 for turkey imports/exports (&lt;0.185kg); OR 010599 for turkey imports/exports (&gt;0.185kg)</t>
  </si>
  <si>
    <t>5. Select the following after you choose poultry and weight: Statistics - Value: None, Quantity: FAS Non Converted; Dates - Series: Annual,  Monthly Range: Jan-Dec, End Month: Dec; Settings: Default</t>
  </si>
  <si>
    <t>6. Click on "retrieve Data"</t>
  </si>
  <si>
    <t>PHAC is calculated automatically when the values for FDA_Proposed and ESVAC is entered.</t>
  </si>
  <si>
    <t>ESVAC is calculated automatically when the values for FDA_Proposed is entered. Exception: the first 3 lines for cattle categories need to be entered separately. Click on the cells for spefic instructions.</t>
  </si>
  <si>
    <t>Data for OIE method needs to be entered separately. Click on the cells for specific instructions.</t>
  </si>
  <si>
    <t>Please enter the numbers for "population" and "weight in lbs" columns as instructed. Click on the cells for specific instructions (Specific instructions are provided for only 2018).</t>
  </si>
  <si>
    <r>
      <rPr>
        <b/>
        <sz val="11"/>
        <color rgb="FFFF0000"/>
        <rFont val="Calibri"/>
        <family val="2"/>
        <scheme val="minor"/>
      </rPr>
      <t>START HERE</t>
    </r>
    <r>
      <rPr>
        <sz val="11"/>
        <color rgb="FFFF0000"/>
        <rFont val="Calibri"/>
        <family val="2"/>
        <scheme val="minor"/>
      </rPr>
      <t>:</t>
    </r>
    <r>
      <rPr>
        <sz val="11"/>
        <color theme="1"/>
        <rFont val="Calibri"/>
        <family val="2"/>
        <scheme val="minor"/>
      </rPr>
      <t xml:space="preserve"> Please fill in cell F4-F7 to calculate biomass of slaughtered cows, heifers, bullocks and bulls, and please DO NOT delete columns G-I (currently hidden).</t>
    </r>
  </si>
  <si>
    <r>
      <rPr>
        <b/>
        <sz val="11"/>
        <color rgb="FFFF0000"/>
        <rFont val="Calibri"/>
        <family val="2"/>
        <scheme val="minor"/>
      </rPr>
      <t xml:space="preserve">START HERE: </t>
    </r>
    <r>
      <rPr>
        <sz val="11"/>
        <color theme="1"/>
        <rFont val="Calibri"/>
        <family val="2"/>
        <scheme val="minor"/>
      </rPr>
      <t>Please fill in cell F43-F46 to calculate biomass of slaughtered cows, heifers, bullocks and bulls, and please DO NOT delete columns G-I (currently hidden).</t>
    </r>
  </si>
  <si>
    <r>
      <rPr>
        <b/>
        <sz val="11"/>
        <color rgb="FFFF0000"/>
        <rFont val="Calibri"/>
        <family val="2"/>
        <scheme val="minor"/>
      </rPr>
      <t>START HERE:</t>
    </r>
    <r>
      <rPr>
        <sz val="11"/>
        <color theme="1"/>
        <rFont val="Calibri"/>
        <family val="2"/>
        <scheme val="minor"/>
      </rPr>
      <t xml:space="preserve"> Please fill in cell F43-F46 to calculate biomass of slaughtered cows, heifers, bullocks and bulls, and please DO NOT delete columns G-I (currently hidden).</t>
    </r>
  </si>
  <si>
    <t xml:space="preserve">1. Go to </t>
  </si>
  <si>
    <t>USDA Foreign Agricultural Service</t>
  </si>
  <si>
    <t>1. Go to</t>
  </si>
  <si>
    <t>3. Click on "Show Data"</t>
  </si>
  <si>
    <t>FAOSTAT - Data - Livestock Primary</t>
  </si>
  <si>
    <t>2. Select the following in the website: Countries: United States of America; Elements:Producing Animals/Slaughtered; Items: Click on "Select All"; Years: 2018</t>
  </si>
  <si>
    <t>4. Find the data for "Meat, cattle",  "Meat, pig", "Meat, chicken" or "Meat, turkey". The rows with unit names "Head" or "1000 Head" are entered in "Number of species slaughtered" in OIE tab.</t>
  </si>
  <si>
    <t>5. Find the data for "Meat, cattle",  "Meat, pig", "Meat, chicken" or "Meat, turkey". The rows with unit names "tonnes" are entered in "Weight of species slaughtered". Remember to enter the value in kgs.</t>
  </si>
  <si>
    <t>To fill "Number of species slaughtered" and "Weight of species slaughtered", please do the following:</t>
  </si>
  <si>
    <t>To fill "Census Population" for bovine and swine biomass, please do the following:</t>
  </si>
  <si>
    <t>WAHIS Interface - Animal population</t>
  </si>
  <si>
    <t>2. Select the following in the website: Choose by: Single country; Region: Americas; Country: United States of America; Year:2018; Show All species</t>
  </si>
  <si>
    <t>3. Wait for the website to show the data</t>
  </si>
  <si>
    <t>4. Find the population data for "Cattle" and "Swine", then enter the values to associated "Census population" cells in OIE tab.</t>
  </si>
  <si>
    <t>Please enter data on only the cells indicated with yellow color as the background</t>
  </si>
  <si>
    <t xml:space="preserve">Please enter MI and NMI (not medically important) antimicrobial sales in kg in columns C-P. </t>
  </si>
  <si>
    <t>If calculations are intended to represent a single year, use the cells  for a specific year consistently.</t>
  </si>
  <si>
    <t xml:space="preserve">There are 7 sheets in this document to compare biomass methodologies for three years. </t>
  </si>
  <si>
    <t>2016 to 2018</t>
  </si>
  <si>
    <t>Livingstock beef cows</t>
  </si>
  <si>
    <t>Livingstock milk cows</t>
  </si>
  <si>
    <t>Import Quantity (head) (FAOSTAT)</t>
  </si>
  <si>
    <t>Export Quantity (head) (FAOSTAT)</t>
  </si>
  <si>
    <t>To fill "Import Quantity" and "Export Quantity", please do the following:</t>
  </si>
  <si>
    <t>FAOSTAT - Data - Live Animals</t>
  </si>
  <si>
    <t>2. Select the following in the website: Countries: United States of America; Elements:Import Quantity and Export Quantity; Items: Click on Cattle; Years: 2018</t>
  </si>
  <si>
    <t>4. Find the data for "Import Quantity" and "Export Quantity", then enter in respective cells in OIE tab.</t>
  </si>
  <si>
    <t xml:space="preserve">% change for animal biomass, total and adjusted sales is calculated in columns N-V. </t>
  </si>
  <si>
    <t>About the file:</t>
  </si>
  <si>
    <t>This excel file was developed to adjust for animal biomass the annual US-specific antimicrobial sales in major food producing species between 2016 and 2018. The enclosed spreadsheets apply the methodologies established by:</t>
  </si>
  <si>
    <t>Food and Drug Administration (FDA),</t>
  </si>
  <si>
    <t>European Surveillance of Veterinary Antimicrobial Consumption (ESVAC) of the European Medicines Agency,</t>
  </si>
  <si>
    <t>Public Agency of Canada (PHAC) and</t>
  </si>
  <si>
    <t>World Organisation for Animal Health (OIE).</t>
  </si>
  <si>
    <t xml:space="preserve">When using this file please give credit to the authors and the study: </t>
  </si>
  <si>
    <t>Ece Bulut, Renata Ivanek. “Study: Comparison of different biomass methodologies to adjust sales data on veterinary antimicrobials in the United States” (currently under peer review)</t>
  </si>
  <si>
    <t>Medically important (kg)</t>
  </si>
  <si>
    <t>Not medically important (kg)</t>
  </si>
  <si>
    <t>Cattle imports for immediate slaughter</t>
  </si>
  <si>
    <t>Cattle and calves import for feeding</t>
  </si>
  <si>
    <t>Cattle exports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</si>
</sst>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
  </numFmts>
  <fonts count="18" x14ac:knownFonts="1">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b/>
      <sz val="9"/>
      <color theme="1"/>
      <name val="Arial"/>
      <family val="2"/>
    </font>
    <font>
      <sz val="10"/>
      <color theme="1"/>
      <name val="Arial"/>
      <family val="2"/>
    </font>
    <font>
      <b/>
      <sz val="10"/>
      <color theme="1"/>
      <name val="Arial"/>
      <family val="2"/>
    </font>
    <font>
      <i/>
      <sz val="9"/>
      <color theme="1"/>
      <name val="Arial"/>
      <family val="2"/>
    </font>
    <font>
      <b/>
      <i/>
      <sz val="9"/>
      <color theme="1"/>
      <name val="Arial"/>
      <family val="2"/>
    </font>
    <font>
      <sz val="9"/>
      <name val="Arial"/>
      <family val="2"/>
    </font>
    <font>
      <sz val="9"/>
      <color theme="1"/>
      <name val="Calibri"/>
      <family val="2"/>
    </font>
    <font>
      <b/>
      <sz val="9"/>
      <color rgb="FF000000"/>
      <name val="Arial"/>
      <family val="2"/>
    </font>
    <font>
      <sz val="9"/>
      <color rgb="FF000000"/>
      <name val="Arial"/>
      <family val="2"/>
    </font>
    <font>
      <sz val="11"/>
      <color rgb="FFFF0000"/>
      <name val="Calibri"/>
      <family val="2"/>
      <scheme val="minor"/>
    </font>
    <font>
      <sz val="11"/>
      <color theme="0"/>
      <name val="Calibri"/>
      <family val="2"/>
      <scheme val="minor"/>
    </font>
    <font>
      <sz val="11"/>
      <name val="Calibri"/>
      <family val="2"/>
      <scheme val="minor"/>
    </font>
    <font>
      <b/>
      <sz val="11"/>
      <color rgb="FFFF0000"/>
      <name val="Calibri"/>
      <family val="2"/>
      <scheme val="minor"/>
    </font>
    <font>
      <sz val="9"/>
      <color rgb="FF3F3F76"/>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4" fontId="17" fillId="9" borderId="8">
      <alignment horizontal="center" vertical="center"/>
    </xf>
  </cellStyleXfs>
  <cellXfs count="134">
    <xf numFmtId="0" fontId="0" fillId="0" borderId="0" xfId="0"/>
    <xf numFmtId="0" fontId="6" fillId="6" borderId="1" xfId="0" applyFont="1" applyFill="1" applyBorder="1" applyAlignment="1">
      <alignment horizontal="center" vertical="center"/>
    </xf>
    <xf numFmtId="0" fontId="0" fillId="6" borderId="0" xfId="0" applyFill="1"/>
    <xf numFmtId="0" fontId="2" fillId="6" borderId="1" xfId="0" applyFont="1" applyFill="1" applyBorder="1" applyAlignment="1">
      <alignment horizontal="left" vertical="center"/>
    </xf>
    <xf numFmtId="0" fontId="2" fillId="6" borderId="0" xfId="0" applyFont="1" applyFill="1" applyBorder="1" applyAlignment="1">
      <alignment horizontal="right" vertical="center"/>
    </xf>
    <xf numFmtId="0" fontId="2" fillId="6" borderId="0" xfId="0" applyFont="1" applyFill="1"/>
    <xf numFmtId="0" fontId="5" fillId="6" borderId="0" xfId="0" applyFont="1" applyFill="1"/>
    <xf numFmtId="0" fontId="4" fillId="6" borderId="0" xfId="0" applyFont="1" applyFill="1" applyBorder="1" applyAlignment="1">
      <alignment horizontal="center" vertical="center"/>
    </xf>
    <xf numFmtId="0" fontId="2" fillId="6" borderId="1" xfId="0" applyFont="1" applyFill="1" applyBorder="1" applyAlignment="1">
      <alignment horizontal="center" vertical="center"/>
    </xf>
    <xf numFmtId="0" fontId="7" fillId="6" borderId="1" xfId="0" applyFont="1" applyFill="1" applyBorder="1" applyAlignment="1">
      <alignment horizontal="center" vertical="center"/>
    </xf>
    <xf numFmtId="3" fontId="0" fillId="6" borderId="0" xfId="0" applyNumberFormat="1" applyFill="1"/>
    <xf numFmtId="0" fontId="1" fillId="6" borderId="0" xfId="0" applyFont="1" applyFill="1"/>
    <xf numFmtId="0" fontId="4" fillId="6" borderId="0" xfId="0" applyFont="1" applyFill="1"/>
    <xf numFmtId="0" fontId="7" fillId="6" borderId="0" xfId="0" applyFont="1" applyFill="1" applyBorder="1" applyAlignment="1">
      <alignment horizontal="center" vertical="center"/>
    </xf>
    <xf numFmtId="164" fontId="7" fillId="6" borderId="0" xfId="0" applyNumberFormat="1" applyFont="1" applyFill="1" applyBorder="1" applyAlignment="1">
      <alignment horizontal="center" vertical="center"/>
    </xf>
    <xf numFmtId="3" fontId="2" fillId="6" borderId="0" xfId="0" applyNumberFormat="1" applyFont="1" applyFill="1" applyBorder="1" applyAlignment="1">
      <alignment horizontal="center" vertical="center"/>
    </xf>
    <xf numFmtId="0" fontId="0" fillId="6" borderId="0" xfId="0" applyFill="1" applyBorder="1"/>
    <xf numFmtId="0" fontId="2"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0" xfId="0" applyFont="1" applyFill="1" applyBorder="1"/>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8" borderId="1" xfId="0" applyFont="1" applyFill="1" applyBorder="1" applyAlignment="1">
      <alignment horizontal="center" vertical="center"/>
    </xf>
    <xf numFmtId="3" fontId="2" fillId="8" borderId="1" xfId="0" applyNumberFormat="1" applyFont="1" applyFill="1" applyBorder="1" applyAlignment="1">
      <alignment horizontal="center" vertical="center"/>
    </xf>
    <xf numFmtId="3" fontId="7" fillId="8" borderId="1" xfId="0" applyNumberFormat="1" applyFont="1" applyFill="1" applyBorder="1" applyAlignment="1">
      <alignment horizontal="center" vertical="center"/>
    </xf>
    <xf numFmtId="0" fontId="2" fillId="6" borderId="7" xfId="0" applyFont="1" applyFill="1" applyBorder="1"/>
    <xf numFmtId="0" fontId="2"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2" fillId="6" borderId="0" xfId="0" applyFont="1" applyFill="1" applyBorder="1" applyAlignment="1">
      <alignment horizontal="center" vertical="center"/>
    </xf>
    <xf numFmtId="3" fontId="7" fillId="6" borderId="0"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3" fontId="2"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3" fontId="7" fillId="3" borderId="2" xfId="0" applyNumberFormat="1" applyFont="1" applyFill="1" applyBorder="1" applyAlignment="1">
      <alignment horizontal="center" vertical="center"/>
    </xf>
    <xf numFmtId="0" fontId="4" fillId="6" borderId="2" xfId="0" applyFont="1" applyFill="1" applyBorder="1" applyAlignment="1">
      <alignment horizontal="right" vertical="center"/>
    </xf>
    <xf numFmtId="0" fontId="2" fillId="6" borderId="1" xfId="0" applyFont="1" applyFill="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4" fillId="0" borderId="1" xfId="0" applyFont="1" applyBorder="1" applyAlignment="1">
      <alignment horizontal="right" vertical="center"/>
    </xf>
    <xf numFmtId="0" fontId="8" fillId="6" borderId="0" xfId="0" applyFont="1" applyFill="1" applyBorder="1" applyAlignment="1">
      <alignment horizontal="left" vertical="center"/>
    </xf>
    <xf numFmtId="0" fontId="0" fillId="6" borderId="0" xfId="0" applyFill="1" applyAlignment="1">
      <alignment horizontal="center" vertical="center"/>
    </xf>
    <xf numFmtId="0" fontId="0" fillId="6" borderId="0" xfId="0" applyFill="1" applyAlignment="1">
      <alignment horizontal="right"/>
    </xf>
    <xf numFmtId="3" fontId="0" fillId="6" borderId="0" xfId="0" applyNumberFormat="1" applyFont="1" applyFill="1" applyAlignment="1">
      <alignment horizontal="right"/>
    </xf>
    <xf numFmtId="0" fontId="4" fillId="6" borderId="1" xfId="0" applyFont="1" applyFill="1" applyBorder="1" applyAlignment="1">
      <alignment horizontal="right" vertical="center"/>
    </xf>
    <xf numFmtId="0" fontId="11" fillId="6" borderId="0" xfId="0" applyFont="1" applyFill="1" applyBorder="1" applyAlignment="1">
      <alignment horizontal="center" wrapText="1" readingOrder="1"/>
    </xf>
    <xf numFmtId="0" fontId="12" fillId="6" borderId="0" xfId="0" applyFont="1" applyFill="1" applyBorder="1" applyAlignment="1">
      <alignment horizontal="center" wrapText="1" readingOrder="1"/>
    </xf>
    <xf numFmtId="0" fontId="4" fillId="5" borderId="1" xfId="0" applyFont="1" applyFill="1" applyBorder="1" applyAlignment="1">
      <alignment horizontal="center" vertical="center"/>
    </xf>
    <xf numFmtId="0" fontId="2" fillId="7" borderId="0" xfId="0" applyFont="1" applyFill="1"/>
    <xf numFmtId="0" fontId="4" fillId="7" borderId="1" xfId="0" applyFont="1" applyFill="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11" fillId="7" borderId="1" xfId="0" applyFont="1" applyFill="1" applyBorder="1" applyAlignment="1">
      <alignment horizontal="center" vertical="center" readingOrder="1"/>
    </xf>
    <xf numFmtId="4" fontId="2" fillId="7" borderId="1" xfId="0" applyNumberFormat="1" applyFont="1" applyFill="1" applyBorder="1" applyAlignment="1">
      <alignment horizontal="center" vertical="center"/>
    </xf>
    <xf numFmtId="0" fontId="2" fillId="7" borderId="0" xfId="0" applyFont="1" applyFill="1" applyBorder="1"/>
    <xf numFmtId="3" fontId="4" fillId="7" borderId="1" xfId="0" applyNumberFormat="1" applyFont="1" applyFill="1" applyBorder="1" applyAlignment="1">
      <alignment horizontal="center" vertical="center"/>
    </xf>
    <xf numFmtId="0" fontId="4" fillId="7" borderId="2" xfId="0" applyFont="1" applyFill="1" applyBorder="1" applyAlignment="1">
      <alignment horizontal="center" vertical="center"/>
    </xf>
    <xf numFmtId="0" fontId="0" fillId="8" borderId="1" xfId="0" applyFill="1" applyBorder="1" applyAlignment="1">
      <alignment horizontal="center"/>
    </xf>
    <xf numFmtId="166" fontId="0" fillId="8" borderId="1" xfId="0" applyNumberFormat="1" applyFill="1" applyBorder="1" applyAlignment="1">
      <alignment horizontal="center" vertical="center"/>
    </xf>
    <xf numFmtId="0" fontId="0" fillId="4" borderId="1" xfId="0" applyFill="1" applyBorder="1" applyAlignment="1">
      <alignment horizontal="center"/>
    </xf>
    <xf numFmtId="166" fontId="0" fillId="4" borderId="1" xfId="0" applyNumberFormat="1" applyFill="1" applyBorder="1" applyAlignment="1">
      <alignment horizontal="center" vertical="center"/>
    </xf>
    <xf numFmtId="0" fontId="0" fillId="5" borderId="1" xfId="0" applyFill="1" applyBorder="1" applyAlignment="1">
      <alignment horizontal="center"/>
    </xf>
    <xf numFmtId="166" fontId="0" fillId="5" borderId="1" xfId="0" applyNumberFormat="1" applyFill="1" applyBorder="1" applyAlignment="1">
      <alignment horizontal="center" vertical="center"/>
    </xf>
    <xf numFmtId="0" fontId="0" fillId="3" borderId="1" xfId="0" applyFill="1" applyBorder="1" applyAlignment="1">
      <alignment horizontal="center"/>
    </xf>
    <xf numFmtId="166" fontId="0" fillId="3" borderId="1" xfId="0" applyNumberFormat="1" applyFill="1" applyBorder="1" applyAlignment="1">
      <alignment horizontal="center" vertical="center"/>
    </xf>
    <xf numFmtId="0" fontId="0" fillId="2" borderId="1" xfId="0" applyFill="1" applyBorder="1" applyAlignment="1">
      <alignment horizontal="center"/>
    </xf>
    <xf numFmtId="166" fontId="0" fillId="2" borderId="1" xfId="0" applyNumberFormat="1" applyFill="1" applyBorder="1" applyAlignment="1">
      <alignment horizontal="center" vertical="center"/>
    </xf>
    <xf numFmtId="3" fontId="0" fillId="6" borderId="1" xfId="0" applyNumberFormat="1" applyFill="1" applyBorder="1"/>
    <xf numFmtId="3" fontId="0" fillId="6" borderId="0" xfId="0" applyNumberFormat="1" applyFill="1" applyBorder="1"/>
    <xf numFmtId="4" fontId="14" fillId="6" borderId="0" xfId="0" applyNumberFormat="1" applyFont="1" applyFill="1" applyBorder="1"/>
    <xf numFmtId="3" fontId="14" fillId="6" borderId="0" xfId="0" applyNumberFormat="1" applyFont="1" applyFill="1" applyBorder="1"/>
    <xf numFmtId="3" fontId="15" fillId="6" borderId="0" xfId="0" applyNumberFormat="1" applyFont="1" applyFill="1" applyBorder="1"/>
    <xf numFmtId="0" fontId="15" fillId="6" borderId="0" xfId="0" applyFont="1" applyFill="1"/>
    <xf numFmtId="165" fontId="14" fillId="6" borderId="0" xfId="0" applyNumberFormat="1" applyFont="1" applyFill="1" applyBorder="1"/>
    <xf numFmtId="3" fontId="14" fillId="6" borderId="0" xfId="0" applyNumberFormat="1" applyFont="1" applyFill="1"/>
    <xf numFmtId="0" fontId="14" fillId="6" borderId="0" xfId="0" applyFont="1" applyFill="1"/>
    <xf numFmtId="0" fontId="3" fillId="6" borderId="0" xfId="1" applyFill="1"/>
    <xf numFmtId="4" fontId="17" fillId="9" borderId="8" xfId="2">
      <alignment horizontal="center" vertical="center"/>
    </xf>
    <xf numFmtId="0" fontId="4" fillId="6" borderId="1" xfId="0" applyFont="1" applyFill="1" applyBorder="1" applyAlignment="1">
      <alignment horizontal="center"/>
    </xf>
    <xf numFmtId="3" fontId="4" fillId="6" borderId="1" xfId="0" applyNumberFormat="1" applyFont="1" applyFill="1" applyBorder="1" applyAlignment="1">
      <alignment horizontal="right" vertical="center"/>
    </xf>
    <xf numFmtId="3" fontId="2" fillId="6" borderId="1" xfId="0" applyNumberFormat="1" applyFont="1" applyFill="1" applyBorder="1" applyAlignment="1">
      <alignment horizontal="right" vertical="center"/>
    </xf>
    <xf numFmtId="4" fontId="2" fillId="6" borderId="1" xfId="0" applyNumberFormat="1" applyFont="1" applyFill="1" applyBorder="1" applyAlignment="1">
      <alignment horizontal="right" vertical="center"/>
    </xf>
    <xf numFmtId="0" fontId="2" fillId="6" borderId="1" xfId="0" applyFont="1" applyFill="1" applyBorder="1" applyAlignment="1">
      <alignment horizontal="right" vertical="center"/>
    </xf>
    <xf numFmtId="3" fontId="2" fillId="6" borderId="1" xfId="0" applyNumberFormat="1"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4" fontId="17" fillId="9" borderId="8" xfId="2" applyAlignment="1">
      <alignment horizontal="left" vertical="center"/>
    </xf>
    <xf numFmtId="4" fontId="0" fillId="6" borderId="0" xfId="0" applyNumberFormat="1" applyFill="1"/>
    <xf numFmtId="0" fontId="2" fillId="6" borderId="2" xfId="0" applyFont="1" applyFill="1" applyBorder="1" applyAlignment="1">
      <alignment horizontal="center" vertical="center"/>
    </xf>
    <xf numFmtId="4" fontId="5" fillId="0" borderId="0" xfId="0" applyNumberFormat="1" applyFont="1"/>
    <xf numFmtId="0" fontId="1" fillId="0" borderId="0" xfId="0" applyFont="1"/>
    <xf numFmtId="166" fontId="2" fillId="4" borderId="1" xfId="0" applyNumberFormat="1" applyFont="1" applyFill="1" applyBorder="1" applyAlignment="1">
      <alignment horizontal="center" vertical="center"/>
    </xf>
    <xf numFmtId="166" fontId="2" fillId="5" borderId="1" xfId="0" applyNumberFormat="1" applyFont="1" applyFill="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2" fillId="6" borderId="6"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3"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3" fontId="2" fillId="6" borderId="1" xfId="0" applyNumberFormat="1" applyFont="1" applyFill="1" applyBorder="1" applyAlignment="1">
      <alignment horizontal="center" vertical="center"/>
    </xf>
    <xf numFmtId="0" fontId="1" fillId="6" borderId="1" xfId="0" applyFont="1" applyFill="1" applyBorder="1" applyAlignment="1">
      <alignment horizontal="center" vertical="center"/>
    </xf>
    <xf numFmtId="0" fontId="4" fillId="7" borderId="0" xfId="0" applyFont="1" applyFill="1" applyAlignment="1">
      <alignment horizontal="center" vertical="center"/>
    </xf>
  </cellXfs>
  <cellStyles count="3">
    <cellStyle name="Hyperlink" xfId="1" builtinId="8"/>
    <cellStyle name="Input1" xfId="2" xr:uid="{9617DB96-79A5-4CE1-AEA6-99B0484873C8}"/>
    <cellStyle name="Normal" xfId="0" builtinId="0"/>
  </cellStyles>
  <dxfs count="0"/>
  <tableStyles count="0" defaultTableStyle="TableStyleMedium2" defaultPivotStyle="PivotStyleLight16"/>
  <colors>
    <mruColors>
      <color rgb="FFEACCF0"/>
      <color rgb="FFDDABE7"/>
      <color rgb="FFECD9FB"/>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ie.int/wahis_2/public/wahid.php/Countryinformation/Animalpopulation" TargetMode="External"/><Relationship Id="rId2" Type="http://schemas.openxmlformats.org/officeDocument/2006/relationships/hyperlink" Target="http://www.fao.org/faostat/en/" TargetMode="External"/><Relationship Id="rId1" Type="http://schemas.openxmlformats.org/officeDocument/2006/relationships/hyperlink" Target="https://apps.fas.usda.gov/gats/default.aspx" TargetMode="External"/><Relationship Id="rId4" Type="http://schemas.openxmlformats.org/officeDocument/2006/relationships/hyperlink" Target="http://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9A97-ECAA-4CF7-9645-B728C6255688}">
  <dimension ref="A1:B10"/>
  <sheetViews>
    <sheetView showGridLines="0" workbookViewId="0">
      <selection sqref="A1:D10"/>
    </sheetView>
  </sheetViews>
  <sheetFormatPr defaultRowHeight="15" x14ac:dyDescent="0.25"/>
  <sheetData>
    <row r="1" spans="1:2" x14ac:dyDescent="0.25">
      <c r="A1" s="93" t="s">
        <v>185</v>
      </c>
    </row>
    <row r="2" spans="1:2" x14ac:dyDescent="0.25">
      <c r="A2" s="93"/>
    </row>
    <row r="3" spans="1:2" x14ac:dyDescent="0.25">
      <c r="A3" t="s">
        <v>186</v>
      </c>
    </row>
    <row r="4" spans="1:2" x14ac:dyDescent="0.25">
      <c r="B4" t="s">
        <v>187</v>
      </c>
    </row>
    <row r="5" spans="1:2" x14ac:dyDescent="0.25">
      <c r="B5" t="s">
        <v>188</v>
      </c>
    </row>
    <row r="6" spans="1:2" x14ac:dyDescent="0.25">
      <c r="B6" t="s">
        <v>189</v>
      </c>
    </row>
    <row r="7" spans="1:2" x14ac:dyDescent="0.25">
      <c r="B7" t="s">
        <v>190</v>
      </c>
    </row>
    <row r="9" spans="1:2" x14ac:dyDescent="0.25">
      <c r="A9" t="s">
        <v>191</v>
      </c>
    </row>
    <row r="10" spans="1:2" x14ac:dyDescent="0.25">
      <c r="A10" t="s">
        <v>192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2175-935D-4FCB-876F-60F4E56F6B6A}">
  <dimension ref="A1:H54"/>
  <sheetViews>
    <sheetView workbookViewId="0">
      <selection activeCell="C51" sqref="C51"/>
    </sheetView>
  </sheetViews>
  <sheetFormatPr defaultColWidth="9.140625" defaultRowHeight="15" x14ac:dyDescent="0.25"/>
  <cols>
    <col min="1" max="16384" width="9.140625" style="2"/>
  </cols>
  <sheetData>
    <row r="1" spans="1:8" x14ac:dyDescent="0.25">
      <c r="A1" s="2" t="s">
        <v>174</v>
      </c>
    </row>
    <row r="3" spans="1:8" x14ac:dyDescent="0.25">
      <c r="B3" s="79" t="s">
        <v>136</v>
      </c>
    </row>
    <row r="4" spans="1:8" x14ac:dyDescent="0.25">
      <c r="B4" s="2" t="s">
        <v>137</v>
      </c>
    </row>
    <row r="5" spans="1:8" x14ac:dyDescent="0.25">
      <c r="B5" s="2" t="s">
        <v>142</v>
      </c>
    </row>
    <row r="6" spans="1:8" x14ac:dyDescent="0.25">
      <c r="B6" s="2" t="s">
        <v>184</v>
      </c>
    </row>
    <row r="8" spans="1:8" x14ac:dyDescent="0.25">
      <c r="B8" s="89" t="s">
        <v>171</v>
      </c>
      <c r="C8" s="80"/>
      <c r="D8" s="80"/>
      <c r="E8" s="80"/>
      <c r="F8" s="80"/>
      <c r="G8" s="80"/>
      <c r="H8" s="80"/>
    </row>
    <row r="9" spans="1:8" x14ac:dyDescent="0.25">
      <c r="B9" s="2" t="s">
        <v>173</v>
      </c>
    </row>
    <row r="11" spans="1:8" x14ac:dyDescent="0.25">
      <c r="B11" s="79" t="s">
        <v>138</v>
      </c>
    </row>
    <row r="12" spans="1:8" x14ac:dyDescent="0.25">
      <c r="B12" s="2" t="s">
        <v>172</v>
      </c>
    </row>
    <row r="15" spans="1:8" x14ac:dyDescent="0.25">
      <c r="B15" s="79" t="s">
        <v>13</v>
      </c>
    </row>
    <row r="16" spans="1:8" x14ac:dyDescent="0.25">
      <c r="B16" s="2" t="s">
        <v>153</v>
      </c>
    </row>
    <row r="17" spans="2:3" x14ac:dyDescent="0.25">
      <c r="B17" s="2" t="s">
        <v>143</v>
      </c>
    </row>
    <row r="18" spans="2:3" x14ac:dyDescent="0.25">
      <c r="B18" s="2" t="s">
        <v>144</v>
      </c>
    </row>
    <row r="19" spans="2:3" x14ac:dyDescent="0.25">
      <c r="B19" s="2" t="s">
        <v>159</v>
      </c>
      <c r="C19" s="79" t="s">
        <v>158</v>
      </c>
    </row>
    <row r="20" spans="2:3" x14ac:dyDescent="0.25">
      <c r="B20" s="2" t="s">
        <v>146</v>
      </c>
    </row>
    <row r="21" spans="2:3" x14ac:dyDescent="0.25">
      <c r="B21" s="2" t="s">
        <v>145</v>
      </c>
    </row>
    <row r="22" spans="2:3" x14ac:dyDescent="0.25">
      <c r="B22" s="2" t="s">
        <v>147</v>
      </c>
    </row>
    <row r="23" spans="2:3" x14ac:dyDescent="0.25">
      <c r="B23" s="2" t="s">
        <v>148</v>
      </c>
    </row>
    <row r="24" spans="2:3" x14ac:dyDescent="0.25">
      <c r="B24" s="2" t="s">
        <v>149</v>
      </c>
    </row>
    <row r="27" spans="2:3" x14ac:dyDescent="0.25">
      <c r="B27" s="79" t="s">
        <v>17</v>
      </c>
    </row>
    <row r="28" spans="2:3" x14ac:dyDescent="0.25">
      <c r="B28" s="2" t="s">
        <v>151</v>
      </c>
    </row>
    <row r="31" spans="2:3" x14ac:dyDescent="0.25">
      <c r="B31" s="79" t="s">
        <v>18</v>
      </c>
    </row>
    <row r="32" spans="2:3" x14ac:dyDescent="0.25">
      <c r="B32" s="2" t="s">
        <v>150</v>
      </c>
    </row>
    <row r="35" spans="2:3" x14ac:dyDescent="0.25">
      <c r="B35" s="79" t="s">
        <v>40</v>
      </c>
    </row>
    <row r="36" spans="2:3" x14ac:dyDescent="0.25">
      <c r="B36" s="2" t="s">
        <v>152</v>
      </c>
    </row>
    <row r="37" spans="2:3" x14ac:dyDescent="0.25">
      <c r="B37" s="2" t="s">
        <v>165</v>
      </c>
    </row>
    <row r="38" spans="2:3" x14ac:dyDescent="0.25">
      <c r="B38" s="2" t="s">
        <v>157</v>
      </c>
      <c r="C38" s="79" t="s">
        <v>161</v>
      </c>
    </row>
    <row r="39" spans="2:3" x14ac:dyDescent="0.25">
      <c r="B39" s="2" t="s">
        <v>162</v>
      </c>
    </row>
    <row r="40" spans="2:3" x14ac:dyDescent="0.25">
      <c r="B40" s="2" t="s">
        <v>160</v>
      </c>
    </row>
    <row r="41" spans="2:3" x14ac:dyDescent="0.25">
      <c r="B41" s="2" t="s">
        <v>163</v>
      </c>
    </row>
    <row r="42" spans="2:3" x14ac:dyDescent="0.25">
      <c r="B42" s="2" t="s">
        <v>164</v>
      </c>
    </row>
    <row r="44" spans="2:3" x14ac:dyDescent="0.25">
      <c r="B44" s="2" t="s">
        <v>166</v>
      </c>
    </row>
    <row r="45" spans="2:3" x14ac:dyDescent="0.25">
      <c r="B45" s="2" t="s">
        <v>157</v>
      </c>
      <c r="C45" s="79" t="s">
        <v>167</v>
      </c>
    </row>
    <row r="46" spans="2:3" x14ac:dyDescent="0.25">
      <c r="B46" s="2" t="s">
        <v>168</v>
      </c>
    </row>
    <row r="47" spans="2:3" x14ac:dyDescent="0.25">
      <c r="B47" s="2" t="s">
        <v>169</v>
      </c>
    </row>
    <row r="48" spans="2:3" x14ac:dyDescent="0.25">
      <c r="B48" s="2" t="s">
        <v>170</v>
      </c>
    </row>
    <row r="50" spans="2:3" x14ac:dyDescent="0.25">
      <c r="B50" s="2" t="s">
        <v>180</v>
      </c>
    </row>
    <row r="51" spans="2:3" x14ac:dyDescent="0.25">
      <c r="B51" s="2" t="s">
        <v>157</v>
      </c>
      <c r="C51" s="79" t="s">
        <v>181</v>
      </c>
    </row>
    <row r="52" spans="2:3" x14ac:dyDescent="0.25">
      <c r="B52" s="2" t="s">
        <v>182</v>
      </c>
    </row>
    <row r="53" spans="2:3" x14ac:dyDescent="0.25">
      <c r="B53" s="2" t="s">
        <v>160</v>
      </c>
    </row>
    <row r="54" spans="2:3" x14ac:dyDescent="0.25">
      <c r="B54" s="2" t="s">
        <v>183</v>
      </c>
    </row>
  </sheetData>
  <hyperlinks>
    <hyperlink ref="B3" location="Results!A1" display="Results " xr:uid="{E4C43982-F084-4EB4-90F9-660E1E08B0F9}"/>
    <hyperlink ref="B11" location="'Total antimicrobial sales'!A1" display="Total antimicrobial sales" xr:uid="{318F9169-C48D-4450-9BB8-C8A63A5B8746}"/>
    <hyperlink ref="B15" location="FDA_Proposed!A1" display="FDA_Proposed" xr:uid="{EF29AF28-3052-4E5C-8E88-CCEE5B6B47B7}"/>
    <hyperlink ref="B27" location="ESVAC!A1" display="ESVAC" xr:uid="{D2623E6F-EB85-4229-BCEA-EE59F2B57792}"/>
    <hyperlink ref="B31" location="' PHAC'!A1" display="PHAC" xr:uid="{C0661371-8F83-48B8-8FBE-7911745ECD2D}"/>
    <hyperlink ref="B35" location="OIE!A1" display="OIE" xr:uid="{3124ABAD-82FB-4955-8ADD-164160CC7AE5}"/>
    <hyperlink ref="C19" r:id="rId1" xr:uid="{C5BA379E-C07C-4F74-A586-7487596E2176}"/>
    <hyperlink ref="C38" r:id="rId2" location="data/QL" xr:uid="{E0387E61-B010-4103-868C-57D781A9D8E1}"/>
    <hyperlink ref="C45" r:id="rId3" xr:uid="{BC5EC027-CC95-468B-A7C5-D3AFCB506945}"/>
    <hyperlink ref="C51" r:id="rId4" location="data/TA" xr:uid="{8B097805-1672-43F8-91F8-0D38E50BDF5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37CE-BD2B-42D8-8284-756F27E45B9F}">
  <dimension ref="A1:V50"/>
  <sheetViews>
    <sheetView zoomScaleNormal="100" workbookViewId="0">
      <pane xSplit="1" topLeftCell="B1" activePane="topRight" state="frozen"/>
      <selection pane="topRight" activeCell="B15" sqref="B15"/>
    </sheetView>
  </sheetViews>
  <sheetFormatPr defaultColWidth="9.140625" defaultRowHeight="15" x14ac:dyDescent="0.25"/>
  <cols>
    <col min="1" max="10" width="20.7109375" style="2" customWidth="1"/>
    <col min="11" max="13" width="5.7109375" style="2" customWidth="1"/>
    <col min="14" max="22" width="20.7109375" style="2" customWidth="1"/>
    <col min="23" max="16384" width="9.140625" style="2"/>
  </cols>
  <sheetData>
    <row r="1" spans="1:22" x14ac:dyDescent="0.25">
      <c r="B1" s="101" t="s">
        <v>139</v>
      </c>
      <c r="C1" s="102"/>
      <c r="D1" s="103"/>
      <c r="E1" s="104" t="s">
        <v>132</v>
      </c>
      <c r="F1" s="105"/>
      <c r="G1" s="106"/>
      <c r="N1" s="98" t="s">
        <v>140</v>
      </c>
      <c r="O1" s="99"/>
      <c r="P1" s="100"/>
      <c r="Q1" s="96" t="s">
        <v>131</v>
      </c>
      <c r="R1" s="97"/>
      <c r="S1" s="97"/>
    </row>
    <row r="2" spans="1:22" x14ac:dyDescent="0.25">
      <c r="A2" s="20" t="s">
        <v>4</v>
      </c>
      <c r="B2" s="22">
        <v>2016</v>
      </c>
      <c r="C2" s="22">
        <v>2017</v>
      </c>
      <c r="D2" s="22">
        <v>2018</v>
      </c>
      <c r="E2" s="34">
        <v>2016</v>
      </c>
      <c r="F2" s="34">
        <v>2017</v>
      </c>
      <c r="G2" s="34">
        <v>2018</v>
      </c>
      <c r="N2" s="66" t="s">
        <v>79</v>
      </c>
      <c r="O2" s="66" t="s">
        <v>80</v>
      </c>
      <c r="P2" s="66" t="s">
        <v>175</v>
      </c>
      <c r="Q2" s="68" t="s">
        <v>79</v>
      </c>
      <c r="R2" s="68" t="s">
        <v>80</v>
      </c>
      <c r="S2" s="68" t="s">
        <v>175</v>
      </c>
    </row>
    <row r="3" spans="1:22" x14ac:dyDescent="0.25">
      <c r="A3" s="91" t="s">
        <v>0</v>
      </c>
      <c r="B3" s="33">
        <f>SUM('Total antimicrobial sales'!M5,'Total antimicrobial sales'!P5)</f>
        <v>6727049</v>
      </c>
      <c r="C3" s="33">
        <f>SUM('Total antimicrobial sales'!M4,'Total antimicrobial sales'!P4)</f>
        <v>5473170</v>
      </c>
      <c r="D3" s="33">
        <f>SUM('Total antimicrobial sales'!M3,'Total antimicrobial sales'!P3)</f>
        <v>5897220</v>
      </c>
      <c r="E3" s="35">
        <f>'Total antimicrobial sales'!M5</f>
        <v>3610943</v>
      </c>
      <c r="F3" s="35">
        <f>'Total antimicrobial sales'!M4</f>
        <v>2333839</v>
      </c>
      <c r="G3" s="35">
        <f>'Total antimicrobial sales'!M3</f>
        <v>2521157</v>
      </c>
      <c r="N3" s="67">
        <f t="shared" ref="N3:O7" si="0">(C3-B3)/B3*100</f>
        <v>-18.639361776612599</v>
      </c>
      <c r="O3" s="67">
        <f t="shared" si="0"/>
        <v>7.7477951534485499</v>
      </c>
      <c r="P3" s="67">
        <f>(D3-B3)/B3*100</f>
        <v>-12.33570619152618</v>
      </c>
      <c r="Q3" s="69">
        <f t="shared" ref="Q3:R7" si="1">(F3-E3)/E3*100</f>
        <v>-35.367603421045416</v>
      </c>
      <c r="R3" s="69">
        <f t="shared" si="1"/>
        <v>8.0261748989540411</v>
      </c>
      <c r="S3" s="69">
        <f>(G3-E3)/E3*100</f>
        <v>-30.180094230232935</v>
      </c>
    </row>
    <row r="4" spans="1:22" x14ac:dyDescent="0.25">
      <c r="A4" s="91" t="s">
        <v>1</v>
      </c>
      <c r="B4" s="33">
        <f>SUM('Total antimicrobial sales'!M13,'Total antimicrobial sales'!P13)</f>
        <v>3558830</v>
      </c>
      <c r="C4" s="33">
        <f>SUM('Total antimicrobial sales'!M12,'Total antimicrobial sales'!P12)</f>
        <v>2418926</v>
      </c>
      <c r="D4" s="33">
        <f>SUM('Total antimicrobial sales'!M11,'Total antimicrobial sales'!P11)</f>
        <v>2788518</v>
      </c>
      <c r="E4" s="35">
        <f>'Total antimicrobial sales'!M13</f>
        <v>3133262</v>
      </c>
      <c r="F4" s="35">
        <f>'Total antimicrobial sales'!M12</f>
        <v>2022932</v>
      </c>
      <c r="G4" s="35">
        <f>'Total antimicrobial sales'!M11</f>
        <v>2374348</v>
      </c>
      <c r="N4" s="67">
        <f t="shared" si="0"/>
        <v>-32.030302093665611</v>
      </c>
      <c r="O4" s="67">
        <f t="shared" si="0"/>
        <v>15.279177618496803</v>
      </c>
      <c r="P4" s="67">
        <f>(D4-B4)/B4*100</f>
        <v>-21.645091223801082</v>
      </c>
      <c r="Q4" s="69">
        <f t="shared" si="1"/>
        <v>-35.436870584074995</v>
      </c>
      <c r="R4" s="69">
        <f t="shared" si="1"/>
        <v>17.371617039030475</v>
      </c>
      <c r="S4" s="69">
        <f>(G4-E4)/E4*100</f>
        <v>-24.221210993526874</v>
      </c>
    </row>
    <row r="5" spans="1:22" x14ac:dyDescent="0.25">
      <c r="A5" s="91" t="s">
        <v>2</v>
      </c>
      <c r="B5" s="33">
        <f>SUM('Total antimicrobial sales'!M21,'Total antimicrobial sales'!P21)</f>
        <v>2208924</v>
      </c>
      <c r="C5" s="33">
        <f>SUM('Total antimicrobial sales'!M20,'Total antimicrobial sales'!P20)</f>
        <v>1745244</v>
      </c>
      <c r="D5" s="33">
        <f>SUM('Total antimicrobial sales'!M19,'Total antimicrobial sales'!P19)</f>
        <v>1623533</v>
      </c>
      <c r="E5" s="35">
        <f>'Total antimicrobial sales'!M21</f>
        <v>508800</v>
      </c>
      <c r="F5" s="35">
        <f>'Total antimicrobial sales'!M20</f>
        <v>268047</v>
      </c>
      <c r="G5" s="35">
        <f>'Total antimicrobial sales'!M19</f>
        <v>221774</v>
      </c>
      <c r="N5" s="67">
        <f t="shared" si="0"/>
        <v>-20.991215632588535</v>
      </c>
      <c r="O5" s="67">
        <f t="shared" si="0"/>
        <v>-6.9738672644054356</v>
      </c>
      <c r="P5" s="67">
        <f>(D5-B5)/B5*100</f>
        <v>-26.501183381592124</v>
      </c>
      <c r="Q5" s="69">
        <f t="shared" si="1"/>
        <v>-47.317806603773583</v>
      </c>
      <c r="R5" s="69">
        <f t="shared" si="1"/>
        <v>-17.263017306666367</v>
      </c>
      <c r="S5" s="69">
        <f>(G5-E5)/E5*100</f>
        <v>-56.412342767295598</v>
      </c>
    </row>
    <row r="6" spans="1:22" x14ac:dyDescent="0.25">
      <c r="A6" s="91" t="s">
        <v>3</v>
      </c>
      <c r="B6" s="33">
        <f>SUM('Total antimicrobial sales'!M29,'Total antimicrobial sales'!P29)</f>
        <v>1136098</v>
      </c>
      <c r="C6" s="33">
        <f>SUM('Total antimicrobial sales'!M28,'Total antimicrobial sales'!P28)</f>
        <v>1029605</v>
      </c>
      <c r="D6" s="33">
        <f>SUM('Total antimicrobial sales'!M27,'Total antimicrobial sales'!P27)</f>
        <v>1006934</v>
      </c>
      <c r="E6" s="35">
        <f>'Total antimicrobial sales'!M29</f>
        <v>756620</v>
      </c>
      <c r="F6" s="35">
        <f>'Total antimicrobial sales'!M28</f>
        <v>670831</v>
      </c>
      <c r="G6" s="35">
        <f>'Total antimicrobial sales'!M27</f>
        <v>671108</v>
      </c>
      <c r="N6" s="67">
        <f t="shared" si="0"/>
        <v>-9.3735751669310226</v>
      </c>
      <c r="O6" s="67">
        <f t="shared" si="0"/>
        <v>-2.2019123838753698</v>
      </c>
      <c r="P6" s="67">
        <f>(D6-B6)/B6*100</f>
        <v>-11.369089638393872</v>
      </c>
      <c r="Q6" s="69">
        <f t="shared" si="1"/>
        <v>-11.338452591789801</v>
      </c>
      <c r="R6" s="69">
        <f t="shared" si="1"/>
        <v>4.1292069090426653E-2</v>
      </c>
      <c r="S6" s="69">
        <f>(G6-E6)/E6*100</f>
        <v>-11.301842404377362</v>
      </c>
    </row>
    <row r="7" spans="1:22" x14ac:dyDescent="0.25">
      <c r="A7" s="18" t="s">
        <v>62</v>
      </c>
      <c r="B7" s="37">
        <f>SUM(B3:B6)</f>
        <v>13630901</v>
      </c>
      <c r="C7" s="37">
        <f>SUM(C3:C6)</f>
        <v>10666945</v>
      </c>
      <c r="D7" s="37">
        <f>SUM(D3:D6)</f>
        <v>11316205</v>
      </c>
      <c r="E7" s="36">
        <f t="shared" ref="E7:F7" si="2">SUM(E3:E6)</f>
        <v>8009625</v>
      </c>
      <c r="F7" s="36">
        <f t="shared" si="2"/>
        <v>5295649</v>
      </c>
      <c r="G7" s="36">
        <f>SUM(G3:G6)</f>
        <v>5788387</v>
      </c>
      <c r="H7" s="10"/>
      <c r="I7" s="10"/>
      <c r="J7" s="10"/>
      <c r="N7" s="67">
        <f t="shared" si="0"/>
        <v>-21.74438799019962</v>
      </c>
      <c r="O7" s="67">
        <f t="shared" si="0"/>
        <v>6.0866536763806325</v>
      </c>
      <c r="P7" s="67">
        <f>(D7-B7)/B7*100</f>
        <v>-16.981239904830943</v>
      </c>
      <c r="Q7" s="69">
        <f t="shared" si="1"/>
        <v>-33.883933392636983</v>
      </c>
      <c r="R7" s="69">
        <f t="shared" si="1"/>
        <v>9.3045819313175784</v>
      </c>
      <c r="S7" s="69">
        <f>(G7-E7)/E7*100</f>
        <v>-27.732109805390387</v>
      </c>
    </row>
    <row r="13" spans="1:22" ht="15" customHeight="1" x14ac:dyDescent="0.25">
      <c r="A13" s="19" t="s">
        <v>13</v>
      </c>
      <c r="B13" s="113" t="s">
        <v>133</v>
      </c>
      <c r="C13" s="114"/>
      <c r="D13" s="115"/>
      <c r="E13" s="117" t="s">
        <v>134</v>
      </c>
      <c r="F13" s="117"/>
      <c r="G13" s="117"/>
      <c r="H13" s="116" t="s">
        <v>135</v>
      </c>
      <c r="I13" s="116"/>
      <c r="J13" s="116"/>
      <c r="N13" s="110" t="s">
        <v>141</v>
      </c>
      <c r="O13" s="111"/>
      <c r="P13" s="112"/>
      <c r="Q13" s="107" t="s">
        <v>129</v>
      </c>
      <c r="R13" s="108"/>
      <c r="S13" s="109"/>
      <c r="T13" s="118" t="s">
        <v>130</v>
      </c>
      <c r="U13" s="119"/>
      <c r="V13" s="119"/>
    </row>
    <row r="14" spans="1:22" ht="15" customHeight="1" x14ac:dyDescent="0.25">
      <c r="A14" s="20" t="s">
        <v>4</v>
      </c>
      <c r="B14" s="24">
        <v>2016</v>
      </c>
      <c r="C14" s="24">
        <v>2017</v>
      </c>
      <c r="D14" s="24">
        <v>2018</v>
      </c>
      <c r="E14" s="23">
        <v>2016</v>
      </c>
      <c r="F14" s="23">
        <v>2017</v>
      </c>
      <c r="G14" s="23">
        <v>2018</v>
      </c>
      <c r="H14" s="50">
        <v>2016</v>
      </c>
      <c r="I14" s="50">
        <v>2017</v>
      </c>
      <c r="J14" s="50">
        <v>2018</v>
      </c>
      <c r="N14" s="60" t="s">
        <v>79</v>
      </c>
      <c r="O14" s="60" t="s">
        <v>80</v>
      </c>
      <c r="P14" s="60" t="s">
        <v>175</v>
      </c>
      <c r="Q14" s="62" t="s">
        <v>79</v>
      </c>
      <c r="R14" s="62" t="s">
        <v>80</v>
      </c>
      <c r="S14" s="62" t="s">
        <v>175</v>
      </c>
      <c r="T14" s="64" t="s">
        <v>79</v>
      </c>
      <c r="U14" s="64" t="s">
        <v>80</v>
      </c>
      <c r="V14" s="64" t="s">
        <v>175</v>
      </c>
    </row>
    <row r="15" spans="1:22" ht="15" customHeight="1" x14ac:dyDescent="0.25">
      <c r="A15" s="17" t="s">
        <v>0</v>
      </c>
      <c r="B15" s="25">
        <f>FDA_Proposed!E75</f>
        <v>40541745168.344521</v>
      </c>
      <c r="C15" s="25">
        <f>FDA_Proposed!E39</f>
        <v>41577690597.003799</v>
      </c>
      <c r="D15" s="25">
        <f>FDA_Proposed!E3</f>
        <v>42223649773.524803</v>
      </c>
      <c r="E15" s="94">
        <f>B3*1000000/B15</f>
        <v>165.92894489536084</v>
      </c>
      <c r="F15" s="94">
        <f t="shared" ref="F15:G19" si="3">C3*1000000/C15</f>
        <v>131.63718141657466</v>
      </c>
      <c r="G15" s="94">
        <f t="shared" si="3"/>
        <v>139.66627782370657</v>
      </c>
      <c r="H15" s="95">
        <f>E3*1000000/B15</f>
        <v>89.067280774569795</v>
      </c>
      <c r="I15" s="95">
        <f>F3*1000000/C15</f>
        <v>56.132001717483142</v>
      </c>
      <c r="J15" s="95">
        <f>G3*1000000/D15</f>
        <v>59.709594351098076</v>
      </c>
      <c r="N15" s="61">
        <f>(C15-B15)/B15*100</f>
        <v>2.5552561300892331</v>
      </c>
      <c r="O15" s="61">
        <f>(D15-C15)/C15*100</f>
        <v>1.5536196629630827</v>
      </c>
      <c r="P15" s="61">
        <f>(D15-B15)/B15*100</f>
        <v>4.1485747547284522</v>
      </c>
      <c r="Q15" s="63">
        <f>(F15-E15)/E15*100</f>
        <v>-20.66653500413172</v>
      </c>
      <c r="R15" s="63">
        <f>(G15-F15)/F15*100</f>
        <v>6.0994137983882304</v>
      </c>
      <c r="S15" s="63">
        <f>(G15-E15)/E15*100</f>
        <v>-15.827658693434232</v>
      </c>
      <c r="T15" s="65">
        <f>(I15-H15)/H15*100</f>
        <v>-36.977977513927009</v>
      </c>
      <c r="U15" s="65">
        <f>(J15-I15)/I15*100</f>
        <v>6.3735347469367722</v>
      </c>
      <c r="V15" s="65">
        <f>(J15-H15)/H15*100</f>
        <v>-32.961247012554843</v>
      </c>
    </row>
    <row r="16" spans="1:22" ht="15" customHeight="1" x14ac:dyDescent="0.25">
      <c r="A16" s="17" t="s">
        <v>1</v>
      </c>
      <c r="B16" s="25">
        <f>FDA_Proposed!E83</f>
        <v>16201398108.266785</v>
      </c>
      <c r="C16" s="25">
        <f>FDA_Proposed!E47</f>
        <v>16620621732.484097</v>
      </c>
      <c r="D16" s="25">
        <f>FDA_Proposed!E11</f>
        <v>17119374541.914242</v>
      </c>
      <c r="E16" s="94">
        <f t="shared" ref="E16:E19" si="4">B4*1000000/B16</f>
        <v>219.66190672051334</v>
      </c>
      <c r="F16" s="94">
        <f t="shared" si="3"/>
        <v>145.53763625294121</v>
      </c>
      <c r="G16" s="94">
        <f t="shared" si="3"/>
        <v>162.88667516285298</v>
      </c>
      <c r="H16" s="95">
        <f t="shared" ref="H16:J19" si="5">E4*1000000/B16</f>
        <v>193.39454404254462</v>
      </c>
      <c r="I16" s="95">
        <f t="shared" si="5"/>
        <v>121.71217374174938</v>
      </c>
      <c r="J16" s="95">
        <f t="shared" si="5"/>
        <v>138.69361840216547</v>
      </c>
      <c r="N16" s="61">
        <f t="shared" ref="N16:O19" si="6">(C16-B16)/B16*100</f>
        <v>2.5875768338993068</v>
      </c>
      <c r="O16" s="61">
        <f t="shared" si="6"/>
        <v>3.0008071747121239</v>
      </c>
      <c r="P16" s="61">
        <f t="shared" ref="P16:P19" si="7">(D16-B16)/B16*100</f>
        <v>5.6660321998942695</v>
      </c>
      <c r="Q16" s="63">
        <f t="shared" ref="Q16:R19" si="8">(F16-E16)/E16*100</f>
        <v>-33.744708663520839</v>
      </c>
      <c r="R16" s="63">
        <f t="shared" si="8"/>
        <v>11.920654585704224</v>
      </c>
      <c r="S16" s="63">
        <f t="shared" ref="S16:S19" si="9">(G16-E16)/E16*100</f>
        <v>-25.846644238547146</v>
      </c>
      <c r="T16" s="65">
        <f t="shared" ref="T16:U19" si="10">(I16-H16)/H16*100</f>
        <v>-37.065352932100261</v>
      </c>
      <c r="U16" s="65">
        <f t="shared" si="10"/>
        <v>13.952133248764053</v>
      </c>
      <c r="V16" s="65">
        <f t="shared" ref="V16:V19" si="11">(J16-H16)/H16*100</f>
        <v>-28.284627113547504</v>
      </c>
    </row>
    <row r="17" spans="1:22" ht="15" customHeight="1" x14ac:dyDescent="0.25">
      <c r="A17" s="17" t="s">
        <v>2</v>
      </c>
      <c r="B17" s="25">
        <f>FDA_Proposed!E93</f>
        <v>24905080746.778831</v>
      </c>
      <c r="C17" s="25">
        <f>FDA_Proposed!E57</f>
        <v>25465862951.21225</v>
      </c>
      <c r="D17" s="25">
        <f>FDA_Proposed!E21</f>
        <v>26022566701.67778</v>
      </c>
      <c r="E17" s="94">
        <f t="shared" si="4"/>
        <v>88.693709627329653</v>
      </c>
      <c r="F17" s="94">
        <f t="shared" si="3"/>
        <v>68.532686418031687</v>
      </c>
      <c r="G17" s="94">
        <f t="shared" si="3"/>
        <v>62.389426016739705</v>
      </c>
      <c r="H17" s="95">
        <f t="shared" si="5"/>
        <v>20.429566367328764</v>
      </c>
      <c r="I17" s="95">
        <f t="shared" si="5"/>
        <v>10.525737946266618</v>
      </c>
      <c r="J17" s="95">
        <f t="shared" si="5"/>
        <v>8.5223722372359738</v>
      </c>
      <c r="N17" s="61">
        <f t="shared" si="6"/>
        <v>2.2516779212046867</v>
      </c>
      <c r="O17" s="61">
        <f t="shared" si="6"/>
        <v>2.186078482916793</v>
      </c>
      <c r="P17" s="61">
        <f t="shared" si="7"/>
        <v>4.4869798506615242</v>
      </c>
      <c r="Q17" s="63">
        <f t="shared" si="8"/>
        <v>-22.731063221969062</v>
      </c>
      <c r="R17" s="63">
        <f t="shared" si="8"/>
        <v>-8.9639859786316869</v>
      </c>
      <c r="S17" s="63">
        <f t="shared" si="9"/>
        <v>-29.657439880589536</v>
      </c>
      <c r="T17" s="65">
        <f t="shared" si="10"/>
        <v>-48.477917949841952</v>
      </c>
      <c r="U17" s="65">
        <f t="shared" si="10"/>
        <v>-19.033019055364377</v>
      </c>
      <c r="V17" s="65">
        <f t="shared" si="11"/>
        <v>-58.284125644169002</v>
      </c>
    </row>
    <row r="18" spans="1:22" ht="15" customHeight="1" x14ac:dyDescent="0.25">
      <c r="A18" s="17" t="s">
        <v>3</v>
      </c>
      <c r="B18" s="25">
        <f>FDA_Proposed!E99</f>
        <v>3380175499.0275478</v>
      </c>
      <c r="C18" s="25">
        <f>FDA_Proposed!E63</f>
        <v>3380984898.2363744</v>
      </c>
      <c r="D18" s="25">
        <f>FDA_Proposed!E27</f>
        <v>3330585158.4651718</v>
      </c>
      <c r="E18" s="94">
        <f t="shared" si="4"/>
        <v>336.10621706679052</v>
      </c>
      <c r="F18" s="94">
        <f t="shared" si="3"/>
        <v>304.52812745099027</v>
      </c>
      <c r="G18" s="94">
        <f t="shared" si="3"/>
        <v>302.32945626408298</v>
      </c>
      <c r="H18" s="95">
        <f t="shared" si="5"/>
        <v>223.84044858548739</v>
      </c>
      <c r="I18" s="95">
        <f t="shared" si="5"/>
        <v>198.41289452370108</v>
      </c>
      <c r="J18" s="95">
        <f t="shared" si="5"/>
        <v>201.49852595550075</v>
      </c>
      <c r="N18" s="61">
        <f t="shared" si="6"/>
        <v>2.3945478838581023E-2</v>
      </c>
      <c r="O18" s="61">
        <f t="shared" si="6"/>
        <v>-1.4906821913783945</v>
      </c>
      <c r="P18" s="61">
        <f t="shared" si="7"/>
        <v>-1.4670936635285003</v>
      </c>
      <c r="Q18" s="63">
        <f t="shared" si="8"/>
        <v>-9.3952709031636576</v>
      </c>
      <c r="R18" s="63">
        <f t="shared" si="8"/>
        <v>-0.72199281074985011</v>
      </c>
      <c r="S18" s="63">
        <f t="shared" si="9"/>
        <v>-10.049430533442193</v>
      </c>
      <c r="T18" s="65">
        <f t="shared" si="10"/>
        <v>-11.359677941350808</v>
      </c>
      <c r="U18" s="65">
        <f t="shared" si="10"/>
        <v>1.5551567045109964</v>
      </c>
      <c r="V18" s="65">
        <f t="shared" si="11"/>
        <v>-9.9811820299555869</v>
      </c>
    </row>
    <row r="19" spans="1:22" ht="15" customHeight="1" x14ac:dyDescent="0.25">
      <c r="A19" s="18" t="s">
        <v>62</v>
      </c>
      <c r="B19" s="26">
        <f>SUM(B15:B18)</f>
        <v>85028399522.417679</v>
      </c>
      <c r="C19" s="26">
        <f>SUM(C15:C18)</f>
        <v>87045160178.936523</v>
      </c>
      <c r="D19" s="26">
        <f>SUM(D15:D18)</f>
        <v>88696176175.582001</v>
      </c>
      <c r="E19" s="94">
        <f t="shared" si="4"/>
        <v>160.30997968397867</v>
      </c>
      <c r="F19" s="94">
        <f t="shared" si="3"/>
        <v>122.54495227617747</v>
      </c>
      <c r="G19" s="94">
        <f t="shared" si="3"/>
        <v>127.58391046755568</v>
      </c>
      <c r="H19" s="95">
        <f t="shared" si="5"/>
        <v>94.199409197256116</v>
      </c>
      <c r="I19" s="95">
        <f t="shared" si="5"/>
        <v>60.837948820059253</v>
      </c>
      <c r="J19" s="95">
        <f t="shared" si="5"/>
        <v>65.260840428355905</v>
      </c>
      <c r="N19" s="61">
        <f t="shared" si="6"/>
        <v>2.3718671265676674</v>
      </c>
      <c r="O19" s="61">
        <f t="shared" si="6"/>
        <v>1.8967349744104391</v>
      </c>
      <c r="P19" s="61">
        <f t="shared" si="7"/>
        <v>4.3135901343142597</v>
      </c>
      <c r="Q19" s="63">
        <f t="shared" si="8"/>
        <v>-23.557502460076368</v>
      </c>
      <c r="R19" s="63">
        <f t="shared" si="8"/>
        <v>4.1119263566417654</v>
      </c>
      <c r="S19" s="63">
        <f t="shared" si="9"/>
        <v>-20.414243256057016</v>
      </c>
      <c r="T19" s="65">
        <f t="shared" si="10"/>
        <v>-35.415785153532184</v>
      </c>
      <c r="U19" s="65">
        <f t="shared" si="10"/>
        <v>7.2699551744886461</v>
      </c>
      <c r="V19" s="65">
        <f t="shared" si="11"/>
        <v>-30.720541684398533</v>
      </c>
    </row>
    <row r="20" spans="1:22" s="16" customFormat="1" ht="15" customHeight="1" x14ac:dyDescent="0.25">
      <c r="A20" s="13"/>
      <c r="B20" s="14"/>
      <c r="C20" s="15"/>
      <c r="D20" s="5"/>
      <c r="E20" s="21"/>
      <c r="F20" s="21"/>
      <c r="G20" s="21"/>
      <c r="H20" s="21"/>
      <c r="I20" s="21"/>
      <c r="J20" s="21"/>
    </row>
    <row r="21" spans="1:22" ht="15" customHeight="1" x14ac:dyDescent="0.25">
      <c r="A21" s="5"/>
      <c r="B21" s="5"/>
      <c r="C21" s="5"/>
      <c r="D21" s="5"/>
      <c r="E21" s="5"/>
      <c r="F21" s="5"/>
      <c r="G21" s="5"/>
      <c r="H21" s="5"/>
      <c r="I21" s="5"/>
      <c r="J21" s="5"/>
    </row>
    <row r="22" spans="1:22" ht="15" customHeight="1" x14ac:dyDescent="0.25">
      <c r="A22" s="5"/>
      <c r="B22" s="5"/>
      <c r="C22" s="5"/>
      <c r="D22" s="5"/>
      <c r="E22" s="5"/>
      <c r="F22" s="5"/>
      <c r="G22" s="5"/>
      <c r="H22" s="5"/>
      <c r="I22" s="5"/>
      <c r="J22" s="5"/>
    </row>
    <row r="23" spans="1:22" ht="15" customHeight="1" x14ac:dyDescent="0.25">
      <c r="A23" s="19" t="s">
        <v>17</v>
      </c>
      <c r="B23" s="113" t="s">
        <v>133</v>
      </c>
      <c r="C23" s="114"/>
      <c r="D23" s="115"/>
      <c r="E23" s="117" t="s">
        <v>134</v>
      </c>
      <c r="F23" s="117"/>
      <c r="G23" s="117"/>
      <c r="H23" s="116" t="s">
        <v>135</v>
      </c>
      <c r="I23" s="116"/>
      <c r="J23" s="116"/>
      <c r="N23" s="110" t="s">
        <v>141</v>
      </c>
      <c r="O23" s="111"/>
      <c r="P23" s="112"/>
      <c r="Q23" s="107" t="s">
        <v>129</v>
      </c>
      <c r="R23" s="108"/>
      <c r="S23" s="109"/>
      <c r="T23" s="118" t="s">
        <v>130</v>
      </c>
      <c r="U23" s="119"/>
      <c r="V23" s="119"/>
    </row>
    <row r="24" spans="1:22" ht="15" customHeight="1" x14ac:dyDescent="0.25">
      <c r="A24" s="19" t="s">
        <v>4</v>
      </c>
      <c r="B24" s="24">
        <v>2016</v>
      </c>
      <c r="C24" s="24">
        <v>2017</v>
      </c>
      <c r="D24" s="24">
        <v>2018</v>
      </c>
      <c r="E24" s="23">
        <v>2016</v>
      </c>
      <c r="F24" s="23">
        <v>2017</v>
      </c>
      <c r="G24" s="23">
        <v>2018</v>
      </c>
      <c r="H24" s="50">
        <v>2016</v>
      </c>
      <c r="I24" s="50">
        <v>2017</v>
      </c>
      <c r="J24" s="50">
        <v>2018</v>
      </c>
      <c r="N24" s="60" t="s">
        <v>79</v>
      </c>
      <c r="O24" s="60" t="s">
        <v>80</v>
      </c>
      <c r="P24" s="60" t="s">
        <v>175</v>
      </c>
      <c r="Q24" s="62" t="s">
        <v>79</v>
      </c>
      <c r="R24" s="62" t="s">
        <v>80</v>
      </c>
      <c r="S24" s="62" t="s">
        <v>175</v>
      </c>
      <c r="T24" s="64" t="s">
        <v>79</v>
      </c>
      <c r="U24" s="64" t="s">
        <v>80</v>
      </c>
      <c r="V24" s="64" t="s">
        <v>175</v>
      </c>
    </row>
    <row r="25" spans="1:22" ht="15" customHeight="1" x14ac:dyDescent="0.25">
      <c r="A25" s="8" t="s">
        <v>0</v>
      </c>
      <c r="B25" s="25">
        <f>ESVAC!D81</f>
        <v>14952816089.98597</v>
      </c>
      <c r="C25" s="25">
        <f>ESVAC!D42</f>
        <v>15521236666.665257</v>
      </c>
      <c r="D25" s="25">
        <f>ESVAC!D3</f>
        <v>15748041920.270679</v>
      </c>
      <c r="E25" s="94">
        <f>B3*1000000/B25</f>
        <v>449.88508917093969</v>
      </c>
      <c r="F25" s="94">
        <f t="shared" ref="F25:G29" si="12">C3*1000000/C25</f>
        <v>352.62460830551282</v>
      </c>
      <c r="G25" s="94">
        <f t="shared" si="12"/>
        <v>374.47322212224833</v>
      </c>
      <c r="H25" s="95">
        <f>E3*1000000/B25</f>
        <v>241.48916018690818</v>
      </c>
      <c r="I25" s="95">
        <f t="shared" ref="I25:J29" si="13">F3*1000000/C25</f>
        <v>150.36424288358114</v>
      </c>
      <c r="J25" s="95">
        <f t="shared" si="13"/>
        <v>160.09336352824911</v>
      </c>
      <c r="N25" s="61">
        <f>(C25-B25)/B25*100</f>
        <v>3.801428261128438</v>
      </c>
      <c r="O25" s="61">
        <f>(D25-C25)/C25*100</f>
        <v>1.4612576206155625</v>
      </c>
      <c r="P25" s="61">
        <f>(D25-B25)/B25*100</f>
        <v>5.3182345419019734</v>
      </c>
      <c r="Q25" s="63">
        <f>(F25-E25)/E25*100</f>
        <v>-21.618960753880749</v>
      </c>
      <c r="R25" s="63">
        <f>(G25-F25)/F25*100</f>
        <v>6.1959980393103873</v>
      </c>
      <c r="S25" s="63">
        <f>(G25-E25)/E25*100</f>
        <v>-16.762473099000097</v>
      </c>
      <c r="T25" s="65">
        <f>(I25-H25)/H25*100</f>
        <v>-37.734578741670241</v>
      </c>
      <c r="U25" s="65">
        <f>(J25-I25)/I25*100</f>
        <v>6.470368525182348</v>
      </c>
      <c r="V25" s="65">
        <f>(J25-H25)/H25*100</f>
        <v>-33.705776522499072</v>
      </c>
    </row>
    <row r="26" spans="1:22" ht="15" customHeight="1" x14ac:dyDescent="0.25">
      <c r="A26" s="8" t="s">
        <v>1</v>
      </c>
      <c r="B26" s="25">
        <f>ESVAC!D91</f>
        <v>8983596815</v>
      </c>
      <c r="C26" s="25">
        <f>ESVAC!D52</f>
        <v>9206097785</v>
      </c>
      <c r="D26" s="25">
        <f>ESVAC!D13</f>
        <v>9454874540</v>
      </c>
      <c r="E26" s="94">
        <f t="shared" ref="E26:E29" si="14">B4*1000000/B26</f>
        <v>396.14756464334937</v>
      </c>
      <c r="F26" s="94">
        <f t="shared" si="12"/>
        <v>262.7525860024308</v>
      </c>
      <c r="G26" s="94">
        <f t="shared" si="12"/>
        <v>294.92913821360975</v>
      </c>
      <c r="H26" s="95">
        <f t="shared" ref="H26:H29" si="15">E4*1000000/B26</f>
        <v>348.7758928326304</v>
      </c>
      <c r="I26" s="95">
        <f t="shared" si="13"/>
        <v>219.73826992105973</v>
      </c>
      <c r="J26" s="95">
        <f t="shared" si="13"/>
        <v>251.12422062873824</v>
      </c>
      <c r="N26" s="61">
        <f t="shared" ref="N26:N29" si="16">(C26-B26)/B26*100</f>
        <v>2.476747060024866</v>
      </c>
      <c r="O26" s="61">
        <f t="shared" ref="O26:O29" si="17">(D26-C26)/C26*100</f>
        <v>2.7023040685636168</v>
      </c>
      <c r="P26" s="61">
        <f t="shared" ref="P26:P29" si="18">(D26-B26)/B26*100</f>
        <v>5.2459803651595642</v>
      </c>
      <c r="Q26" s="63">
        <f t="shared" ref="Q26:Q29" si="19">(F26-E26)/E26*100</f>
        <v>-33.673052808241728</v>
      </c>
      <c r="R26" s="63">
        <f t="shared" ref="R26:R29" si="20">(G26-F26)/F26*100</f>
        <v>12.245950725250433</v>
      </c>
      <c r="S26" s="63">
        <f t="shared" ref="S26:S29" si="21">(G26-E26)/E26*100</f>
        <v>-25.550687537576135</v>
      </c>
      <c r="T26" s="65">
        <f t="shared" ref="T26:T29" si="22">(I26-H26)/H26*100</f>
        <v>-36.997288391572667</v>
      </c>
      <c r="U26" s="65">
        <f t="shared" ref="U26:U29" si="23">(J26-I26)/I26*100</f>
        <v>14.283333858482559</v>
      </c>
      <c r="V26" s="65">
        <f t="shared" ref="V26:V29" si="24">(J26-H26)/H26*100</f>
        <v>-27.998400752644041</v>
      </c>
    </row>
    <row r="27" spans="1:22" ht="15" customHeight="1" x14ac:dyDescent="0.25">
      <c r="A27" s="8" t="s">
        <v>2</v>
      </c>
      <c r="B27" s="25">
        <f>ESVAC!D106</f>
        <v>8972160080</v>
      </c>
      <c r="C27" s="25">
        <f>ESVAC!D67</f>
        <v>9114563689</v>
      </c>
      <c r="D27" s="25">
        <f>ESVAC!D28</f>
        <v>9215693254</v>
      </c>
      <c r="E27" s="94">
        <f t="shared" si="14"/>
        <v>246.19756895822127</v>
      </c>
      <c r="F27" s="94">
        <f t="shared" si="12"/>
        <v>191.47861154410108</v>
      </c>
      <c r="G27" s="94">
        <f t="shared" si="12"/>
        <v>176.17046870514253</v>
      </c>
      <c r="H27" s="95">
        <f t="shared" si="15"/>
        <v>56.708751901805122</v>
      </c>
      <c r="I27" s="95">
        <f t="shared" si="13"/>
        <v>29.408648526258599</v>
      </c>
      <c r="J27" s="95">
        <f t="shared" si="13"/>
        <v>24.064820072406459</v>
      </c>
      <c r="N27" s="61">
        <f t="shared" si="16"/>
        <v>1.5871719600437624</v>
      </c>
      <c r="O27" s="61">
        <f t="shared" si="17"/>
        <v>1.1095381902048609</v>
      </c>
      <c r="P27" s="61">
        <f t="shared" si="18"/>
        <v>2.7143204292895318</v>
      </c>
      <c r="Q27" s="63">
        <f t="shared" si="19"/>
        <v>-22.225628646806729</v>
      </c>
      <c r="R27" s="63">
        <f t="shared" si="20"/>
        <v>-7.994701191695663</v>
      </c>
      <c r="S27" s="63">
        <f t="shared" si="21"/>
        <v>-28.443457240214286</v>
      </c>
      <c r="T27" s="65">
        <f t="shared" si="22"/>
        <v>-48.140899702427625</v>
      </c>
      <c r="U27" s="65">
        <f t="shared" si="23"/>
        <v>-18.170941956345615</v>
      </c>
      <c r="V27" s="65">
        <f t="shared" si="24"/>
        <v>-57.564186716582569</v>
      </c>
    </row>
    <row r="28" spans="1:22" ht="15" customHeight="1" x14ac:dyDescent="0.25">
      <c r="A28" s="8" t="s">
        <v>3</v>
      </c>
      <c r="B28" s="25">
        <f>ESVAC!D110</f>
        <v>1583231634</v>
      </c>
      <c r="C28" s="25">
        <f>ESVAC!D71</f>
        <v>1573802501</v>
      </c>
      <c r="D28" s="25">
        <f>ESVAC!D32</f>
        <v>1540170949</v>
      </c>
      <c r="E28" s="94">
        <f t="shared" si="14"/>
        <v>717.5816700489197</v>
      </c>
      <c r="F28" s="94">
        <f t="shared" si="12"/>
        <v>654.21487089122377</v>
      </c>
      <c r="G28" s="94">
        <f t="shared" si="12"/>
        <v>653.7806732777168</v>
      </c>
      <c r="H28" s="95">
        <f t="shared" si="15"/>
        <v>477.89595896869253</v>
      </c>
      <c r="I28" s="95">
        <f t="shared" si="13"/>
        <v>426.24852837236659</v>
      </c>
      <c r="J28" s="95">
        <f t="shared" si="13"/>
        <v>435.73604633676285</v>
      </c>
      <c r="N28" s="61">
        <f t="shared" si="16"/>
        <v>-0.59556244313900564</v>
      </c>
      <c r="O28" s="61">
        <f t="shared" si="17"/>
        <v>-2.1369614026302783</v>
      </c>
      <c r="P28" s="61">
        <f t="shared" si="18"/>
        <v>-2.7197969062308416</v>
      </c>
      <c r="Q28" s="63">
        <f t="shared" si="19"/>
        <v>-8.8306044876224377</v>
      </c>
      <c r="R28" s="63">
        <f t="shared" si="20"/>
        <v>-6.6369266861125986E-2</v>
      </c>
      <c r="S28" s="63">
        <f t="shared" si="21"/>
        <v>-8.8911129470257233</v>
      </c>
      <c r="T28" s="65">
        <f t="shared" si="22"/>
        <v>-10.807254095176271</v>
      </c>
      <c r="U28" s="65">
        <f t="shared" si="23"/>
        <v>2.2258183507693095</v>
      </c>
      <c r="V28" s="65">
        <f t="shared" si="24"/>
        <v>-8.8219855892716623</v>
      </c>
    </row>
    <row r="29" spans="1:22" ht="15" customHeight="1" x14ac:dyDescent="0.25">
      <c r="A29" s="9" t="s">
        <v>62</v>
      </c>
      <c r="B29" s="26">
        <f t="shared" ref="B29" si="25">SUM(B25:B28)</f>
        <v>34491804618.98597</v>
      </c>
      <c r="C29" s="26">
        <f t="shared" ref="C29" si="26">SUM(C25:C28)</f>
        <v>35415700641.665253</v>
      </c>
      <c r="D29" s="26">
        <f t="shared" ref="D29" si="27">SUM(D25:D28)</f>
        <v>35958780663.270676</v>
      </c>
      <c r="E29" s="94">
        <f t="shared" si="14"/>
        <v>395.19245660161511</v>
      </c>
      <c r="F29" s="94">
        <f t="shared" si="12"/>
        <v>301.19254473962707</v>
      </c>
      <c r="G29" s="94">
        <f t="shared" si="12"/>
        <v>314.69935273858425</v>
      </c>
      <c r="H29" s="95">
        <f t="shared" si="15"/>
        <v>232.21820628054678</v>
      </c>
      <c r="I29" s="95">
        <f t="shared" si="13"/>
        <v>149.52828559234732</v>
      </c>
      <c r="J29" s="95">
        <f t="shared" si="13"/>
        <v>160.97283871230994</v>
      </c>
      <c r="N29" s="61">
        <f t="shared" si="16"/>
        <v>2.6785957791571327</v>
      </c>
      <c r="O29" s="61">
        <f t="shared" si="17"/>
        <v>1.5334442401698798</v>
      </c>
      <c r="P29" s="61">
        <f t="shared" si="18"/>
        <v>4.2531147920199315</v>
      </c>
      <c r="Q29" s="63">
        <f t="shared" si="19"/>
        <v>-23.785856812734487</v>
      </c>
      <c r="R29" s="63">
        <f t="shared" si="20"/>
        <v>4.4844430032733582</v>
      </c>
      <c r="S29" s="63">
        <f t="shared" si="21"/>
        <v>-20.368077001068418</v>
      </c>
      <c r="T29" s="65">
        <f t="shared" si="22"/>
        <v>-35.608715618232083</v>
      </c>
      <c r="U29" s="65">
        <f t="shared" si="23"/>
        <v>7.6537713748443714</v>
      </c>
      <c r="V29" s="65">
        <f t="shared" si="24"/>
        <v>-30.680353926325697</v>
      </c>
    </row>
    <row r="30" spans="1:22" ht="15" customHeight="1" x14ac:dyDescent="0.25">
      <c r="A30" s="13"/>
      <c r="B30" s="14"/>
      <c r="C30" s="5"/>
      <c r="D30" s="5"/>
      <c r="E30" s="5"/>
      <c r="F30" s="5"/>
      <c r="G30" s="5"/>
      <c r="H30" s="5"/>
      <c r="I30" s="5"/>
      <c r="J30" s="5"/>
    </row>
    <row r="31" spans="1:22" ht="15" customHeight="1" x14ac:dyDescent="0.25">
      <c r="A31" s="5"/>
      <c r="B31" s="5"/>
      <c r="C31" s="5"/>
      <c r="D31" s="5"/>
      <c r="E31" s="5"/>
      <c r="F31" s="5"/>
      <c r="G31" s="5"/>
      <c r="H31" s="5"/>
      <c r="I31" s="5"/>
      <c r="J31" s="5"/>
    </row>
    <row r="32" spans="1:22" ht="15" customHeight="1" x14ac:dyDescent="0.25">
      <c r="A32" s="5"/>
      <c r="B32" s="5"/>
      <c r="C32" s="5"/>
      <c r="D32" s="5"/>
      <c r="E32" s="5"/>
      <c r="F32" s="5"/>
      <c r="G32" s="5"/>
      <c r="H32" s="5"/>
      <c r="I32" s="5"/>
      <c r="J32" s="5"/>
    </row>
    <row r="33" spans="1:22" ht="15" customHeight="1" x14ac:dyDescent="0.25">
      <c r="A33" s="19" t="s">
        <v>18</v>
      </c>
      <c r="B33" s="113" t="s">
        <v>133</v>
      </c>
      <c r="C33" s="114"/>
      <c r="D33" s="115"/>
      <c r="E33" s="117" t="s">
        <v>134</v>
      </c>
      <c r="F33" s="117"/>
      <c r="G33" s="117"/>
      <c r="H33" s="116" t="s">
        <v>135</v>
      </c>
      <c r="I33" s="116"/>
      <c r="J33" s="116"/>
      <c r="N33" s="110" t="s">
        <v>141</v>
      </c>
      <c r="O33" s="111"/>
      <c r="P33" s="112"/>
      <c r="Q33" s="107" t="s">
        <v>129</v>
      </c>
      <c r="R33" s="108"/>
      <c r="S33" s="109"/>
      <c r="T33" s="118" t="s">
        <v>130</v>
      </c>
      <c r="U33" s="119"/>
      <c r="V33" s="119"/>
    </row>
    <row r="34" spans="1:22" ht="15" customHeight="1" x14ac:dyDescent="0.25">
      <c r="A34" s="19" t="s">
        <v>4</v>
      </c>
      <c r="B34" s="24">
        <v>2016</v>
      </c>
      <c r="C34" s="24">
        <v>2017</v>
      </c>
      <c r="D34" s="24">
        <v>2018</v>
      </c>
      <c r="E34" s="23">
        <v>2016</v>
      </c>
      <c r="F34" s="23">
        <v>2017</v>
      </c>
      <c r="G34" s="23">
        <v>2018</v>
      </c>
      <c r="H34" s="50">
        <v>2016</v>
      </c>
      <c r="I34" s="50">
        <v>2017</v>
      </c>
      <c r="J34" s="50">
        <v>2018</v>
      </c>
      <c r="N34" s="60" t="s">
        <v>79</v>
      </c>
      <c r="O34" s="60" t="s">
        <v>80</v>
      </c>
      <c r="P34" s="60" t="s">
        <v>175</v>
      </c>
      <c r="Q34" s="62" t="s">
        <v>79</v>
      </c>
      <c r="R34" s="62" t="s">
        <v>80</v>
      </c>
      <c r="S34" s="62" t="s">
        <v>175</v>
      </c>
      <c r="T34" s="64" t="s">
        <v>79</v>
      </c>
      <c r="U34" s="64" t="s">
        <v>80</v>
      </c>
      <c r="V34" s="64" t="s">
        <v>175</v>
      </c>
    </row>
    <row r="35" spans="1:22" ht="15" customHeight="1" x14ac:dyDescent="0.25">
      <c r="A35" s="8" t="s">
        <v>0</v>
      </c>
      <c r="B35" s="25">
        <f>' PHAC'!D103</f>
        <v>36078003121.285995</v>
      </c>
      <c r="C35" s="25">
        <f>' PHAC'!D53</f>
        <v>36847241185.209641</v>
      </c>
      <c r="D35" s="25">
        <f>' PHAC'!D3</f>
        <v>37289632383.812782</v>
      </c>
      <c r="E35" s="94">
        <f>B3*1000000/B35</f>
        <v>186.45846271993491</v>
      </c>
      <c r="F35" s="94">
        <f t="shared" ref="F35:G39" si="28">C3*1000000/C35</f>
        <v>148.53676486903211</v>
      </c>
      <c r="G35" s="94">
        <f t="shared" si="28"/>
        <v>158.14636999639475</v>
      </c>
      <c r="H35" s="95">
        <f>E3*1000000/B35</f>
        <v>100.08710814345338</v>
      </c>
      <c r="I35" s="95">
        <f t="shared" ref="I35:J39" si="29">F3*1000000/C35</f>
        <v>63.338228994381133</v>
      </c>
      <c r="J35" s="95">
        <f t="shared" si="29"/>
        <v>67.610132866164165</v>
      </c>
      <c r="N35" s="61">
        <f>(C35-B35)/B35*100</f>
        <v>2.1321525510645438</v>
      </c>
      <c r="O35" s="61">
        <f>(D35-C35)/C35*100</f>
        <v>1.2006087413152553</v>
      </c>
      <c r="P35" s="61">
        <f>(D35-B35)/B35*100</f>
        <v>3.3583601022860559</v>
      </c>
      <c r="Q35" s="63">
        <f>(F35-E35)/E35*100</f>
        <v>-20.337879706678748</v>
      </c>
      <c r="R35" s="63">
        <f>(G35-F35)/F35*100</f>
        <v>6.4695128750350968</v>
      </c>
      <c r="S35" s="63">
        <f>(G35-E35)/E35*100</f>
        <v>-15.184128577776383</v>
      </c>
      <c r="T35" s="65">
        <f>(I35-H35)/H35*100</f>
        <v>-36.716895742856934</v>
      </c>
      <c r="U35" s="65">
        <f>(J35-I35)/I35*100</f>
        <v>6.7445900202893272</v>
      </c>
      <c r="V35" s="65">
        <f>(J35-H35)/H35*100</f>
        <v>-32.44870980860037</v>
      </c>
    </row>
    <row r="36" spans="1:22" ht="15" customHeight="1" x14ac:dyDescent="0.25">
      <c r="A36" s="8" t="s">
        <v>1</v>
      </c>
      <c r="B36" s="25">
        <f>' PHAC'!D113</f>
        <v>8793054629</v>
      </c>
      <c r="C36" s="25">
        <f>' PHAC'!D63</f>
        <v>9014242607</v>
      </c>
      <c r="D36" s="25">
        <f>' PHAC'!D13</f>
        <v>9273549298</v>
      </c>
      <c r="E36" s="94">
        <f t="shared" ref="E36:E39" si="30">B4*1000000/B36</f>
        <v>404.73193334461655</v>
      </c>
      <c r="F36" s="94">
        <f t="shared" si="28"/>
        <v>268.34489656641654</v>
      </c>
      <c r="G36" s="94">
        <f t="shared" si="28"/>
        <v>300.69587278749805</v>
      </c>
      <c r="H36" s="95">
        <f t="shared" ref="H36:H39" si="31">E4*1000000/B36</f>
        <v>356.33373522624566</v>
      </c>
      <c r="I36" s="95">
        <f t="shared" si="29"/>
        <v>224.41508268582592</v>
      </c>
      <c r="J36" s="95">
        <f t="shared" si="29"/>
        <v>256.03443985703177</v>
      </c>
      <c r="N36" s="61">
        <f t="shared" ref="N36:N39" si="32">(C36-B36)/B36*100</f>
        <v>2.5154850883162867</v>
      </c>
      <c r="O36" s="61">
        <f t="shared" ref="O36:O39" si="33">(D36-C36)/C36*100</f>
        <v>2.8766331493966635</v>
      </c>
      <c r="P36" s="61">
        <f t="shared" ref="P36:P39" si="34">(D36-B36)/B36*100</f>
        <v>5.4644795156315862</v>
      </c>
      <c r="Q36" s="63">
        <f t="shared" ref="Q36:Q39" si="35">(F36-E36)/E36*100</f>
        <v>-33.698116096530178</v>
      </c>
      <c r="R36" s="63">
        <f t="shared" ref="R36:R39" si="36">(G36-F36)/F36*100</f>
        <v>12.055744914483403</v>
      </c>
      <c r="S36" s="63">
        <f t="shared" ref="S36:S39" si="37">(G36-E36)/E36*100</f>
        <v>-25.704930099630925</v>
      </c>
      <c r="T36" s="65">
        <f t="shared" ref="T36:T39" si="38">(I36-H36)/H36*100</f>
        <v>-37.021095534684953</v>
      </c>
      <c r="U36" s="65">
        <f t="shared" ref="U36:U39" si="39">(J36-I36)/I36*100</f>
        <v>14.089675610383084</v>
      </c>
      <c r="V36" s="65">
        <f t="shared" ref="V36:V39" si="40">(J36-H36)/H36*100</f>
        <v>-28.147572192548999</v>
      </c>
    </row>
    <row r="37" spans="1:22" ht="15" customHeight="1" x14ac:dyDescent="0.25">
      <c r="A37" s="8" t="s">
        <v>2</v>
      </c>
      <c r="B37" s="25">
        <f>' PHAC'!D131</f>
        <v>10703802773.200001</v>
      </c>
      <c r="C37" s="25">
        <f>' PHAC'!D81</f>
        <v>10874318498.199999</v>
      </c>
      <c r="D37" s="25">
        <f>' PHAC'!D31</f>
        <v>11004155003.800001</v>
      </c>
      <c r="E37" s="94">
        <f t="shared" si="30"/>
        <v>206.36815221695474</v>
      </c>
      <c r="F37" s="94">
        <f t="shared" si="28"/>
        <v>160.49226443835411</v>
      </c>
      <c r="G37" s="94">
        <f t="shared" si="28"/>
        <v>147.53817984564509</v>
      </c>
      <c r="H37" s="95">
        <f t="shared" si="31"/>
        <v>47.53450813517648</v>
      </c>
      <c r="I37" s="95">
        <f t="shared" si="29"/>
        <v>24.649544708881685</v>
      </c>
      <c r="J37" s="95">
        <f t="shared" si="29"/>
        <v>20.153660133232954</v>
      </c>
      <c r="N37" s="61">
        <f t="shared" si="32"/>
        <v>1.593038741585677</v>
      </c>
      <c r="O37" s="61">
        <f t="shared" si="33"/>
        <v>1.1939737246200195</v>
      </c>
      <c r="P37" s="61">
        <f t="shared" si="34"/>
        <v>2.806032930203247</v>
      </c>
      <c r="Q37" s="63">
        <f t="shared" si="35"/>
        <v>-22.230119951052977</v>
      </c>
      <c r="R37" s="63">
        <f t="shared" si="36"/>
        <v>-8.0714697608897854</v>
      </c>
      <c r="S37" s="63">
        <f t="shared" si="37"/>
        <v>-28.507292302283993</v>
      </c>
      <c r="T37" s="65">
        <f t="shared" si="38"/>
        <v>-48.143894454983261</v>
      </c>
      <c r="U37" s="65">
        <f t="shared" si="39"/>
        <v>-18.239219542374673</v>
      </c>
      <c r="V37" s="65">
        <f t="shared" si="40"/>
        <v>-57.602043391464385</v>
      </c>
    </row>
    <row r="38" spans="1:22" ht="15" customHeight="1" x14ac:dyDescent="0.25">
      <c r="A38" s="8" t="s">
        <v>3</v>
      </c>
      <c r="B38" s="25">
        <f>' PHAC'!D139</f>
        <v>1580865227.4000001</v>
      </c>
      <c r="C38" s="25">
        <f>' PHAC'!D89</f>
        <v>1570594156.5999999</v>
      </c>
      <c r="D38" s="25">
        <f>' PHAC'!D39</f>
        <v>1538720675.3999999</v>
      </c>
      <c r="E38" s="94">
        <f t="shared" si="30"/>
        <v>718.65582233629436</v>
      </c>
      <c r="F38" s="94">
        <f t="shared" si="28"/>
        <v>655.55127381148191</v>
      </c>
      <c r="G38" s="94">
        <f t="shared" si="28"/>
        <v>654.39687403838991</v>
      </c>
      <c r="H38" s="95">
        <f t="shared" si="31"/>
        <v>478.61132428372116</v>
      </c>
      <c r="I38" s="95">
        <f t="shared" si="29"/>
        <v>427.11925113245388</v>
      </c>
      <c r="J38" s="95">
        <f t="shared" si="29"/>
        <v>436.1467358755944</v>
      </c>
      <c r="N38" s="61">
        <f t="shared" si="32"/>
        <v>-0.64971198189314983</v>
      </c>
      <c r="O38" s="61">
        <f t="shared" si="33"/>
        <v>-2.0293900283571227</v>
      </c>
      <c r="P38" s="61">
        <f t="shared" si="34"/>
        <v>-2.6659168200766912</v>
      </c>
      <c r="Q38" s="63">
        <f t="shared" si="35"/>
        <v>-8.7809138343392892</v>
      </c>
      <c r="R38" s="63">
        <f t="shared" si="36"/>
        <v>-0.17609603080780045</v>
      </c>
      <c r="S38" s="63">
        <f t="shared" si="37"/>
        <v>-8.9415470244161668</v>
      </c>
      <c r="T38" s="65">
        <f t="shared" si="38"/>
        <v>-10.758640788186352</v>
      </c>
      <c r="U38" s="65">
        <f t="shared" si="39"/>
        <v>2.113574773135432</v>
      </c>
      <c r="V38" s="65">
        <f t="shared" si="40"/>
        <v>-8.8724579326822859</v>
      </c>
    </row>
    <row r="39" spans="1:22" ht="15" customHeight="1" x14ac:dyDescent="0.25">
      <c r="A39" s="9" t="s">
        <v>62</v>
      </c>
      <c r="B39" s="26">
        <f t="shared" ref="B39" si="41">SUM(B35:B38)</f>
        <v>57155725750.885994</v>
      </c>
      <c r="C39" s="26">
        <f t="shared" ref="C39" si="42">SUM(C35:C38)</f>
        <v>58306396447.009636</v>
      </c>
      <c r="D39" s="26">
        <f t="shared" ref="D39" si="43">SUM(D35:D38)</f>
        <v>59106057361.012787</v>
      </c>
      <c r="E39" s="94">
        <f t="shared" si="30"/>
        <v>238.48706006132207</v>
      </c>
      <c r="F39" s="94">
        <f t="shared" si="28"/>
        <v>182.94639439249852</v>
      </c>
      <c r="G39" s="94">
        <f t="shared" si="28"/>
        <v>191.45592694301976</v>
      </c>
      <c r="H39" s="95">
        <f t="shared" si="31"/>
        <v>140.13687858518426</v>
      </c>
      <c r="I39" s="95">
        <f t="shared" si="29"/>
        <v>90.82449478442426</v>
      </c>
      <c r="J39" s="95">
        <f t="shared" si="29"/>
        <v>97.932213015752666</v>
      </c>
      <c r="N39" s="61">
        <f t="shared" si="32"/>
        <v>2.0132203397063941</v>
      </c>
      <c r="O39" s="61">
        <f t="shared" si="33"/>
        <v>1.3714805968671095</v>
      </c>
      <c r="P39" s="61">
        <f t="shared" si="34"/>
        <v>3.4123118629047591</v>
      </c>
      <c r="Q39" s="63">
        <f t="shared" si="35"/>
        <v>-23.288754389668942</v>
      </c>
      <c r="R39" s="63">
        <f t="shared" si="36"/>
        <v>4.6513803011961219</v>
      </c>
      <c r="S39" s="63">
        <f t="shared" si="37"/>
        <v>-19.720622622547829</v>
      </c>
      <c r="T39" s="65">
        <f t="shared" si="38"/>
        <v>-35.18872712066635</v>
      </c>
      <c r="U39" s="65">
        <f t="shared" si="39"/>
        <v>7.8257723846401479</v>
      </c>
      <c r="V39" s="65">
        <f t="shared" si="40"/>
        <v>-30.116744425541679</v>
      </c>
    </row>
    <row r="40" spans="1:22" s="11" customFormat="1" ht="15" customHeight="1" x14ac:dyDescent="0.25">
      <c r="A40" s="13"/>
      <c r="B40" s="14"/>
      <c r="C40" s="12"/>
      <c r="D40" s="12"/>
      <c r="E40" s="12"/>
      <c r="F40" s="12"/>
      <c r="G40" s="12"/>
      <c r="H40" s="12"/>
      <c r="I40" s="12"/>
      <c r="J40" s="12"/>
    </row>
    <row r="41" spans="1:22" s="11" customFormat="1" ht="15" customHeight="1" x14ac:dyDescent="0.25">
      <c r="A41" s="12"/>
      <c r="B41" s="12"/>
      <c r="C41" s="12"/>
      <c r="D41" s="12"/>
      <c r="E41" s="12"/>
      <c r="F41" s="12"/>
      <c r="G41" s="12"/>
      <c r="H41" s="12"/>
      <c r="I41" s="12"/>
      <c r="J41" s="12"/>
    </row>
    <row r="42" spans="1:22" ht="15" customHeight="1" x14ac:dyDescent="0.25">
      <c r="A42" s="5"/>
      <c r="B42" s="5"/>
      <c r="C42" s="5"/>
      <c r="D42" s="5"/>
      <c r="E42" s="5"/>
      <c r="F42" s="5"/>
      <c r="G42" s="5"/>
      <c r="H42" s="5"/>
      <c r="I42" s="5"/>
      <c r="J42" s="5"/>
    </row>
    <row r="43" spans="1:22" ht="15" customHeight="1" x14ac:dyDescent="0.25">
      <c r="A43" s="19" t="s">
        <v>40</v>
      </c>
      <c r="B43" s="113" t="s">
        <v>133</v>
      </c>
      <c r="C43" s="114"/>
      <c r="D43" s="115"/>
      <c r="E43" s="117" t="s">
        <v>134</v>
      </c>
      <c r="F43" s="117"/>
      <c r="G43" s="117"/>
      <c r="H43" s="116" t="s">
        <v>135</v>
      </c>
      <c r="I43" s="116"/>
      <c r="J43" s="116"/>
      <c r="N43" s="110" t="s">
        <v>128</v>
      </c>
      <c r="O43" s="111"/>
      <c r="P43" s="112"/>
      <c r="Q43" s="107" t="s">
        <v>129</v>
      </c>
      <c r="R43" s="108"/>
      <c r="S43" s="109"/>
      <c r="T43" s="118" t="s">
        <v>130</v>
      </c>
      <c r="U43" s="119"/>
      <c r="V43" s="119"/>
    </row>
    <row r="44" spans="1:22" ht="15" customHeight="1" x14ac:dyDescent="0.25">
      <c r="A44" s="19" t="s">
        <v>4</v>
      </c>
      <c r="B44" s="24">
        <v>2016</v>
      </c>
      <c r="C44" s="24">
        <v>2017</v>
      </c>
      <c r="D44" s="24">
        <v>2018</v>
      </c>
      <c r="E44" s="23">
        <v>2016</v>
      </c>
      <c r="F44" s="23">
        <v>2017</v>
      </c>
      <c r="G44" s="23">
        <v>2018</v>
      </c>
      <c r="H44" s="50">
        <v>2016</v>
      </c>
      <c r="I44" s="50">
        <v>2017</v>
      </c>
      <c r="J44" s="50">
        <v>2018</v>
      </c>
      <c r="N44" s="60" t="s">
        <v>79</v>
      </c>
      <c r="O44" s="60" t="s">
        <v>80</v>
      </c>
      <c r="P44" s="60" t="s">
        <v>175</v>
      </c>
      <c r="Q44" s="62" t="s">
        <v>79</v>
      </c>
      <c r="R44" s="62" t="s">
        <v>80</v>
      </c>
      <c r="S44" s="62" t="s">
        <v>175</v>
      </c>
      <c r="T44" s="64" t="s">
        <v>79</v>
      </c>
      <c r="U44" s="64" t="s">
        <v>80</v>
      </c>
      <c r="V44" s="64" t="s">
        <v>175</v>
      </c>
    </row>
    <row r="45" spans="1:22" ht="15" customHeight="1" x14ac:dyDescent="0.25">
      <c r="A45" s="8" t="s">
        <v>0</v>
      </c>
      <c r="B45" s="25">
        <f>OIE!F87</f>
        <v>51658272200.18264</v>
      </c>
      <c r="C45" s="25">
        <f>OIE!F54</f>
        <v>52337359120.720802</v>
      </c>
      <c r="D45" s="25">
        <f>OIE!F20</f>
        <v>52800990545.021278</v>
      </c>
      <c r="E45" s="94">
        <f>B3*1000000/B45</f>
        <v>130.22210603428226</v>
      </c>
      <c r="F45" s="94">
        <f t="shared" ref="F45:G49" si="44">C3*1000000/C45</f>
        <v>104.57482173251508</v>
      </c>
      <c r="G45" s="94">
        <f t="shared" si="44"/>
        <v>111.68767743043908</v>
      </c>
      <c r="H45" s="95">
        <f>E3*1000000/B45</f>
        <v>69.900576349265378</v>
      </c>
      <c r="I45" s="95">
        <f t="shared" ref="I45:J49" si="45">F3*1000000/C45</f>
        <v>44.592219386094577</v>
      </c>
      <c r="J45" s="95">
        <f t="shared" si="45"/>
        <v>47.748289832750601</v>
      </c>
      <c r="N45" s="61">
        <f>(C45-B45)/B45*100</f>
        <v>1.3145753654063583</v>
      </c>
      <c r="O45" s="61">
        <f>(D45-C45)/C45*100</f>
        <v>0.88585177412385041</v>
      </c>
      <c r="P45" s="61">
        <f>(D45-B45)/B45*100</f>
        <v>2.212072328726856</v>
      </c>
      <c r="Q45" s="63">
        <f>(F45-E45)/E45*100</f>
        <v>-19.695031114775002</v>
      </c>
      <c r="R45" s="63">
        <f>(G45-F45)/F45*100</f>
        <v>6.8016904835061549</v>
      </c>
      <c r="S45" s="63">
        <f>(G45-E45)/E45*100</f>
        <v>-14.232935688326073</v>
      </c>
      <c r="T45" s="65">
        <f>(I45-H45)/H45*100</f>
        <v>-36.206220728016611</v>
      </c>
      <c r="U45" s="65">
        <f>(J45-I45)/I45*100</f>
        <v>7.0776258506662204</v>
      </c>
      <c r="V45" s="65">
        <f>(J45-H45)/H45*100</f>
        <v>-31.691135715145769</v>
      </c>
    </row>
    <row r="46" spans="1:22" ht="15" customHeight="1" x14ac:dyDescent="0.25">
      <c r="A46" s="8" t="s">
        <v>1</v>
      </c>
      <c r="B46" s="25">
        <f>OIE!G91</f>
        <v>15988318726.153847</v>
      </c>
      <c r="C46" s="25">
        <f>OIE!G58</f>
        <v>16467638916.923077</v>
      </c>
      <c r="D46" s="25">
        <f>OIE!G24</f>
        <v>16921777909.743589</v>
      </c>
      <c r="E46" s="94">
        <f t="shared" ref="E46:E49" si="46">B4*1000000/B46</f>
        <v>222.58938297110825</v>
      </c>
      <c r="F46" s="94">
        <f t="shared" si="44"/>
        <v>146.88966719534849</v>
      </c>
      <c r="G46" s="94">
        <f t="shared" si="44"/>
        <v>164.78871279798364</v>
      </c>
      <c r="H46" s="95">
        <f t="shared" ref="H46:H49" si="47">E4*1000000/B46</f>
        <v>195.97195012597413</v>
      </c>
      <c r="I46" s="95">
        <f t="shared" si="45"/>
        <v>122.84286837994247</v>
      </c>
      <c r="J46" s="95">
        <f t="shared" si="45"/>
        <v>140.31315223874</v>
      </c>
      <c r="N46" s="61">
        <f t="shared" ref="N46:N49" si="48">(C46-B46)/B46*100</f>
        <v>2.9979399271366369</v>
      </c>
      <c r="O46" s="61">
        <f t="shared" ref="O46:O49" si="49">(D46-C46)/C46*100</f>
        <v>2.7577662779198651</v>
      </c>
      <c r="P46" s="61">
        <f t="shared" ref="P46:P49" si="50">(D46-B46)/B46*100</f>
        <v>5.8383823813993718</v>
      </c>
      <c r="Q46" s="63">
        <f t="shared" ref="Q46:Q49" si="51">(F46-E46)/E46*100</f>
        <v>-34.008682159645261</v>
      </c>
      <c r="R46" s="63">
        <f t="shared" ref="R46:R49" si="52">(G46-F46)/F46*100</f>
        <v>12.185367387912459</v>
      </c>
      <c r="S46" s="63">
        <f t="shared" ref="S46:S49" si="53">(G46-E46)/E46*100</f>
        <v>-25.967397636673017</v>
      </c>
      <c r="T46" s="65">
        <f t="shared" ref="T46:T49" si="54">(I46-H46)/H46*100</f>
        <v>-37.316096359210093</v>
      </c>
      <c r="U46" s="65">
        <f t="shared" ref="U46:U49" si="55">(J46-I46)/I46*100</f>
        <v>14.221650869274264</v>
      </c>
      <c r="V46" s="65">
        <f t="shared" ref="V46:V49" si="56">(J46-H46)/H46*100</f>
        <v>-28.401410432184658</v>
      </c>
    </row>
    <row r="47" spans="1:22" ht="15" customHeight="1" x14ac:dyDescent="0.25">
      <c r="A47" s="8" t="s">
        <v>2</v>
      </c>
      <c r="B47" s="25">
        <f>OIE!D95</f>
        <v>26726378571.428577</v>
      </c>
      <c r="C47" s="25">
        <f>OIE!D62</f>
        <v>27343671428.571426</v>
      </c>
      <c r="D47" s="25">
        <f>OIE!D28</f>
        <v>27954345714.285717</v>
      </c>
      <c r="E47" s="94">
        <f t="shared" si="46"/>
        <v>82.649581352612287</v>
      </c>
      <c r="F47" s="94">
        <f t="shared" si="44"/>
        <v>63.826249688488907</v>
      </c>
      <c r="G47" s="94">
        <f t="shared" si="44"/>
        <v>58.078018229928162</v>
      </c>
      <c r="H47" s="95">
        <f t="shared" si="47"/>
        <v>19.037371585536274</v>
      </c>
      <c r="I47" s="95">
        <f t="shared" si="45"/>
        <v>9.8028898825897048</v>
      </c>
      <c r="J47" s="95">
        <f t="shared" si="45"/>
        <v>7.9334355476138079</v>
      </c>
      <c r="N47" s="61">
        <f t="shared" si="48"/>
        <v>2.3096763951505066</v>
      </c>
      <c r="O47" s="61">
        <f t="shared" si="49"/>
        <v>2.2333295194448413</v>
      </c>
      <c r="P47" s="61">
        <f t="shared" si="50"/>
        <v>4.5945885993318933</v>
      </c>
      <c r="Q47" s="63">
        <f t="shared" si="51"/>
        <v>-22.774866316402019</v>
      </c>
      <c r="R47" s="63">
        <f t="shared" si="52"/>
        <v>-9.006061748286367</v>
      </c>
      <c r="S47" s="63">
        <f t="shared" si="53"/>
        <v>-29.729809541143549</v>
      </c>
      <c r="T47" s="65">
        <f t="shared" si="54"/>
        <v>-48.507125374190345</v>
      </c>
      <c r="U47" s="65">
        <f t="shared" si="55"/>
        <v>-19.0704410369448</v>
      </c>
      <c r="V47" s="65">
        <f t="shared" si="56"/>
        <v>-58.327043667933289</v>
      </c>
    </row>
    <row r="48" spans="1:22" ht="15" customHeight="1" x14ac:dyDescent="0.25">
      <c r="A48" s="8" t="s">
        <v>3</v>
      </c>
      <c r="B48" s="25">
        <f>OIE!D96</f>
        <v>3875728571.4285722</v>
      </c>
      <c r="C48" s="25">
        <f>OIE!D63</f>
        <v>3875352857.142858</v>
      </c>
      <c r="D48" s="25">
        <f>OIE!D29</f>
        <v>3808942857.142858</v>
      </c>
      <c r="E48" s="94">
        <f t="shared" si="46"/>
        <v>293.13146652610931</v>
      </c>
      <c r="F48" s="94">
        <f t="shared" si="44"/>
        <v>265.68032330327884</v>
      </c>
      <c r="G48" s="94">
        <f t="shared" si="44"/>
        <v>264.36048997472108</v>
      </c>
      <c r="H48" s="95">
        <f t="shared" si="47"/>
        <v>195.22006922200799</v>
      </c>
      <c r="I48" s="95">
        <f t="shared" si="45"/>
        <v>173.10191477494948</v>
      </c>
      <c r="J48" s="95">
        <f t="shared" si="45"/>
        <v>176.19271938970689</v>
      </c>
      <c r="N48" s="61">
        <f t="shared" si="48"/>
        <v>-9.6940298782497887E-3</v>
      </c>
      <c r="O48" s="61">
        <f t="shared" si="49"/>
        <v>-1.7136504067648031</v>
      </c>
      <c r="P48" s="61">
        <f t="shared" si="50"/>
        <v>-1.7231783148606121</v>
      </c>
      <c r="Q48" s="63">
        <f t="shared" si="51"/>
        <v>-9.3647889624928364</v>
      </c>
      <c r="R48" s="63">
        <f t="shared" si="52"/>
        <v>-0.49677496328967874</v>
      </c>
      <c r="S48" s="63">
        <f t="shared" si="53"/>
        <v>-9.8150419988519353</v>
      </c>
      <c r="T48" s="65">
        <f t="shared" si="54"/>
        <v>-11.329856881622826</v>
      </c>
      <c r="U48" s="65">
        <f t="shared" si="55"/>
        <v>1.7855403961162328</v>
      </c>
      <c r="V48" s="65">
        <f t="shared" si="56"/>
        <v>-9.746615656950123</v>
      </c>
    </row>
    <row r="49" spans="1:22" ht="15" customHeight="1" x14ac:dyDescent="0.25">
      <c r="A49" s="9" t="s">
        <v>62</v>
      </c>
      <c r="B49" s="26">
        <f t="shared" ref="B49" si="57">SUM(B45:B48)</f>
        <v>98248698069.193634</v>
      </c>
      <c r="C49" s="26">
        <f t="shared" ref="C49" si="58">SUM(C45:C48)</f>
        <v>100024022323.35815</v>
      </c>
      <c r="D49" s="26">
        <f t="shared" ref="D49" si="59">SUM(D45:D48)</f>
        <v>101486057026.19344</v>
      </c>
      <c r="E49" s="94">
        <f t="shared" si="46"/>
        <v>138.73874430783971</v>
      </c>
      <c r="F49" s="94">
        <f t="shared" si="44"/>
        <v>106.64383167391377</v>
      </c>
      <c r="G49" s="94">
        <f t="shared" si="44"/>
        <v>111.50502178914391</v>
      </c>
      <c r="H49" s="95">
        <f t="shared" si="47"/>
        <v>81.523981054273705</v>
      </c>
      <c r="I49" s="95">
        <f t="shared" si="45"/>
        <v>52.943771675969998</v>
      </c>
      <c r="J49" s="95">
        <f t="shared" si="45"/>
        <v>57.036278377689101</v>
      </c>
      <c r="N49" s="61">
        <f t="shared" si="48"/>
        <v>1.806969750290444</v>
      </c>
      <c r="O49" s="61">
        <f t="shared" si="49"/>
        <v>1.4616835724810269</v>
      </c>
      <c r="P49" s="61">
        <f t="shared" si="50"/>
        <v>3.2950655027711675</v>
      </c>
      <c r="Q49" s="63">
        <f t="shared" si="51"/>
        <v>-23.133345190664492</v>
      </c>
      <c r="R49" s="63">
        <f t="shared" si="52"/>
        <v>4.5583415739358175</v>
      </c>
      <c r="S49" s="63">
        <f t="shared" si="53"/>
        <v>-19.629500507996816</v>
      </c>
      <c r="T49" s="65">
        <f t="shared" si="54"/>
        <v>-35.057426058814208</v>
      </c>
      <c r="U49" s="65">
        <f t="shared" si="55"/>
        <v>7.7299115120969004</v>
      </c>
      <c r="V49" s="65">
        <f t="shared" si="56"/>
        <v>-30.037422559482447</v>
      </c>
    </row>
    <row r="50" spans="1:22" x14ac:dyDescent="0.25">
      <c r="A50" s="13"/>
      <c r="B50" s="13"/>
      <c r="C50" s="13"/>
      <c r="D50" s="13"/>
      <c r="E50" s="14"/>
    </row>
  </sheetData>
  <mergeCells count="28">
    <mergeCell ref="B43:D43"/>
    <mergeCell ref="B33:D33"/>
    <mergeCell ref="N33:P33"/>
    <mergeCell ref="N43:P43"/>
    <mergeCell ref="N23:P23"/>
    <mergeCell ref="B23:D23"/>
    <mergeCell ref="H23:J23"/>
    <mergeCell ref="H33:J33"/>
    <mergeCell ref="H43:J43"/>
    <mergeCell ref="E43:G43"/>
    <mergeCell ref="E33:G33"/>
    <mergeCell ref="E23:G23"/>
    <mergeCell ref="T43:V43"/>
    <mergeCell ref="T33:V33"/>
    <mergeCell ref="T23:V23"/>
    <mergeCell ref="T13:V13"/>
    <mergeCell ref="Q43:S43"/>
    <mergeCell ref="Q33:S33"/>
    <mergeCell ref="Q23:S23"/>
    <mergeCell ref="Q1:S1"/>
    <mergeCell ref="N1:P1"/>
    <mergeCell ref="B1:D1"/>
    <mergeCell ref="E1:G1"/>
    <mergeCell ref="Q13:S13"/>
    <mergeCell ref="N13:P13"/>
    <mergeCell ref="B13:D13"/>
    <mergeCell ref="H13:J13"/>
    <mergeCell ref="E13:G13"/>
  </mergeCells>
  <pageMargins left="0.7" right="0.7" top="0.75" bottom="0.75" header="0.3" footer="0.3"/>
  <pageSetup orientation="portrait" r:id="rId1"/>
  <ignoredErrors>
    <ignoredError sqref="P15:P16 P17:P19 P45 P46:P49 P34:P39 P25:P29 S15:S19 S25:S29 S35:S39 S45:S49 P3:P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B9A8-5E80-4C71-93B0-6EE65B78E208}">
  <dimension ref="A1:P29"/>
  <sheetViews>
    <sheetView topLeftCell="B1" workbookViewId="0">
      <selection activeCell="C25" sqref="C25:P25"/>
    </sheetView>
  </sheetViews>
  <sheetFormatPr defaultColWidth="9.140625" defaultRowHeight="15" x14ac:dyDescent="0.25"/>
  <cols>
    <col min="1" max="3" width="20.7109375" style="2" customWidth="1"/>
    <col min="4" max="4" width="12.5703125" style="2" bestFit="1" customWidth="1"/>
    <col min="5" max="5" width="20.7109375" style="2" customWidth="1"/>
    <col min="6" max="6" width="16.85546875" style="2" bestFit="1" customWidth="1"/>
    <col min="7" max="11" width="20.7109375" style="2" customWidth="1"/>
    <col min="12" max="12" width="4.140625" style="2" bestFit="1" customWidth="1"/>
    <col min="13" max="13" width="20.7109375" style="2" customWidth="1"/>
    <col min="14" max="14" width="11.140625" style="2" bestFit="1" customWidth="1"/>
    <col min="15" max="15" width="4.140625" style="2" bestFit="1" customWidth="1"/>
    <col min="16" max="16" width="20.7109375" style="2" customWidth="1"/>
    <col min="17" max="16384" width="9.140625" style="2"/>
  </cols>
  <sheetData>
    <row r="1" spans="1:16" x14ac:dyDescent="0.25">
      <c r="A1" s="21"/>
      <c r="B1" s="27"/>
      <c r="C1" s="120" t="s">
        <v>193</v>
      </c>
      <c r="D1" s="121"/>
      <c r="E1" s="121"/>
      <c r="F1" s="121"/>
      <c r="G1" s="121"/>
      <c r="H1" s="121"/>
      <c r="I1" s="121"/>
      <c r="J1" s="121"/>
      <c r="K1" s="121"/>
      <c r="L1" s="121"/>
      <c r="M1" s="122"/>
      <c r="N1" s="120" t="s">
        <v>194</v>
      </c>
      <c r="O1" s="121"/>
      <c r="P1" s="122"/>
    </row>
    <row r="2" spans="1:16" x14ac:dyDescent="0.25">
      <c r="A2" s="28"/>
      <c r="B2" s="29" t="s">
        <v>45</v>
      </c>
      <c r="C2" s="19" t="s">
        <v>68</v>
      </c>
      <c r="D2" s="19" t="s">
        <v>69</v>
      </c>
      <c r="E2" s="19" t="s">
        <v>70</v>
      </c>
      <c r="F2" s="19" t="s">
        <v>71</v>
      </c>
      <c r="G2" s="19" t="s">
        <v>72</v>
      </c>
      <c r="H2" s="19" t="s">
        <v>73</v>
      </c>
      <c r="I2" s="19" t="s">
        <v>74</v>
      </c>
      <c r="J2" s="19" t="s">
        <v>75</v>
      </c>
      <c r="K2" s="19" t="s">
        <v>76</v>
      </c>
      <c r="L2" s="19" t="s">
        <v>77</v>
      </c>
      <c r="M2" s="19" t="s">
        <v>81</v>
      </c>
      <c r="N2" s="19" t="s">
        <v>67</v>
      </c>
      <c r="O2" s="19" t="s">
        <v>77</v>
      </c>
      <c r="P2" s="19" t="s">
        <v>81</v>
      </c>
    </row>
    <row r="3" spans="1:16" x14ac:dyDescent="0.25">
      <c r="A3" s="123" t="s">
        <v>63</v>
      </c>
      <c r="B3" s="8">
        <v>2018</v>
      </c>
      <c r="C3" s="80">
        <v>137614</v>
      </c>
      <c r="D3" s="80"/>
      <c r="E3" s="80">
        <v>25337</v>
      </c>
      <c r="F3" s="80"/>
      <c r="G3" s="80"/>
      <c r="H3" s="80">
        <v>274837</v>
      </c>
      <c r="I3" s="80">
        <v>96591</v>
      </c>
      <c r="J3" s="80">
        <v>187603</v>
      </c>
      <c r="K3" s="80">
        <v>1732416</v>
      </c>
      <c r="L3" s="80"/>
      <c r="M3" s="80">
        <v>2521157</v>
      </c>
      <c r="N3" s="80"/>
      <c r="O3" s="80"/>
      <c r="P3" s="80">
        <v>3376063</v>
      </c>
    </row>
    <row r="4" spans="1:16" x14ac:dyDescent="0.25">
      <c r="A4" s="124"/>
      <c r="B4" s="8">
        <v>2017</v>
      </c>
      <c r="C4" s="80">
        <v>124675</v>
      </c>
      <c r="D4" s="80"/>
      <c r="E4" s="80">
        <v>23512</v>
      </c>
      <c r="F4" s="80"/>
      <c r="G4" s="80"/>
      <c r="H4" s="80">
        <v>274479</v>
      </c>
      <c r="I4" s="80">
        <v>96936</v>
      </c>
      <c r="J4" s="80">
        <v>196902</v>
      </c>
      <c r="K4" s="80">
        <v>1560542</v>
      </c>
      <c r="L4" s="80"/>
      <c r="M4" s="80">
        <v>2333839</v>
      </c>
      <c r="N4" s="80"/>
      <c r="O4" s="80"/>
      <c r="P4" s="80">
        <v>3139331</v>
      </c>
    </row>
    <row r="5" spans="1:16" x14ac:dyDescent="0.25">
      <c r="A5" s="124"/>
      <c r="B5" s="8">
        <v>2016</v>
      </c>
      <c r="C5" s="80">
        <v>161646</v>
      </c>
      <c r="D5" s="80"/>
      <c r="E5" s="80">
        <v>24677</v>
      </c>
      <c r="F5" s="80"/>
      <c r="G5" s="80"/>
      <c r="H5" s="80">
        <v>194811</v>
      </c>
      <c r="I5" s="80">
        <v>99935</v>
      </c>
      <c r="J5" s="80">
        <v>234955</v>
      </c>
      <c r="K5" s="80">
        <v>2845919</v>
      </c>
      <c r="L5" s="80"/>
      <c r="M5" s="80">
        <v>3610943</v>
      </c>
      <c r="N5" s="80"/>
      <c r="O5" s="80"/>
      <c r="P5" s="80">
        <v>3116106</v>
      </c>
    </row>
    <row r="6" spans="1:16" x14ac:dyDescent="0.25">
      <c r="A6" s="30"/>
      <c r="B6" s="30"/>
      <c r="C6" s="15"/>
      <c r="D6" s="15"/>
      <c r="E6" s="15"/>
      <c r="F6" s="15"/>
      <c r="G6" s="15"/>
      <c r="H6" s="15"/>
      <c r="I6" s="15"/>
      <c r="J6" s="15"/>
      <c r="K6" s="15"/>
      <c r="L6" s="15"/>
      <c r="M6" s="31"/>
      <c r="N6" s="15"/>
      <c r="O6" s="15"/>
      <c r="P6" s="31"/>
    </row>
    <row r="7" spans="1:16" x14ac:dyDescent="0.25">
      <c r="A7" s="30"/>
      <c r="B7" s="30"/>
      <c r="C7" s="15"/>
      <c r="D7" s="15"/>
      <c r="E7" s="15"/>
      <c r="F7" s="15"/>
      <c r="G7" s="15"/>
      <c r="H7" s="15"/>
      <c r="I7" s="15"/>
      <c r="J7" s="15"/>
      <c r="K7" s="15"/>
      <c r="L7" s="15"/>
      <c r="M7" s="31"/>
      <c r="N7" s="15"/>
      <c r="O7" s="15"/>
      <c r="P7" s="31"/>
    </row>
    <row r="8" spans="1:16" s="16" customFormat="1" x14ac:dyDescent="0.25">
      <c r="A8" s="30"/>
      <c r="B8" s="30"/>
      <c r="C8" s="15"/>
      <c r="D8" s="15"/>
      <c r="E8" s="15"/>
      <c r="F8" s="15"/>
      <c r="G8" s="15"/>
      <c r="H8" s="15"/>
      <c r="I8" s="15"/>
      <c r="J8" s="15"/>
      <c r="K8" s="15"/>
      <c r="L8" s="15"/>
      <c r="M8" s="31"/>
      <c r="N8" s="15"/>
      <c r="O8" s="15"/>
      <c r="P8" s="31"/>
    </row>
    <row r="9" spans="1:16" s="16" customFormat="1" x14ac:dyDescent="0.25">
      <c r="A9" s="30"/>
      <c r="B9" s="27"/>
      <c r="C9" s="120" t="s">
        <v>193</v>
      </c>
      <c r="D9" s="121"/>
      <c r="E9" s="121"/>
      <c r="F9" s="121"/>
      <c r="G9" s="121"/>
      <c r="H9" s="121"/>
      <c r="I9" s="121"/>
      <c r="J9" s="121"/>
      <c r="K9" s="121"/>
      <c r="L9" s="121"/>
      <c r="M9" s="122"/>
      <c r="N9" s="120" t="s">
        <v>194</v>
      </c>
      <c r="O9" s="121"/>
      <c r="P9" s="122"/>
    </row>
    <row r="10" spans="1:16" s="16" customFormat="1" x14ac:dyDescent="0.25">
      <c r="A10" s="30"/>
      <c r="B10" s="29" t="s">
        <v>45</v>
      </c>
      <c r="C10" s="19" t="s">
        <v>68</v>
      </c>
      <c r="D10" s="19" t="s">
        <v>69</v>
      </c>
      <c r="E10" s="19" t="s">
        <v>70</v>
      </c>
      <c r="F10" s="19" t="s">
        <v>71</v>
      </c>
      <c r="G10" s="19" t="s">
        <v>72</v>
      </c>
      <c r="H10" s="19" t="s">
        <v>73</v>
      </c>
      <c r="I10" s="19" t="s">
        <v>74</v>
      </c>
      <c r="J10" s="19" t="s">
        <v>75</v>
      </c>
      <c r="K10" s="19" t="s">
        <v>76</v>
      </c>
      <c r="L10" s="19" t="s">
        <v>77</v>
      </c>
      <c r="M10" s="19" t="s">
        <v>81</v>
      </c>
      <c r="N10" s="19" t="s">
        <v>67</v>
      </c>
      <c r="O10" s="19" t="s">
        <v>77</v>
      </c>
      <c r="P10" s="19" t="s">
        <v>81</v>
      </c>
    </row>
    <row r="11" spans="1:16" x14ac:dyDescent="0.25">
      <c r="A11" s="124" t="s">
        <v>64</v>
      </c>
      <c r="B11" s="8">
        <v>2018</v>
      </c>
      <c r="C11" s="80">
        <v>90779</v>
      </c>
      <c r="D11" s="80"/>
      <c r="E11" s="80"/>
      <c r="F11" s="80"/>
      <c r="G11" s="80">
        <v>104527</v>
      </c>
      <c r="H11" s="80">
        <v>192175</v>
      </c>
      <c r="I11" s="80"/>
      <c r="J11" s="80">
        <v>45581</v>
      </c>
      <c r="K11" s="80">
        <v>1902950</v>
      </c>
      <c r="L11" s="80"/>
      <c r="M11" s="80">
        <v>2374348</v>
      </c>
      <c r="N11" s="80"/>
      <c r="O11" s="80"/>
      <c r="P11" s="80">
        <v>414170</v>
      </c>
    </row>
    <row r="12" spans="1:16" x14ac:dyDescent="0.25">
      <c r="A12" s="124"/>
      <c r="B12" s="8">
        <v>2017</v>
      </c>
      <c r="C12" s="80">
        <v>63602</v>
      </c>
      <c r="D12" s="80"/>
      <c r="E12" s="80"/>
      <c r="F12" s="80"/>
      <c r="G12" s="80">
        <v>128642</v>
      </c>
      <c r="H12" s="80">
        <v>189503</v>
      </c>
      <c r="I12" s="80"/>
      <c r="J12" s="80">
        <v>31024</v>
      </c>
      <c r="K12" s="80">
        <v>1579145</v>
      </c>
      <c r="L12" s="80"/>
      <c r="M12" s="80">
        <v>2022932</v>
      </c>
      <c r="N12" s="80"/>
      <c r="O12" s="80"/>
      <c r="P12" s="80">
        <v>395994</v>
      </c>
    </row>
    <row r="13" spans="1:16" x14ac:dyDescent="0.25">
      <c r="A13" s="124"/>
      <c r="B13" s="8">
        <v>2016</v>
      </c>
      <c r="C13" s="80">
        <v>65850</v>
      </c>
      <c r="D13" s="80"/>
      <c r="E13" s="80"/>
      <c r="F13" s="80"/>
      <c r="G13" s="80">
        <v>118916</v>
      </c>
      <c r="H13" s="80">
        <v>337295</v>
      </c>
      <c r="I13" s="80">
        <v>17958</v>
      </c>
      <c r="J13" s="80">
        <v>40215</v>
      </c>
      <c r="K13" s="80">
        <v>2520680</v>
      </c>
      <c r="L13" s="80"/>
      <c r="M13" s="80">
        <v>3133262</v>
      </c>
      <c r="N13" s="80"/>
      <c r="O13" s="80"/>
      <c r="P13" s="80">
        <v>425568</v>
      </c>
    </row>
    <row r="14" spans="1:16" x14ac:dyDescent="0.25">
      <c r="A14" s="30"/>
      <c r="B14" s="30"/>
      <c r="C14" s="15"/>
      <c r="D14" s="15"/>
      <c r="E14" s="15"/>
      <c r="F14" s="15"/>
      <c r="G14" s="15"/>
      <c r="H14" s="15"/>
      <c r="I14" s="32"/>
      <c r="J14" s="15"/>
      <c r="K14" s="15"/>
      <c r="L14" s="15"/>
      <c r="M14" s="31"/>
      <c r="N14" s="15"/>
      <c r="O14" s="15"/>
      <c r="P14" s="31"/>
    </row>
    <row r="15" spans="1:16" x14ac:dyDescent="0.25">
      <c r="A15" s="30"/>
      <c r="B15" s="30"/>
      <c r="C15" s="15"/>
      <c r="D15" s="15"/>
      <c r="E15" s="15"/>
      <c r="F15" s="15"/>
      <c r="G15" s="15"/>
      <c r="H15" s="15"/>
      <c r="I15" s="32"/>
      <c r="J15" s="15"/>
      <c r="K15" s="15"/>
      <c r="L15" s="15"/>
      <c r="M15" s="31"/>
      <c r="N15" s="15"/>
      <c r="O15" s="15"/>
      <c r="P15" s="31"/>
    </row>
    <row r="16" spans="1:16" s="16" customFormat="1" x14ac:dyDescent="0.25">
      <c r="A16" s="30"/>
      <c r="B16" s="30"/>
      <c r="C16" s="15"/>
      <c r="D16" s="7"/>
      <c r="E16" s="15"/>
      <c r="F16" s="15"/>
      <c r="G16" s="15"/>
      <c r="H16" s="15"/>
      <c r="I16" s="15"/>
      <c r="J16" s="15"/>
      <c r="K16" s="15"/>
      <c r="L16" s="15"/>
      <c r="M16" s="31"/>
      <c r="N16" s="15"/>
      <c r="O16" s="15"/>
      <c r="P16" s="31"/>
    </row>
    <row r="17" spans="1:16" s="16" customFormat="1" x14ac:dyDescent="0.25">
      <c r="A17" s="30"/>
      <c r="B17" s="27"/>
      <c r="C17" s="120" t="s">
        <v>193</v>
      </c>
      <c r="D17" s="121"/>
      <c r="E17" s="121"/>
      <c r="F17" s="121"/>
      <c r="G17" s="121"/>
      <c r="H17" s="121"/>
      <c r="I17" s="121"/>
      <c r="J17" s="121"/>
      <c r="K17" s="121"/>
      <c r="L17" s="121"/>
      <c r="M17" s="122"/>
      <c r="N17" s="120" t="s">
        <v>194</v>
      </c>
      <c r="O17" s="121"/>
      <c r="P17" s="122"/>
    </row>
    <row r="18" spans="1:16" s="16" customFormat="1" x14ac:dyDescent="0.25">
      <c r="A18" s="30"/>
      <c r="B18" s="29" t="s">
        <v>45</v>
      </c>
      <c r="C18" s="19" t="s">
        <v>68</v>
      </c>
      <c r="D18" s="19" t="s">
        <v>69</v>
      </c>
      <c r="E18" s="19" t="s">
        <v>70</v>
      </c>
      <c r="F18" s="19" t="s">
        <v>71</v>
      </c>
      <c r="G18" s="19" t="s">
        <v>72</v>
      </c>
      <c r="H18" s="19" t="s">
        <v>73</v>
      </c>
      <c r="I18" s="19" t="s">
        <v>74</v>
      </c>
      <c r="J18" s="19" t="s">
        <v>75</v>
      </c>
      <c r="K18" s="19" t="s">
        <v>76</v>
      </c>
      <c r="L18" s="19" t="s">
        <v>77</v>
      </c>
      <c r="M18" s="19" t="s">
        <v>81</v>
      </c>
      <c r="N18" s="19" t="s">
        <v>67</v>
      </c>
      <c r="O18" s="19" t="s">
        <v>77</v>
      </c>
      <c r="P18" s="19" t="s">
        <v>81</v>
      </c>
    </row>
    <row r="19" spans="1:16" x14ac:dyDescent="0.25">
      <c r="A19" s="124" t="s">
        <v>65</v>
      </c>
      <c r="B19" s="8">
        <v>2018</v>
      </c>
      <c r="C19" s="80">
        <v>13430</v>
      </c>
      <c r="D19" s="80"/>
      <c r="E19" s="80"/>
      <c r="F19" s="80"/>
      <c r="G19" s="80">
        <v>8780</v>
      </c>
      <c r="H19" s="80">
        <v>2971</v>
      </c>
      <c r="I19" s="80"/>
      <c r="J19" s="80"/>
      <c r="K19" s="80">
        <v>140561</v>
      </c>
      <c r="L19" s="80"/>
      <c r="M19" s="80">
        <v>221774</v>
      </c>
      <c r="N19" s="80"/>
      <c r="O19" s="80"/>
      <c r="P19" s="80">
        <v>1401759</v>
      </c>
    </row>
    <row r="20" spans="1:16" x14ac:dyDescent="0.25">
      <c r="A20" s="124"/>
      <c r="B20" s="8">
        <v>2017</v>
      </c>
      <c r="C20" s="80">
        <v>20185</v>
      </c>
      <c r="D20" s="80"/>
      <c r="E20" s="80"/>
      <c r="F20" s="80"/>
      <c r="G20" s="80">
        <v>8213</v>
      </c>
      <c r="H20" s="80">
        <v>2614</v>
      </c>
      <c r="I20" s="80"/>
      <c r="J20" s="80">
        <v>7319</v>
      </c>
      <c r="K20" s="80">
        <v>153621</v>
      </c>
      <c r="L20" s="80"/>
      <c r="M20" s="80">
        <v>268047</v>
      </c>
      <c r="N20" s="80"/>
      <c r="O20" s="80"/>
      <c r="P20" s="80">
        <v>1477197</v>
      </c>
    </row>
    <row r="21" spans="1:16" x14ac:dyDescent="0.25">
      <c r="A21" s="124"/>
      <c r="B21" s="8">
        <v>2016</v>
      </c>
      <c r="C21" s="80">
        <v>24111</v>
      </c>
      <c r="D21" s="80"/>
      <c r="E21" s="80"/>
      <c r="F21" s="80"/>
      <c r="G21" s="80">
        <v>8874</v>
      </c>
      <c r="H21" s="80">
        <v>20718</v>
      </c>
      <c r="I21" s="80"/>
      <c r="J21" s="80">
        <v>21115</v>
      </c>
      <c r="K21" s="80">
        <v>285513</v>
      </c>
      <c r="L21" s="80"/>
      <c r="M21" s="80">
        <v>508800</v>
      </c>
      <c r="N21" s="80"/>
      <c r="O21" s="80"/>
      <c r="P21" s="80">
        <v>1700124</v>
      </c>
    </row>
    <row r="22" spans="1:16" x14ac:dyDescent="0.25">
      <c r="A22" s="30"/>
      <c r="B22" s="30"/>
      <c r="C22" s="15"/>
      <c r="D22" s="15"/>
      <c r="E22" s="15"/>
      <c r="F22" s="15"/>
      <c r="G22" s="15"/>
      <c r="H22" s="15"/>
      <c r="I22" s="15"/>
      <c r="J22" s="32"/>
      <c r="K22" s="15"/>
      <c r="L22" s="15"/>
      <c r="M22" s="31"/>
      <c r="N22" s="15"/>
      <c r="O22" s="15"/>
      <c r="P22" s="31"/>
    </row>
    <row r="23" spans="1:16" x14ac:dyDescent="0.25">
      <c r="A23" s="30"/>
      <c r="B23" s="30"/>
      <c r="C23" s="15"/>
      <c r="D23" s="15"/>
      <c r="E23" s="15"/>
      <c r="F23" s="15"/>
      <c r="G23" s="15"/>
      <c r="H23" s="15"/>
      <c r="I23" s="15"/>
      <c r="J23" s="32"/>
      <c r="K23" s="15"/>
      <c r="L23" s="15"/>
      <c r="M23" s="31"/>
      <c r="N23" s="15"/>
      <c r="O23" s="15"/>
      <c r="P23" s="31"/>
    </row>
    <row r="24" spans="1:16" s="16" customFormat="1" x14ac:dyDescent="0.25">
      <c r="A24" s="30"/>
      <c r="B24" s="30"/>
      <c r="C24" s="15"/>
      <c r="D24" s="15"/>
      <c r="E24" s="15"/>
      <c r="F24" s="15"/>
      <c r="G24" s="15"/>
      <c r="H24" s="15"/>
      <c r="I24" s="15"/>
      <c r="J24" s="32"/>
      <c r="K24" s="15"/>
      <c r="L24" s="15"/>
      <c r="M24" s="31"/>
      <c r="N24" s="15"/>
      <c r="O24" s="15"/>
      <c r="P24" s="31"/>
    </row>
    <row r="25" spans="1:16" s="16" customFormat="1" x14ac:dyDescent="0.25">
      <c r="A25" s="30"/>
      <c r="B25" s="27"/>
      <c r="C25" s="120" t="s">
        <v>193</v>
      </c>
      <c r="D25" s="121"/>
      <c r="E25" s="121"/>
      <c r="F25" s="121"/>
      <c r="G25" s="121"/>
      <c r="H25" s="121"/>
      <c r="I25" s="121"/>
      <c r="J25" s="121"/>
      <c r="K25" s="121"/>
      <c r="L25" s="121"/>
      <c r="M25" s="122"/>
      <c r="N25" s="120" t="s">
        <v>194</v>
      </c>
      <c r="O25" s="121"/>
      <c r="P25" s="122"/>
    </row>
    <row r="26" spans="1:16" s="16" customFormat="1" x14ac:dyDescent="0.25">
      <c r="A26" s="30"/>
      <c r="B26" s="29" t="s">
        <v>45</v>
      </c>
      <c r="C26" s="19" t="s">
        <v>68</v>
      </c>
      <c r="D26" s="19" t="s">
        <v>69</v>
      </c>
      <c r="E26" s="19" t="s">
        <v>70</v>
      </c>
      <c r="F26" s="19" t="s">
        <v>71</v>
      </c>
      <c r="G26" s="19" t="s">
        <v>72</v>
      </c>
      <c r="H26" s="19" t="s">
        <v>73</v>
      </c>
      <c r="I26" s="19" t="s">
        <v>74</v>
      </c>
      <c r="J26" s="19" t="s">
        <v>75</v>
      </c>
      <c r="K26" s="19" t="s">
        <v>76</v>
      </c>
      <c r="L26" s="19" t="s">
        <v>77</v>
      </c>
      <c r="M26" s="19" t="s">
        <v>81</v>
      </c>
      <c r="N26" s="19" t="s">
        <v>67</v>
      </c>
      <c r="O26" s="19" t="s">
        <v>77</v>
      </c>
      <c r="P26" s="19" t="s">
        <v>81</v>
      </c>
    </row>
    <row r="27" spans="1:16" x14ac:dyDescent="0.25">
      <c r="A27" s="124" t="s">
        <v>66</v>
      </c>
      <c r="B27" s="8">
        <v>2018</v>
      </c>
      <c r="C27" s="80">
        <v>24321</v>
      </c>
      <c r="D27" s="80"/>
      <c r="E27" s="80"/>
      <c r="F27" s="80"/>
      <c r="G27" s="80"/>
      <c r="H27" s="80">
        <v>1653</v>
      </c>
      <c r="I27" s="80">
        <v>463939</v>
      </c>
      <c r="J27" s="80">
        <v>30446</v>
      </c>
      <c r="K27" s="80">
        <v>150749</v>
      </c>
      <c r="L27" s="80"/>
      <c r="M27" s="80">
        <v>671108</v>
      </c>
      <c r="N27" s="80"/>
      <c r="O27" s="80"/>
      <c r="P27" s="80">
        <v>335826</v>
      </c>
    </row>
    <row r="28" spans="1:16" x14ac:dyDescent="0.25">
      <c r="A28" s="124"/>
      <c r="B28" s="8">
        <v>2017</v>
      </c>
      <c r="C28" s="80">
        <v>24042</v>
      </c>
      <c r="D28" s="80"/>
      <c r="E28" s="80"/>
      <c r="F28" s="80"/>
      <c r="G28" s="80"/>
      <c r="H28" s="80">
        <v>1307</v>
      </c>
      <c r="I28" s="80">
        <v>423689</v>
      </c>
      <c r="J28" s="80">
        <v>28817</v>
      </c>
      <c r="K28" s="80">
        <v>192976</v>
      </c>
      <c r="L28" s="80"/>
      <c r="M28" s="80">
        <v>670831</v>
      </c>
      <c r="N28" s="80"/>
      <c r="O28" s="80"/>
      <c r="P28" s="80">
        <v>358774</v>
      </c>
    </row>
    <row r="29" spans="1:16" x14ac:dyDescent="0.25">
      <c r="A29" s="124"/>
      <c r="B29" s="8">
        <v>2016</v>
      </c>
      <c r="C29" s="80">
        <v>22198</v>
      </c>
      <c r="D29" s="80"/>
      <c r="E29" s="80"/>
      <c r="F29" s="80"/>
      <c r="G29" s="80"/>
      <c r="H29" s="80">
        <v>1176</v>
      </c>
      <c r="I29" s="80">
        <v>529083</v>
      </c>
      <c r="J29" s="80">
        <v>41127</v>
      </c>
      <c r="K29" s="80">
        <v>156617</v>
      </c>
      <c r="L29" s="80"/>
      <c r="M29" s="80">
        <v>756620</v>
      </c>
      <c r="N29" s="80"/>
      <c r="O29" s="80"/>
      <c r="P29" s="80">
        <v>379478</v>
      </c>
    </row>
  </sheetData>
  <mergeCells count="12">
    <mergeCell ref="A27:A29"/>
    <mergeCell ref="C9:M9"/>
    <mergeCell ref="N9:P9"/>
    <mergeCell ref="C17:M17"/>
    <mergeCell ref="N17:P17"/>
    <mergeCell ref="C25:M25"/>
    <mergeCell ref="N25:P25"/>
    <mergeCell ref="C1:M1"/>
    <mergeCell ref="N1:P1"/>
    <mergeCell ref="A3:A5"/>
    <mergeCell ref="A11:A13"/>
    <mergeCell ref="A19:A21"/>
  </mergeCells>
  <dataValidations count="1">
    <dataValidation allowBlank="1" showInputMessage="1" showErrorMessage="1" promptTitle="Cells with red color" prompt="Excluded from SubTotal MI. Same classes of antimcirobials are included for three consecutive years." sqref="I11:I13 J19:J21" xr:uid="{15DB1849-5CFF-4B6F-A8A3-47AE66F942A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67E84-4276-40BC-87DA-93D28224E9DA}">
  <dimension ref="A1:G155"/>
  <sheetViews>
    <sheetView tabSelected="1" topLeftCell="A64" zoomScaleNormal="100" workbookViewId="0">
      <selection activeCell="A80" sqref="A80:A82"/>
    </sheetView>
  </sheetViews>
  <sheetFormatPr defaultColWidth="9.140625" defaultRowHeight="15" x14ac:dyDescent="0.25"/>
  <cols>
    <col min="1" max="1" width="72" style="2" bestFit="1" customWidth="1"/>
    <col min="2" max="2" width="14.85546875" style="2" bestFit="1" customWidth="1"/>
    <col min="3" max="3" width="13" style="2" bestFit="1" customWidth="1"/>
    <col min="4" max="4" width="12.5703125" style="2" bestFit="1" customWidth="1"/>
    <col min="5" max="5" width="15.42578125" style="2" bestFit="1" customWidth="1"/>
    <col min="6" max="6" width="13.85546875" style="2" bestFit="1" customWidth="1"/>
    <col min="7" max="7" width="15.42578125" style="2" bestFit="1" customWidth="1"/>
    <col min="8" max="16384" width="9.140625" style="2"/>
  </cols>
  <sheetData>
    <row r="1" spans="1:7" x14ac:dyDescent="0.25">
      <c r="A1" s="19">
        <v>2018</v>
      </c>
      <c r="B1" s="120" t="s">
        <v>13</v>
      </c>
      <c r="C1" s="121"/>
      <c r="D1" s="121"/>
      <c r="E1" s="122"/>
    </row>
    <row r="2" spans="1:7" x14ac:dyDescent="0.25">
      <c r="A2" s="19" t="s">
        <v>5</v>
      </c>
      <c r="B2" s="81" t="s">
        <v>6</v>
      </c>
      <c r="C2" s="81" t="s">
        <v>8</v>
      </c>
      <c r="D2" s="81" t="s">
        <v>7</v>
      </c>
      <c r="E2" s="81" t="s">
        <v>10</v>
      </c>
    </row>
    <row r="3" spans="1:7" x14ac:dyDescent="0.25">
      <c r="A3" s="38" t="s">
        <v>0</v>
      </c>
      <c r="B3" s="125"/>
      <c r="C3" s="126"/>
      <c r="D3" s="127"/>
      <c r="E3" s="82">
        <f>E4+E5+E6+E7-E8-E9+E10</f>
        <v>42223649773.524803</v>
      </c>
    </row>
    <row r="4" spans="1:7" x14ac:dyDescent="0.25">
      <c r="A4" s="39" t="s">
        <v>15</v>
      </c>
      <c r="B4" s="80">
        <v>33099800</v>
      </c>
      <c r="C4" s="80">
        <v>1350</v>
      </c>
      <c r="D4" s="84">
        <f t="shared" ref="D4:D10" si="0">C4*0.453592</f>
        <v>612.3492</v>
      </c>
      <c r="E4" s="83">
        <f t="shared" ref="E4:E10" si="1">B4*D4</f>
        <v>20268636050.16</v>
      </c>
    </row>
    <row r="5" spans="1:7" x14ac:dyDescent="0.25">
      <c r="A5" s="39" t="s">
        <v>9</v>
      </c>
      <c r="B5" s="80">
        <v>603600</v>
      </c>
      <c r="C5" s="80">
        <v>226</v>
      </c>
      <c r="D5" s="84">
        <f t="shared" si="0"/>
        <v>102.511792</v>
      </c>
      <c r="E5" s="83">
        <f t="shared" si="1"/>
        <v>61876117.651199996</v>
      </c>
    </row>
    <row r="6" spans="1:7" ht="15" customHeight="1" x14ac:dyDescent="0.25">
      <c r="A6" s="39" t="s">
        <v>176</v>
      </c>
      <c r="B6" s="80">
        <v>31765700</v>
      </c>
      <c r="C6" s="83">
        <v>1147</v>
      </c>
      <c r="D6" s="84">
        <f t="shared" si="0"/>
        <v>520.27002400000003</v>
      </c>
      <c r="E6" s="83">
        <f t="shared" si="1"/>
        <v>16526741501.376801</v>
      </c>
      <c r="F6" s="90"/>
    </row>
    <row r="7" spans="1:7" ht="13.9" customHeight="1" x14ac:dyDescent="0.25">
      <c r="A7" s="39" t="s">
        <v>177</v>
      </c>
      <c r="B7" s="80">
        <v>9353400</v>
      </c>
      <c r="C7" s="83">
        <v>1400</v>
      </c>
      <c r="D7" s="84">
        <f t="shared" si="0"/>
        <v>635.02880000000005</v>
      </c>
      <c r="E7" s="83">
        <f t="shared" si="1"/>
        <v>5939678377.9200001</v>
      </c>
      <c r="F7" s="92"/>
    </row>
    <row r="8" spans="1:7" x14ac:dyDescent="0.25">
      <c r="A8" s="39" t="s">
        <v>195</v>
      </c>
      <c r="B8" s="80">
        <v>416996</v>
      </c>
      <c r="C8" s="83">
        <f>C4</f>
        <v>1350</v>
      </c>
      <c r="D8" s="84">
        <f t="shared" si="0"/>
        <v>612.3492</v>
      </c>
      <c r="E8" s="83">
        <f t="shared" si="1"/>
        <v>255347167.00319999</v>
      </c>
    </row>
    <row r="9" spans="1:7" x14ac:dyDescent="0.25">
      <c r="A9" s="39" t="s">
        <v>196</v>
      </c>
      <c r="B9" s="80">
        <v>1471098</v>
      </c>
      <c r="C9" s="83">
        <v>700</v>
      </c>
      <c r="D9" s="84">
        <f t="shared" si="0"/>
        <v>317.51440000000002</v>
      </c>
      <c r="E9" s="83">
        <f t="shared" si="1"/>
        <v>467094798.81120002</v>
      </c>
      <c r="G9" s="90"/>
    </row>
    <row r="10" spans="1:7" x14ac:dyDescent="0.25">
      <c r="A10" s="39" t="s">
        <v>197</v>
      </c>
      <c r="B10" s="80">
        <v>243586</v>
      </c>
      <c r="C10" s="83">
        <f>C4</f>
        <v>1350</v>
      </c>
      <c r="D10" s="84">
        <f t="shared" si="0"/>
        <v>612.3492</v>
      </c>
      <c r="E10" s="83">
        <f t="shared" si="1"/>
        <v>149159692.23120001</v>
      </c>
      <c r="G10" s="90"/>
    </row>
    <row r="11" spans="1:7" x14ac:dyDescent="0.25">
      <c r="A11" s="42" t="s">
        <v>1</v>
      </c>
      <c r="B11" s="125"/>
      <c r="C11" s="126"/>
      <c r="D11" s="127"/>
      <c r="E11" s="82">
        <f>E12+E13-E14-E15-E16-E17-E18+E19+E20</f>
        <v>17119374541.914242</v>
      </c>
      <c r="G11" s="90"/>
    </row>
    <row r="12" spans="1:7" x14ac:dyDescent="0.25">
      <c r="A12" s="40" t="s">
        <v>16</v>
      </c>
      <c r="B12" s="80">
        <v>124512300</v>
      </c>
      <c r="C12" s="80">
        <v>283</v>
      </c>
      <c r="D12" s="84">
        <f>C12*0.453592</f>
        <v>128.366536</v>
      </c>
      <c r="E12" s="83">
        <f>B12*D12</f>
        <v>15983212640.392799</v>
      </c>
      <c r="F12" s="10"/>
    </row>
    <row r="13" spans="1:7" x14ac:dyDescent="0.25">
      <c r="A13" s="40" t="s">
        <v>14</v>
      </c>
      <c r="B13" s="80">
        <v>6326000</v>
      </c>
      <c r="C13" s="85">
        <v>450</v>
      </c>
      <c r="D13" s="84">
        <f>C13*0.453592</f>
        <v>204.1164</v>
      </c>
      <c r="E13" s="83">
        <f>B13*D13</f>
        <v>1291240346.4000001</v>
      </c>
      <c r="F13" s="90"/>
      <c r="G13" s="10"/>
    </row>
    <row r="14" spans="1:7" x14ac:dyDescent="0.25">
      <c r="A14" s="40" t="s">
        <v>86</v>
      </c>
      <c r="B14" s="80">
        <v>695080</v>
      </c>
      <c r="C14" s="85">
        <f>C12</f>
        <v>283</v>
      </c>
      <c r="D14" s="84">
        <f>C14*0.453592</f>
        <v>128.366536</v>
      </c>
      <c r="E14" s="83">
        <f t="shared" ref="E14:E19" si="2">B14*D14</f>
        <v>89225011.842879996</v>
      </c>
      <c r="G14" s="90"/>
    </row>
    <row r="15" spans="1:7" x14ac:dyDescent="0.25">
      <c r="A15" s="40" t="s">
        <v>82</v>
      </c>
      <c r="B15" s="80">
        <v>3310252</v>
      </c>
      <c r="C15" s="85"/>
      <c r="D15" s="84">
        <v>7</v>
      </c>
      <c r="E15" s="83">
        <f t="shared" si="2"/>
        <v>23171764</v>
      </c>
      <c r="G15" s="90"/>
    </row>
    <row r="16" spans="1:7" x14ac:dyDescent="0.25">
      <c r="A16" s="40" t="s">
        <v>83</v>
      </c>
      <c r="B16" s="80">
        <v>593988</v>
      </c>
      <c r="C16" s="85"/>
      <c r="D16" s="84">
        <v>23</v>
      </c>
      <c r="E16" s="83">
        <f t="shared" si="2"/>
        <v>13661724</v>
      </c>
    </row>
    <row r="17" spans="1:7" x14ac:dyDescent="0.25">
      <c r="A17" s="40" t="s">
        <v>84</v>
      </c>
      <c r="B17" s="80">
        <v>594683</v>
      </c>
      <c r="C17" s="85"/>
      <c r="D17" s="84">
        <v>50</v>
      </c>
      <c r="E17" s="83">
        <f t="shared" si="2"/>
        <v>29734150</v>
      </c>
    </row>
    <row r="18" spans="1:7" x14ac:dyDescent="0.25">
      <c r="A18" s="40" t="s">
        <v>87</v>
      </c>
      <c r="B18" s="80">
        <v>15931</v>
      </c>
      <c r="C18" s="85">
        <f>C12</f>
        <v>283</v>
      </c>
      <c r="D18" s="84">
        <f>C18*0.453592</f>
        <v>128.366536</v>
      </c>
      <c r="E18" s="83">
        <f t="shared" si="2"/>
        <v>2045007.285016</v>
      </c>
      <c r="G18" s="90"/>
    </row>
    <row r="19" spans="1:7" x14ac:dyDescent="0.25">
      <c r="A19" s="40" t="s">
        <v>88</v>
      </c>
      <c r="B19" s="80">
        <v>8551</v>
      </c>
      <c r="C19" s="85">
        <f>C12</f>
        <v>283</v>
      </c>
      <c r="D19" s="84">
        <f>C19*0.453592</f>
        <v>128.366536</v>
      </c>
      <c r="E19" s="83">
        <f t="shared" si="2"/>
        <v>1097662.2493360001</v>
      </c>
    </row>
    <row r="20" spans="1:7" x14ac:dyDescent="0.25">
      <c r="A20" s="40" t="s">
        <v>85</v>
      </c>
      <c r="B20" s="80">
        <v>33231</v>
      </c>
      <c r="C20" s="85"/>
      <c r="D20" s="84">
        <v>50</v>
      </c>
      <c r="E20" s="83">
        <f>B20*D20</f>
        <v>1661550</v>
      </c>
    </row>
    <row r="21" spans="1:7" x14ac:dyDescent="0.25">
      <c r="A21" s="42" t="s">
        <v>2</v>
      </c>
      <c r="B21" s="128"/>
      <c r="C21" s="129"/>
      <c r="D21" s="130"/>
      <c r="E21" s="82">
        <f>E22-E23-E24+E25+E26</f>
        <v>26022566701.67778</v>
      </c>
    </row>
    <row r="22" spans="1:7" x14ac:dyDescent="0.25">
      <c r="A22" s="41" t="s">
        <v>11</v>
      </c>
      <c r="B22" s="80">
        <v>9160910000</v>
      </c>
      <c r="C22" s="80">
        <v>6.26</v>
      </c>
      <c r="D22" s="84">
        <f>C22*0.453592</f>
        <v>2.83948592</v>
      </c>
      <c r="E22" s="83">
        <f>B22*D22</f>
        <v>26012274959.387199</v>
      </c>
      <c r="F22" s="10"/>
    </row>
    <row r="23" spans="1:7" x14ac:dyDescent="0.25">
      <c r="A23" s="41" t="s">
        <v>89</v>
      </c>
      <c r="B23" s="80">
        <v>3954204</v>
      </c>
      <c r="C23" s="84"/>
      <c r="D23" s="84">
        <v>0.185</v>
      </c>
      <c r="E23" s="83">
        <f>B23*D23</f>
        <v>731527.74</v>
      </c>
    </row>
    <row r="24" spans="1:7" x14ac:dyDescent="0.25">
      <c r="A24" s="41" t="s">
        <v>90</v>
      </c>
      <c r="B24" s="80">
        <v>223857</v>
      </c>
      <c r="C24" s="84">
        <f>C22</f>
        <v>6.26</v>
      </c>
      <c r="D24" s="84">
        <f>C24*0.453592</f>
        <v>2.83948592</v>
      </c>
      <c r="E24" s="83">
        <f>B24*D24</f>
        <v>635638.79959344002</v>
      </c>
    </row>
    <row r="25" spans="1:7" x14ac:dyDescent="0.25">
      <c r="A25" s="41" t="s">
        <v>91</v>
      </c>
      <c r="B25" s="80">
        <v>58678373</v>
      </c>
      <c r="C25" s="84"/>
      <c r="D25" s="84">
        <v>0.185</v>
      </c>
      <c r="E25" s="83">
        <f>B25*D25</f>
        <v>10855499.004999999</v>
      </c>
    </row>
    <row r="26" spans="1:7" x14ac:dyDescent="0.25">
      <c r="A26" s="41" t="s">
        <v>92</v>
      </c>
      <c r="B26" s="80">
        <v>282942</v>
      </c>
      <c r="C26" s="84">
        <f>C22</f>
        <v>6.26</v>
      </c>
      <c r="D26" s="84">
        <f>C26*0.453592</f>
        <v>2.83948592</v>
      </c>
      <c r="E26" s="83">
        <f>B26*D26</f>
        <v>803409.82517663995</v>
      </c>
    </row>
    <row r="27" spans="1:7" x14ac:dyDescent="0.25">
      <c r="A27" s="42" t="s">
        <v>3</v>
      </c>
      <c r="B27" s="125"/>
      <c r="C27" s="126"/>
      <c r="D27" s="127"/>
      <c r="E27" s="82">
        <f>E28-E29-E30+E31+E32</f>
        <v>3330585158.4651718</v>
      </c>
    </row>
    <row r="28" spans="1:7" x14ac:dyDescent="0.25">
      <c r="A28" s="41" t="s">
        <v>12</v>
      </c>
      <c r="B28" s="80">
        <v>236860000</v>
      </c>
      <c r="C28" s="80">
        <v>31.07</v>
      </c>
      <c r="D28" s="84">
        <f>C28*0.453592</f>
        <v>14.09310344</v>
      </c>
      <c r="E28" s="83">
        <f>B28*D28</f>
        <v>3338092480.7983999</v>
      </c>
      <c r="F28" s="10"/>
    </row>
    <row r="29" spans="1:7" x14ac:dyDescent="0.25">
      <c r="A29" s="41" t="s">
        <v>93</v>
      </c>
      <c r="B29" s="80">
        <v>8339796</v>
      </c>
      <c r="C29" s="84"/>
      <c r="D29" s="84">
        <v>0.185</v>
      </c>
      <c r="E29" s="83">
        <f>B29*D29</f>
        <v>1542862.26</v>
      </c>
    </row>
    <row r="30" spans="1:7" x14ac:dyDescent="0.25">
      <c r="A30" s="41" t="s">
        <v>94</v>
      </c>
      <c r="B30" s="80">
        <v>835220</v>
      </c>
      <c r="C30" s="84">
        <f>C28</f>
        <v>31.07</v>
      </c>
      <c r="D30" s="84">
        <f>C30*0.453592</f>
        <v>14.09310344</v>
      </c>
      <c r="E30" s="83">
        <f>B30*D30</f>
        <v>11770841.8551568</v>
      </c>
    </row>
    <row r="31" spans="1:7" x14ac:dyDescent="0.25">
      <c r="A31" s="41" t="s">
        <v>95</v>
      </c>
      <c r="B31" s="80">
        <v>9468253</v>
      </c>
      <c r="C31" s="84"/>
      <c r="D31" s="84">
        <v>0.185</v>
      </c>
      <c r="E31" s="83">
        <f>B31*D31</f>
        <v>1751626.8049999999</v>
      </c>
    </row>
    <row r="32" spans="1:7" x14ac:dyDescent="0.25">
      <c r="A32" s="41" t="s">
        <v>96</v>
      </c>
      <c r="B32" s="80">
        <v>287712</v>
      </c>
      <c r="C32" s="84">
        <f>C28</f>
        <v>31.07</v>
      </c>
      <c r="D32" s="84">
        <f>C32*0.453592</f>
        <v>14.09310344</v>
      </c>
      <c r="E32" s="83">
        <f>B32*D32</f>
        <v>4054754.97692928</v>
      </c>
    </row>
    <row r="37" spans="1:5" x14ac:dyDescent="0.25">
      <c r="A37" s="19">
        <v>2017</v>
      </c>
      <c r="B37" s="120" t="s">
        <v>13</v>
      </c>
      <c r="C37" s="121"/>
      <c r="D37" s="121"/>
      <c r="E37" s="122"/>
    </row>
    <row r="38" spans="1:5" x14ac:dyDescent="0.25">
      <c r="A38" s="19" t="s">
        <v>5</v>
      </c>
      <c r="B38" s="81" t="s">
        <v>6</v>
      </c>
      <c r="C38" s="81" t="s">
        <v>8</v>
      </c>
      <c r="D38" s="81" t="s">
        <v>7</v>
      </c>
      <c r="E38" s="81" t="s">
        <v>10</v>
      </c>
    </row>
    <row r="39" spans="1:5" x14ac:dyDescent="0.25">
      <c r="A39" s="38" t="s">
        <v>0</v>
      </c>
      <c r="B39" s="125"/>
      <c r="C39" s="126"/>
      <c r="D39" s="127"/>
      <c r="E39" s="82">
        <f>E40+E41+E42+E43-E44-E45+E46</f>
        <v>41577690597.003799</v>
      </c>
    </row>
    <row r="40" spans="1:5" x14ac:dyDescent="0.25">
      <c r="A40" s="39" t="s">
        <v>15</v>
      </c>
      <c r="B40" s="80">
        <v>32280600</v>
      </c>
      <c r="C40" s="80">
        <v>1349</v>
      </c>
      <c r="D40" s="84">
        <f t="shared" ref="D40:D46" si="3">C40*0.453592</f>
        <v>611.89560800000004</v>
      </c>
      <c r="E40" s="83">
        <f t="shared" ref="E40:E46" si="4">B40*D40</f>
        <v>19752357363.604801</v>
      </c>
    </row>
    <row r="41" spans="1:5" x14ac:dyDescent="0.25">
      <c r="A41" s="39" t="s">
        <v>9</v>
      </c>
      <c r="B41" s="80">
        <v>536800</v>
      </c>
      <c r="C41" s="80">
        <v>250</v>
      </c>
      <c r="D41" s="84">
        <f t="shared" si="3"/>
        <v>113.398</v>
      </c>
      <c r="E41" s="83">
        <f t="shared" si="4"/>
        <v>60872046.399999999</v>
      </c>
    </row>
    <row r="42" spans="1:5" x14ac:dyDescent="0.25">
      <c r="A42" s="39" t="s">
        <v>176</v>
      </c>
      <c r="B42" s="80">
        <v>31466200</v>
      </c>
      <c r="C42" s="83">
        <v>1147</v>
      </c>
      <c r="D42" s="84">
        <f t="shared" si="3"/>
        <v>520.27002400000003</v>
      </c>
      <c r="E42" s="83">
        <f t="shared" si="4"/>
        <v>16370920629.188801</v>
      </c>
    </row>
    <row r="43" spans="1:5" x14ac:dyDescent="0.25">
      <c r="A43" s="39" t="s">
        <v>177</v>
      </c>
      <c r="B43" s="80">
        <v>9432100</v>
      </c>
      <c r="C43" s="83">
        <v>1400</v>
      </c>
      <c r="D43" s="84">
        <f t="shared" si="3"/>
        <v>635.02880000000005</v>
      </c>
      <c r="E43" s="83">
        <f t="shared" si="4"/>
        <v>5989655144.4800005</v>
      </c>
    </row>
    <row r="44" spans="1:5" x14ac:dyDescent="0.25">
      <c r="A44" s="39" t="s">
        <v>195</v>
      </c>
      <c r="B44" s="80">
        <v>491133</v>
      </c>
      <c r="C44" s="83">
        <f>C40</f>
        <v>1349</v>
      </c>
      <c r="D44" s="84">
        <f t="shared" si="3"/>
        <v>611.89560800000004</v>
      </c>
      <c r="E44" s="83">
        <f t="shared" si="4"/>
        <v>300522125.64386404</v>
      </c>
    </row>
    <row r="45" spans="1:5" x14ac:dyDescent="0.25">
      <c r="A45" s="39" t="s">
        <v>196</v>
      </c>
      <c r="B45" s="80">
        <v>1303008</v>
      </c>
      <c r="C45" s="83">
        <v>700</v>
      </c>
      <c r="D45" s="84">
        <f t="shared" si="3"/>
        <v>317.51440000000002</v>
      </c>
      <c r="E45" s="83">
        <f t="shared" si="4"/>
        <v>413723803.31520003</v>
      </c>
    </row>
    <row r="46" spans="1:5" x14ac:dyDescent="0.25">
      <c r="A46" s="39" t="s">
        <v>197</v>
      </c>
      <c r="B46" s="80">
        <v>193058</v>
      </c>
      <c r="C46" s="83">
        <f>C40</f>
        <v>1349</v>
      </c>
      <c r="D46" s="84">
        <f t="shared" si="3"/>
        <v>611.89560800000004</v>
      </c>
      <c r="E46" s="83">
        <f t="shared" si="4"/>
        <v>118131342.28926401</v>
      </c>
    </row>
    <row r="47" spans="1:5" x14ac:dyDescent="0.25">
      <c r="A47" s="42" t="s">
        <v>1</v>
      </c>
      <c r="B47" s="125"/>
      <c r="C47" s="126"/>
      <c r="D47" s="127"/>
      <c r="E47" s="82">
        <f>E48+E49-E50-E51-E52-E53-E54+E55+E56</f>
        <v>16620621732.484097</v>
      </c>
    </row>
    <row r="48" spans="1:5" x14ac:dyDescent="0.25">
      <c r="A48" s="40" t="s">
        <v>16</v>
      </c>
      <c r="B48" s="80">
        <v>121389700</v>
      </c>
      <c r="C48" s="80">
        <v>282</v>
      </c>
      <c r="D48" s="84">
        <f>C48*0.453592</f>
        <v>127.912944</v>
      </c>
      <c r="E48" s="83">
        <f>B48*D48</f>
        <v>15527313898.2768</v>
      </c>
    </row>
    <row r="49" spans="1:5" x14ac:dyDescent="0.25">
      <c r="A49" s="40" t="s">
        <v>14</v>
      </c>
      <c r="B49" s="80">
        <v>6179000</v>
      </c>
      <c r="C49" s="85">
        <v>450</v>
      </c>
      <c r="D49" s="84">
        <f>C49*0.453592</f>
        <v>204.1164</v>
      </c>
      <c r="E49" s="83">
        <f>B49*D49</f>
        <v>1261235235.5999999</v>
      </c>
    </row>
    <row r="50" spans="1:5" x14ac:dyDescent="0.25">
      <c r="A50" s="40" t="s">
        <v>86</v>
      </c>
      <c r="B50" s="80">
        <v>753973</v>
      </c>
      <c r="C50" s="85">
        <f>C48</f>
        <v>282</v>
      </c>
      <c r="D50" s="84">
        <f>C50*0.453592</f>
        <v>127.912944</v>
      </c>
      <c r="E50" s="83">
        <f t="shared" ref="E50:E55" si="5">B50*D50</f>
        <v>96442906.126511991</v>
      </c>
    </row>
    <row r="51" spans="1:5" x14ac:dyDescent="0.25">
      <c r="A51" s="40" t="s">
        <v>82</v>
      </c>
      <c r="B51" s="80">
        <v>3442477</v>
      </c>
      <c r="C51" s="85"/>
      <c r="D51" s="84">
        <v>7</v>
      </c>
      <c r="E51" s="83">
        <f t="shared" si="5"/>
        <v>24097339</v>
      </c>
    </row>
    <row r="52" spans="1:5" x14ac:dyDescent="0.25">
      <c r="A52" s="40" t="s">
        <v>83</v>
      </c>
      <c r="B52" s="80">
        <v>673124</v>
      </c>
      <c r="C52" s="85"/>
      <c r="D52" s="84">
        <v>23</v>
      </c>
      <c r="E52" s="83">
        <f t="shared" si="5"/>
        <v>15481852</v>
      </c>
    </row>
    <row r="53" spans="1:5" x14ac:dyDescent="0.25">
      <c r="A53" s="40" t="s">
        <v>84</v>
      </c>
      <c r="B53" s="80">
        <v>651837</v>
      </c>
      <c r="C53" s="85"/>
      <c r="D53" s="84">
        <v>50</v>
      </c>
      <c r="E53" s="83">
        <f t="shared" si="5"/>
        <v>32591850</v>
      </c>
    </row>
    <row r="54" spans="1:5" x14ac:dyDescent="0.25">
      <c r="A54" s="40" t="s">
        <v>87</v>
      </c>
      <c r="B54" s="80">
        <v>16545</v>
      </c>
      <c r="C54" s="85">
        <f>C48</f>
        <v>282</v>
      </c>
      <c r="D54" s="84">
        <f>C54*0.453592</f>
        <v>127.912944</v>
      </c>
      <c r="E54" s="83">
        <f t="shared" si="5"/>
        <v>2116319.6584799998</v>
      </c>
    </row>
    <row r="55" spans="1:5" x14ac:dyDescent="0.25">
      <c r="A55" s="40" t="s">
        <v>88</v>
      </c>
      <c r="B55" s="80">
        <v>13102</v>
      </c>
      <c r="C55" s="85">
        <f>C48</f>
        <v>282</v>
      </c>
      <c r="D55" s="84">
        <f>C55*0.453592</f>
        <v>127.912944</v>
      </c>
      <c r="E55" s="83">
        <f t="shared" si="5"/>
        <v>1675915.3922879999</v>
      </c>
    </row>
    <row r="56" spans="1:5" x14ac:dyDescent="0.25">
      <c r="A56" s="40" t="s">
        <v>85</v>
      </c>
      <c r="B56" s="80">
        <v>22539</v>
      </c>
      <c r="C56" s="85"/>
      <c r="D56" s="84">
        <v>50</v>
      </c>
      <c r="E56" s="83">
        <f>B56*D56</f>
        <v>1126950</v>
      </c>
    </row>
    <row r="57" spans="1:5" x14ac:dyDescent="0.25">
      <c r="A57" s="42" t="s">
        <v>2</v>
      </c>
      <c r="B57" s="128"/>
      <c r="C57" s="129"/>
      <c r="D57" s="130"/>
      <c r="E57" s="82">
        <f>E58-E59-E60+E61+E62</f>
        <v>25465862951.21225</v>
      </c>
    </row>
    <row r="58" spans="1:5" x14ac:dyDescent="0.25">
      <c r="A58" s="41" t="s">
        <v>11</v>
      </c>
      <c r="B58" s="80">
        <v>9050702000</v>
      </c>
      <c r="C58" s="80">
        <v>6.2</v>
      </c>
      <c r="D58" s="84">
        <f>C58*0.453592</f>
        <v>2.8122704000000001</v>
      </c>
      <c r="E58" s="83">
        <f>B58*D58</f>
        <v>25453021333.820801</v>
      </c>
    </row>
    <row r="59" spans="1:5" x14ac:dyDescent="0.25">
      <c r="A59" s="41" t="s">
        <v>89</v>
      </c>
      <c r="B59" s="80">
        <v>4598968</v>
      </c>
      <c r="C59" s="84"/>
      <c r="D59" s="84">
        <v>0.185</v>
      </c>
      <c r="E59" s="83">
        <f>B59*D59</f>
        <v>850809.08</v>
      </c>
    </row>
    <row r="60" spans="1:5" x14ac:dyDescent="0.25">
      <c r="A60" s="41" t="s">
        <v>90</v>
      </c>
      <c r="B60" s="80">
        <v>273093</v>
      </c>
      <c r="C60" s="84">
        <f>C58</f>
        <v>6.2</v>
      </c>
      <c r="D60" s="84">
        <f>C60*0.453592</f>
        <v>2.8122704000000001</v>
      </c>
      <c r="E60" s="83">
        <f>B60*D60</f>
        <v>768011.36034720007</v>
      </c>
    </row>
    <row r="61" spans="1:5" x14ac:dyDescent="0.25">
      <c r="A61" s="41" t="s">
        <v>91</v>
      </c>
      <c r="B61" s="80">
        <v>68069679</v>
      </c>
      <c r="C61" s="84"/>
      <c r="D61" s="84">
        <v>0.185</v>
      </c>
      <c r="E61" s="83">
        <f>B61*D61</f>
        <v>12592890.615</v>
      </c>
    </row>
    <row r="62" spans="1:5" x14ac:dyDescent="0.25">
      <c r="A62" s="41" t="s">
        <v>92</v>
      </c>
      <c r="B62" s="80">
        <v>664071</v>
      </c>
      <c r="C62" s="84">
        <f>C58</f>
        <v>6.2</v>
      </c>
      <c r="D62" s="84">
        <f>C62*0.453592</f>
        <v>2.8122704000000001</v>
      </c>
      <c r="E62" s="83">
        <f>B62*D62</f>
        <v>1867547.2167984</v>
      </c>
    </row>
    <row r="63" spans="1:5" x14ac:dyDescent="0.25">
      <c r="A63" s="42" t="s">
        <v>3</v>
      </c>
      <c r="B63" s="125"/>
      <c r="C63" s="126"/>
      <c r="D63" s="127"/>
      <c r="E63" s="82">
        <f>E64-E65-E66+E67+E68</f>
        <v>3380984898.2363744</v>
      </c>
    </row>
    <row r="64" spans="1:5" x14ac:dyDescent="0.25">
      <c r="A64" s="41" t="s">
        <v>12</v>
      </c>
      <c r="B64" s="80">
        <v>241680000</v>
      </c>
      <c r="C64" s="80">
        <v>30.9</v>
      </c>
      <c r="D64" s="84">
        <f>C64*0.453592</f>
        <v>14.015992799999999</v>
      </c>
      <c r="E64" s="83">
        <f>B64*D64</f>
        <v>3387385139.9039998</v>
      </c>
    </row>
    <row r="65" spans="1:5" x14ac:dyDescent="0.25">
      <c r="A65" s="41" t="s">
        <v>93</v>
      </c>
      <c r="B65" s="80">
        <v>6858200</v>
      </c>
      <c r="C65" s="84"/>
      <c r="D65" s="84">
        <v>0.185</v>
      </c>
      <c r="E65" s="83">
        <f>B65*D65</f>
        <v>1268767</v>
      </c>
    </row>
    <row r="66" spans="1:5" x14ac:dyDescent="0.25">
      <c r="A66" s="41" t="s">
        <v>94</v>
      </c>
      <c r="B66" s="80">
        <v>715610</v>
      </c>
      <c r="C66" s="84">
        <f>C64</f>
        <v>30.9</v>
      </c>
      <c r="D66" s="84">
        <f>C66*0.453592</f>
        <v>14.015992799999999</v>
      </c>
      <c r="E66" s="83">
        <f>B66*D66</f>
        <v>10029984.607608</v>
      </c>
    </row>
    <row r="67" spans="1:5" x14ac:dyDescent="0.25">
      <c r="A67" s="41" t="s">
        <v>95</v>
      </c>
      <c r="B67" s="80">
        <v>10242003</v>
      </c>
      <c r="C67" s="84"/>
      <c r="D67" s="84">
        <v>0.185</v>
      </c>
      <c r="E67" s="83">
        <f>B67*D67</f>
        <v>1894770.5549999999</v>
      </c>
    </row>
    <row r="68" spans="1:5" x14ac:dyDescent="0.25">
      <c r="A68" s="41" t="s">
        <v>96</v>
      </c>
      <c r="B68" s="80">
        <v>214308</v>
      </c>
      <c r="C68" s="84">
        <f>C64</f>
        <v>30.9</v>
      </c>
      <c r="D68" s="84">
        <f>C68*0.453592</f>
        <v>14.015992799999999</v>
      </c>
      <c r="E68" s="83">
        <f>B68*D68</f>
        <v>3003739.3849823996</v>
      </c>
    </row>
    <row r="73" spans="1:5" x14ac:dyDescent="0.25">
      <c r="A73" s="19">
        <v>2016</v>
      </c>
      <c r="B73" s="120" t="s">
        <v>13</v>
      </c>
      <c r="C73" s="121"/>
      <c r="D73" s="121"/>
      <c r="E73" s="122"/>
    </row>
    <row r="74" spans="1:5" x14ac:dyDescent="0.25">
      <c r="A74" s="19" t="s">
        <v>5</v>
      </c>
      <c r="B74" s="81" t="s">
        <v>6</v>
      </c>
      <c r="C74" s="81" t="s">
        <v>8</v>
      </c>
      <c r="D74" s="81" t="s">
        <v>7</v>
      </c>
      <c r="E74" s="81" t="s">
        <v>10</v>
      </c>
    </row>
    <row r="75" spans="1:5" x14ac:dyDescent="0.25">
      <c r="A75" s="38" t="s">
        <v>0</v>
      </c>
      <c r="B75" s="125"/>
      <c r="C75" s="126"/>
      <c r="D75" s="127"/>
      <c r="E75" s="82">
        <f>E76+E77+E78+E79-E80-E81+E82</f>
        <v>40541745168.344521</v>
      </c>
    </row>
    <row r="76" spans="1:5" x14ac:dyDescent="0.25">
      <c r="A76" s="39" t="s">
        <v>15</v>
      </c>
      <c r="B76" s="80">
        <v>30676100</v>
      </c>
      <c r="C76" s="80">
        <v>1363</v>
      </c>
      <c r="D76" s="84">
        <f t="shared" ref="D76:D82" si="6">C76*0.453592</f>
        <v>618.24589600000002</v>
      </c>
      <c r="E76" s="83">
        <f t="shared" ref="E76:E82" si="7">B76*D76</f>
        <v>18965372930.285599</v>
      </c>
    </row>
    <row r="77" spans="1:5" x14ac:dyDescent="0.25">
      <c r="A77" s="39" t="s">
        <v>9</v>
      </c>
      <c r="B77" s="80">
        <v>512700</v>
      </c>
      <c r="C77" s="80">
        <v>266</v>
      </c>
      <c r="D77" s="84">
        <f t="shared" si="6"/>
        <v>120.655472</v>
      </c>
      <c r="E77" s="83">
        <f t="shared" si="7"/>
        <v>61860060.494400002</v>
      </c>
    </row>
    <row r="78" spans="1:5" x14ac:dyDescent="0.25">
      <c r="A78" s="39" t="s">
        <v>176</v>
      </c>
      <c r="B78" s="80">
        <v>31213200</v>
      </c>
      <c r="C78" s="83">
        <v>1147</v>
      </c>
      <c r="D78" s="84">
        <f t="shared" si="6"/>
        <v>520.27002400000003</v>
      </c>
      <c r="E78" s="83">
        <f t="shared" si="7"/>
        <v>16239292313.1168</v>
      </c>
    </row>
    <row r="79" spans="1:5" x14ac:dyDescent="0.25">
      <c r="A79" s="39" t="s">
        <v>177</v>
      </c>
      <c r="B79" s="80">
        <v>9346000</v>
      </c>
      <c r="C79" s="83">
        <v>1400</v>
      </c>
      <c r="D79" s="84">
        <f t="shared" si="6"/>
        <v>635.02880000000005</v>
      </c>
      <c r="E79" s="83">
        <f t="shared" si="7"/>
        <v>5934979164.8000002</v>
      </c>
    </row>
    <row r="80" spans="1:5" x14ac:dyDescent="0.25">
      <c r="A80" s="39" t="s">
        <v>195</v>
      </c>
      <c r="B80" s="80">
        <v>548415</v>
      </c>
      <c r="C80" s="83">
        <f>C76</f>
        <v>1363</v>
      </c>
      <c r="D80" s="84">
        <f t="shared" si="6"/>
        <v>618.24589600000002</v>
      </c>
      <c r="E80" s="83">
        <f t="shared" si="7"/>
        <v>339055323.05484003</v>
      </c>
    </row>
    <row r="81" spans="1:5" x14ac:dyDescent="0.25">
      <c r="A81" s="39" t="s">
        <v>196</v>
      </c>
      <c r="B81" s="80">
        <v>1143931</v>
      </c>
      <c r="C81" s="83">
        <v>700</v>
      </c>
      <c r="D81" s="84">
        <f t="shared" si="6"/>
        <v>317.51440000000002</v>
      </c>
      <c r="E81" s="83">
        <f t="shared" si="7"/>
        <v>363214565.10640001</v>
      </c>
    </row>
    <row r="82" spans="1:5" x14ac:dyDescent="0.25">
      <c r="A82" s="39" t="s">
        <v>197</v>
      </c>
      <c r="B82" s="80">
        <v>68760</v>
      </c>
      <c r="C82" s="83">
        <f>C76</f>
        <v>1363</v>
      </c>
      <c r="D82" s="84">
        <f t="shared" si="6"/>
        <v>618.24589600000002</v>
      </c>
      <c r="E82" s="83">
        <f t="shared" si="7"/>
        <v>42510587.808959998</v>
      </c>
    </row>
    <row r="83" spans="1:5" x14ac:dyDescent="0.25">
      <c r="A83" s="42" t="s">
        <v>1</v>
      </c>
      <c r="B83" s="125"/>
      <c r="C83" s="126"/>
      <c r="D83" s="127"/>
      <c r="E83" s="82">
        <f>E84+E85-E86-E87-E88-E89-E90+E91+E92</f>
        <v>16201398108.266785</v>
      </c>
    </row>
    <row r="84" spans="1:5" x14ac:dyDescent="0.25">
      <c r="A84" s="40" t="s">
        <v>16</v>
      </c>
      <c r="B84" s="80">
        <v>118303900</v>
      </c>
      <c r="C84" s="80">
        <v>282</v>
      </c>
      <c r="D84" s="84">
        <f>C84*0.453592</f>
        <v>127.912944</v>
      </c>
      <c r="E84" s="83">
        <f>B84*D84</f>
        <v>15132600135.681599</v>
      </c>
    </row>
    <row r="85" spans="1:5" x14ac:dyDescent="0.25">
      <c r="A85" s="40" t="s">
        <v>14</v>
      </c>
      <c r="B85" s="80">
        <v>6110000</v>
      </c>
      <c r="C85" s="85">
        <v>450</v>
      </c>
      <c r="D85" s="84">
        <f>C85*0.453592</f>
        <v>204.1164</v>
      </c>
      <c r="E85" s="83">
        <f>B85*D85</f>
        <v>1247151204</v>
      </c>
    </row>
    <row r="86" spans="1:5" x14ac:dyDescent="0.25">
      <c r="A86" s="40" t="s">
        <v>86</v>
      </c>
      <c r="B86" s="80">
        <v>848779</v>
      </c>
      <c r="C86" s="85">
        <f>C84</f>
        <v>282</v>
      </c>
      <c r="D86" s="84">
        <f>C86*0.453592</f>
        <v>127.912944</v>
      </c>
      <c r="E86" s="83">
        <f t="shared" ref="E86:E91" si="8">B86*D86</f>
        <v>108569820.69537599</v>
      </c>
    </row>
    <row r="87" spans="1:5" x14ac:dyDescent="0.25">
      <c r="A87" s="40" t="s">
        <v>82</v>
      </c>
      <c r="B87" s="80">
        <v>3439010</v>
      </c>
      <c r="C87" s="85"/>
      <c r="D87" s="84">
        <v>7</v>
      </c>
      <c r="E87" s="83">
        <f t="shared" si="8"/>
        <v>24073070</v>
      </c>
    </row>
    <row r="88" spans="1:5" x14ac:dyDescent="0.25">
      <c r="A88" s="40" t="s">
        <v>83</v>
      </c>
      <c r="B88" s="80">
        <v>672042</v>
      </c>
      <c r="C88" s="85"/>
      <c r="D88" s="84">
        <v>23</v>
      </c>
      <c r="E88" s="83">
        <f t="shared" si="8"/>
        <v>15456966</v>
      </c>
    </row>
    <row r="89" spans="1:5" x14ac:dyDescent="0.25">
      <c r="A89" s="40" t="s">
        <v>84</v>
      </c>
      <c r="B89" s="80">
        <v>626746</v>
      </c>
      <c r="C89" s="85"/>
      <c r="D89" s="84">
        <v>50</v>
      </c>
      <c r="E89" s="83">
        <f t="shared" si="8"/>
        <v>31337300</v>
      </c>
    </row>
    <row r="90" spans="1:5" x14ac:dyDescent="0.25">
      <c r="A90" s="40" t="s">
        <v>87</v>
      </c>
      <c r="B90" s="80">
        <v>12940</v>
      </c>
      <c r="C90" s="85">
        <f>C84</f>
        <v>282</v>
      </c>
      <c r="D90" s="84">
        <f>C90*0.453592</f>
        <v>127.912944</v>
      </c>
      <c r="E90" s="83">
        <f t="shared" si="8"/>
        <v>1655193.4953600001</v>
      </c>
    </row>
    <row r="91" spans="1:5" x14ac:dyDescent="0.25">
      <c r="A91" s="40" t="s">
        <v>88</v>
      </c>
      <c r="B91" s="80">
        <v>12305</v>
      </c>
      <c r="C91" s="85">
        <f>C84</f>
        <v>282</v>
      </c>
      <c r="D91" s="84">
        <f>C91*0.453592</f>
        <v>127.912944</v>
      </c>
      <c r="E91" s="83">
        <f t="shared" si="8"/>
        <v>1573968.7759199999</v>
      </c>
    </row>
    <row r="92" spans="1:5" x14ac:dyDescent="0.25">
      <c r="A92" s="40" t="s">
        <v>85</v>
      </c>
      <c r="B92" s="80">
        <v>23303</v>
      </c>
      <c r="C92" s="85"/>
      <c r="D92" s="84">
        <v>50</v>
      </c>
      <c r="E92" s="83">
        <f>B92*D92</f>
        <v>1165150</v>
      </c>
    </row>
    <row r="93" spans="1:5" x14ac:dyDescent="0.25">
      <c r="A93" s="42" t="s">
        <v>2</v>
      </c>
      <c r="B93" s="128"/>
      <c r="C93" s="129"/>
      <c r="D93" s="130"/>
      <c r="E93" s="82">
        <f>E94-E95-E96+E97+E98</f>
        <v>24905080746.778831</v>
      </c>
    </row>
    <row r="94" spans="1:5" x14ac:dyDescent="0.25">
      <c r="A94" s="41" t="s">
        <v>11</v>
      </c>
      <c r="B94" s="80">
        <v>8908986000</v>
      </c>
      <c r="C94" s="80">
        <v>6.16</v>
      </c>
      <c r="D94" s="84">
        <f>C94*0.453592</f>
        <v>2.79412672</v>
      </c>
      <c r="E94" s="83">
        <f>B94*D94</f>
        <v>24892835830.705921</v>
      </c>
    </row>
    <row r="95" spans="1:5" x14ac:dyDescent="0.25">
      <c r="A95" s="41" t="s">
        <v>89</v>
      </c>
      <c r="B95" s="80">
        <v>5334755</v>
      </c>
      <c r="C95" s="84"/>
      <c r="D95" s="84">
        <v>0.185</v>
      </c>
      <c r="E95" s="83">
        <f>B95*D95</f>
        <v>986929.67499999993</v>
      </c>
    </row>
    <row r="96" spans="1:5" x14ac:dyDescent="0.25">
      <c r="A96" s="41" t="s">
        <v>90</v>
      </c>
      <c r="B96" s="80">
        <v>244926</v>
      </c>
      <c r="C96" s="84">
        <f>C94</f>
        <v>6.16</v>
      </c>
      <c r="D96" s="84">
        <f>C96*0.453592</f>
        <v>2.79412672</v>
      </c>
      <c r="E96" s="83">
        <f>B96*D96</f>
        <v>684354.28102272004</v>
      </c>
    </row>
    <row r="97" spans="1:5" x14ac:dyDescent="0.25">
      <c r="A97" s="41" t="s">
        <v>91</v>
      </c>
      <c r="B97" s="80">
        <v>68295081</v>
      </c>
      <c r="C97" s="84"/>
      <c r="D97" s="84">
        <v>0.185</v>
      </c>
      <c r="E97" s="83">
        <f>B97*D97</f>
        <v>12634589.984999999</v>
      </c>
    </row>
    <row r="98" spans="1:5" x14ac:dyDescent="0.25">
      <c r="A98" s="41" t="s">
        <v>92</v>
      </c>
      <c r="B98" s="80">
        <v>458680</v>
      </c>
      <c r="C98" s="84">
        <f>C94</f>
        <v>6.16</v>
      </c>
      <c r="D98" s="84">
        <f>C98*0.453592</f>
        <v>2.79412672</v>
      </c>
      <c r="E98" s="83">
        <f>B98*D98</f>
        <v>1281610.0439295999</v>
      </c>
    </row>
    <row r="99" spans="1:5" x14ac:dyDescent="0.25">
      <c r="A99" s="42" t="s">
        <v>3</v>
      </c>
      <c r="B99" s="125"/>
      <c r="C99" s="126"/>
      <c r="D99" s="127"/>
      <c r="E99" s="82">
        <f>E100-E101-E102+E103+E104</f>
        <v>3380175499.0275478</v>
      </c>
    </row>
    <row r="100" spans="1:5" x14ac:dyDescent="0.25">
      <c r="A100" s="41" t="s">
        <v>12</v>
      </c>
      <c r="B100" s="80">
        <v>243255000</v>
      </c>
      <c r="C100" s="80">
        <v>30.68</v>
      </c>
      <c r="D100" s="84">
        <f>C100*0.453592</f>
        <v>13.91620256</v>
      </c>
      <c r="E100" s="83">
        <f>B100*D100</f>
        <v>3385185853.7328</v>
      </c>
    </row>
    <row r="101" spans="1:5" x14ac:dyDescent="0.25">
      <c r="A101" s="41" t="s">
        <v>93</v>
      </c>
      <c r="B101" s="80">
        <v>9026799</v>
      </c>
      <c r="C101" s="84"/>
      <c r="D101" s="84">
        <v>0.185</v>
      </c>
      <c r="E101" s="83">
        <f>B101*D101</f>
        <v>1669957.8149999999</v>
      </c>
    </row>
    <row r="102" spans="1:5" x14ac:dyDescent="0.25">
      <c r="A102" s="41" t="s">
        <v>94</v>
      </c>
      <c r="B102" s="80">
        <v>752810</v>
      </c>
      <c r="C102" s="84">
        <f>C100</f>
        <v>30.68</v>
      </c>
      <c r="D102" s="84">
        <f>C102*0.453592</f>
        <v>13.91620256</v>
      </c>
      <c r="E102" s="83">
        <f>B102*D102</f>
        <v>10476256.449193601</v>
      </c>
    </row>
    <row r="103" spans="1:5" x14ac:dyDescent="0.25">
      <c r="A103" s="41" t="s">
        <v>95</v>
      </c>
      <c r="B103" s="80">
        <v>11493766</v>
      </c>
      <c r="C103" s="84"/>
      <c r="D103" s="84">
        <v>0.185</v>
      </c>
      <c r="E103" s="83">
        <f>B103*D103</f>
        <v>2126346.71</v>
      </c>
    </row>
    <row r="104" spans="1:5" x14ac:dyDescent="0.25">
      <c r="A104" s="41" t="s">
        <v>96</v>
      </c>
      <c r="B104" s="80">
        <v>359977</v>
      </c>
      <c r="C104" s="84">
        <f>C100</f>
        <v>30.68</v>
      </c>
      <c r="D104" s="84">
        <f>C104*0.453592</f>
        <v>13.91620256</v>
      </c>
      <c r="E104" s="83">
        <f>B104*D104</f>
        <v>5009512.8489411203</v>
      </c>
    </row>
    <row r="139" spans="2:3" x14ac:dyDescent="0.25">
      <c r="B139" s="6"/>
      <c r="C139" s="6"/>
    </row>
    <row r="140" spans="2:3" x14ac:dyDescent="0.25">
      <c r="B140" s="6"/>
      <c r="C140" s="6"/>
    </row>
    <row r="141" spans="2:3" x14ac:dyDescent="0.25">
      <c r="B141" s="6"/>
      <c r="C141" s="6"/>
    </row>
    <row r="142" spans="2:3" x14ac:dyDescent="0.25">
      <c r="B142" s="6"/>
      <c r="C142" s="6"/>
    </row>
    <row r="143" spans="2:3" x14ac:dyDescent="0.25">
      <c r="B143" s="6"/>
      <c r="C143" s="6"/>
    </row>
    <row r="144" spans="2:3" x14ac:dyDescent="0.25">
      <c r="B144" s="6"/>
      <c r="C144" s="6"/>
    </row>
    <row r="145" spans="2:3" x14ac:dyDescent="0.25">
      <c r="B145" s="6"/>
      <c r="C145" s="6"/>
    </row>
    <row r="146" spans="2:3" x14ac:dyDescent="0.25">
      <c r="B146" s="6"/>
      <c r="C146" s="6"/>
    </row>
    <row r="147" spans="2:3" x14ac:dyDescent="0.25">
      <c r="B147" s="6"/>
      <c r="C147" s="6"/>
    </row>
    <row r="148" spans="2:3" x14ac:dyDescent="0.25">
      <c r="B148" s="6"/>
      <c r="C148" s="6"/>
    </row>
    <row r="149" spans="2:3" x14ac:dyDescent="0.25">
      <c r="B149" s="6"/>
      <c r="C149" s="6"/>
    </row>
    <row r="150" spans="2:3" x14ac:dyDescent="0.25">
      <c r="B150" s="6"/>
      <c r="C150" s="6"/>
    </row>
    <row r="151" spans="2:3" x14ac:dyDescent="0.25">
      <c r="B151" s="6"/>
      <c r="C151" s="6"/>
    </row>
    <row r="152" spans="2:3" x14ac:dyDescent="0.25">
      <c r="B152" s="6"/>
      <c r="C152" s="6"/>
    </row>
    <row r="153" spans="2:3" x14ac:dyDescent="0.25">
      <c r="B153" s="6"/>
      <c r="C153" s="6"/>
    </row>
    <row r="154" spans="2:3" x14ac:dyDescent="0.25">
      <c r="B154" s="6"/>
      <c r="C154" s="6"/>
    </row>
    <row r="155" spans="2:3" x14ac:dyDescent="0.25">
      <c r="B155" s="6"/>
      <c r="C155" s="6"/>
    </row>
  </sheetData>
  <dataConsolidate/>
  <mergeCells count="15">
    <mergeCell ref="B1:E1"/>
    <mergeCell ref="B37:E37"/>
    <mergeCell ref="B73:E73"/>
    <mergeCell ref="B11:D11"/>
    <mergeCell ref="B21:D21"/>
    <mergeCell ref="B27:D27"/>
    <mergeCell ref="B47:D47"/>
    <mergeCell ref="B63:D63"/>
    <mergeCell ref="B57:D57"/>
    <mergeCell ref="B3:D3"/>
    <mergeCell ref="B99:D99"/>
    <mergeCell ref="B93:D93"/>
    <mergeCell ref="B83:D83"/>
    <mergeCell ref="B75:D75"/>
    <mergeCell ref="B39:D39"/>
  </mergeCells>
  <dataValidations xWindow="819" yWindow="515" count="24">
    <dataValidation allowBlank="1" showInputMessage="1" showErrorMessage="1" promptTitle="Slaughtered cattle" prompt="Please enter the number of &quot;total slaughter&quot; in 2018 from USDA NASS Livestock Slaughter 2018 Summary." sqref="B4" xr:uid="{4CD8984A-C7E0-4E3D-B258-F3B29264B05E}"/>
    <dataValidation allowBlank="1" showInputMessage="1" showErrorMessage="1" promptTitle="Slaughtered calves" prompt="Please enter the number of &quot;total slaughter&quot; in 2018 from USDA NASS Livestock Slaughter 2018 Summary." sqref="B5" xr:uid="{631D9D3F-C268-4209-9D1E-E3E260A9345B}"/>
    <dataValidation allowBlank="1" showInputMessage="1" showErrorMessage="1" promptTitle="Livestock beef cows" prompt="Please enter the number of &quot;beef cows&quot; in January 1, 2019 reported by USDA NASS Cattle Inventory (released Feb 28, 2019)." sqref="B6" xr:uid="{07460E0F-543C-48E5-8630-99D757CCAB4D}"/>
    <dataValidation allowBlank="1" showInputMessage="1" showErrorMessage="1" promptTitle="Livestock milk cows" prompt="Please enter the number of &quot;milk cows&quot; in January 1, 2019 reported by USDA NASS Cattle Inventory (released Feb 28, 2019)." sqref="B7" xr:uid="{972562D4-3FC6-464D-8E47-BD2B3F42672C}"/>
    <dataValidation allowBlank="1" showInputMessage="1" showErrorMessage="1" promptTitle="Cattle imports for slaughter" prompt="Please enter the number of &quot;Cattle imports for imeediate slaughter&quot; in 2018, reported by USDA ERS Cattle: Annual and cumulative year to date US trade - all years and countries (updated on Aug 6, 2020)." sqref="B8" xr:uid="{0B523BCC-62DC-40D4-8D63-DAE3AAB3F508}"/>
    <dataValidation allowBlank="1" showInputMessage="1" showErrorMessage="1" promptTitle="Cattle imports for feeding" prompt="Please enter the number of &quot;Cattle imports, cattle and calves for feeding&quot; in 2018, reported by USDA ERS Cattle: Annual and cumulative year to date US trade - all years and countries (updated on Aug 6, 2020)." sqref="B9" xr:uid="{4CBBB054-7D76-494F-90ED-CA5CE0A91291}"/>
    <dataValidation allowBlank="1" showInputMessage="1" showErrorMessage="1" promptTitle="Cattle exports" prompt="Please enter the value for &quot;Cattle exports&quot; in 2018, reported by USDA ERS Cattle: Annual and cumulative year to date US trade - all years and countries (updated on Aug 6, 2020)." sqref="B10" xr:uid="{B67D342E-CBA2-4374-92C6-056EAC5A3A88}"/>
    <dataValidation allowBlank="1" showInputMessage="1" showErrorMessage="1" promptTitle="Slaughtered hogs" prompt="Please enter the number of &quot;total slaughter&quot; in 2018 from USDA NASS Livestock Slaughter 2018 Summary." sqref="B12" xr:uid="{EC917A9D-2C9F-442A-8E87-7BD7EBD377A9}"/>
    <dataValidation allowBlank="1" showInputMessage="1" showErrorMessage="1" promptTitle="Hogs and pigs, kept for breeding" prompt="Please enter the number of &quot;all hogs and pigs - kept for breeding&quot; in December 1, 2018 inventory, reported by USDA NASS hog inventory (released Sep 27, 2019)." sqref="B13" xr:uid="{809B6E79-17C2-432A-A0C3-09F2CEFD1EA8}"/>
    <dataValidation allowBlank="1" showInputMessage="1" showErrorMessage="1" promptTitle="Pig imports, for imdt slaughter" prompt="Please enter the value for &quot;Hog imports, 50 kilograms or more&quot; in 2018, reported reported by USDA ERS Hogs: Annual and cumulative year to date US trade - all years and countries (updated on Aug 6, 2020)." sqref="B14" xr:uid="{537D4C0D-1012-4506-AD3F-96E206042A53}"/>
    <dataValidation allowBlank="1" showInputMessage="1" showErrorMessage="1" promptTitle="Pig imports (&lt;7kg)" prompt="Please enter the value for &quot;Hog imports, less than 7 kilograms&quot; in 2018, reported reported by USDA ERS Hogs: Annual and cumulative year to date US trade - all years and countries (updated on Aug 6, 2020)." sqref="B15" xr:uid="{FA6BF26F-AEE1-44F8-8515-10CDE0C9BFF0}"/>
    <dataValidation allowBlank="1" showInputMessage="1" showErrorMessage="1" promptTitle="Pig imports (7 to &lt;23 kg)" prompt="Please enter the value for &quot;Hog imports, 7 to less than 23 kilograms&quot; in 2018, reported reported by USDA ERS Hogs: Annual and cumulative year to date US trade - all years and countries (updated on Aug 6, 2020)." sqref="B16" xr:uid="{2D6F4C01-715C-49ED-AE12-B8238F70CF7E}"/>
    <dataValidation allowBlank="1" showInputMessage="1" showErrorMessage="1" promptTitle="Pig imports (23 to &lt;50kg)" prompt="Please enter the value for &quot;Hog imports, 23 to less than 50 kilograms&quot; in 2018, reported reported by USDA ERS Hogs: Annual and cumulative year to date US trade - all years and countries (updated on Aug 6, 2020)." sqref="B17" xr:uid="{D4CB9B10-80E3-44E4-8A3E-E930F69E73A8}"/>
    <dataValidation allowBlank="1" showInputMessage="1" showErrorMessage="1" promptTitle="Pig imports (≥50kg)" prompt="Please enter the value for &quot;Hog imports, 50 kilograms or more, other&quot; in 2018, reported reported by USDA ERS Hogs: Annual and cumulative year to date US trade - all years and countries (updated on Aug 6, 2020)." sqref="B18" xr:uid="{978FD226-A124-4BD8-AED7-B4E623F3CD07}"/>
    <dataValidation allowBlank="1" showInputMessage="1" showErrorMessage="1" promptTitle="Pig exports (≥50kg)" prompt="Please enter the value for &quot;Hog exports, 50 kilograms or more, other&quot; in 2018, reported reported by USDA ERS Hogs: Annual and cumulative year to date US trade - all years and countries (updated on Aug 6, 2020)." sqref="B19" xr:uid="{9C80F9FA-3235-402D-A1FF-AE7F534D1283}"/>
    <dataValidation allowBlank="1" showInputMessage="1" showErrorMessage="1" promptTitle="Pig exports (&lt;50kg)" prompt="Please enter the value for &quot;Hog exports, less than 50 kilograms&quot; in 2018, reported reported by USDA ERS Hogs: Annual and cumulative year to date US trade - all years and countries (updated on Aug 6, 2020)." sqref="B20" xr:uid="{3B344C8F-8111-4EC7-B917-8C7A51C2C056}"/>
    <dataValidation allowBlank="1" showInputMessage="1" showErrorMessage="1" promptTitle="Slaughtered cattle" prompt="Please enter the value for &quot;Commercial live weight per head&quot; in 2018 from USDA NASS Livestock Slaughter 2018 Summary." sqref="C4" xr:uid="{C56E8004-FC7B-4F8C-8F7C-5CD974F386FD}"/>
    <dataValidation allowBlank="1" showInputMessage="1" showErrorMessage="1" promptTitle="Slaughtered hogs" prompt="Please enter the value for &quot;Commercial live weight per head&quot; in 2018 from USDA NASS Livestock Slaughter 2018 Summary." sqref="C12" xr:uid="{C1238F4F-E1F5-41B3-8697-ECB1A82DE8ED}"/>
    <dataValidation allowBlank="1" showInputMessage="1" showErrorMessage="1" promptTitle="Slaughtered calves" prompt="Please enter the value for &quot;Commercial live weight per head&quot; in 2018 from USDA NASS Livestock Slaughter 2018 Summary." sqref="C5" xr:uid="{2AE4A7C5-E10C-4E71-BDEE-FE980654C3ED}"/>
    <dataValidation allowBlank="1" showInputMessage="1" showErrorMessage="1" promptTitle="Slaughtered chickens" prompt="Please enter the number of &quot;Total number slaughtered&quot; in 2018 from USDA NASS Poultry Slaughter 2018 Summary." sqref="B22" xr:uid="{B76229D6-FE74-4E5A-B016-9AC9B5FC5E51}"/>
    <dataValidation allowBlank="1" showInputMessage="1" showErrorMessage="1" promptTitle="Slaughtered turkeys" prompt="Please enter the number of &quot;Total number slaughtered&quot; in 2018 from USDA NASS Poultry Slaughter 2018 Summary." sqref="B28" xr:uid="{AFAF5454-D28D-4923-867F-6D6B1D0F1E36}"/>
    <dataValidation allowBlank="1" showInputMessage="1" showErrorMessage="1" promptTitle="Slaughtered chickens" prompt="Please enter the value for &quot;Average live weight - Total&quot; in 2018 from USDA NASS Poultry Slaughter 2018 Summary. " sqref="C22" xr:uid="{67928A2F-5539-40EF-879A-C6C857305B07}"/>
    <dataValidation allowBlank="1" showInputMessage="1" showErrorMessage="1" promptTitle="Slaughtered turkeys" prompt="Please enter the value for &quot;Average live weight - Total&quot; in 2018 from USDA NASS Poultry Slaughter 2018 Summary. " sqref="C28" xr:uid="{7C9C9063-C807-4273-82F1-6810DFF564A7}"/>
    <dataValidation allowBlank="1" showInputMessage="1" showErrorMessage="1" promptTitle="Chickens/Turkeys Import/Export" prompt="Please go to Instructions to fill these cells." sqref="B23:B26 B29:B32" xr:uid="{24AA89A1-FFD0-4E0B-BD7B-8E021A7DDF16}"/>
  </dataValidations>
  <pageMargins left="0.7" right="0.7" top="0.75" bottom="0.75" header="0.3" footer="0.3"/>
  <pageSetup orientation="portrait" r:id="rId1"/>
  <ignoredErrors>
    <ignoredError sqref="E83:E101 E47:E65 E11:E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47E-A0E7-4F5D-868A-2B21C6E1A78D}">
  <dimension ref="A1:L113"/>
  <sheetViews>
    <sheetView topLeftCell="A73" zoomScaleNormal="100" workbookViewId="0">
      <selection activeCell="M26" sqref="M26"/>
    </sheetView>
  </sheetViews>
  <sheetFormatPr defaultColWidth="9.140625" defaultRowHeight="15" x14ac:dyDescent="0.25"/>
  <cols>
    <col min="1" max="1" width="43.42578125" style="2" bestFit="1" customWidth="1"/>
    <col min="2" max="4" width="20.7109375" style="2" customWidth="1"/>
    <col min="5" max="5" width="9.140625" style="2"/>
    <col min="6" max="6" width="12.7109375" style="2" bestFit="1" customWidth="1"/>
    <col min="7" max="7" width="6.5703125" style="2" hidden="1" customWidth="1"/>
    <col min="8" max="8" width="9.85546875" style="2" hidden="1" customWidth="1"/>
    <col min="9" max="9" width="7.5703125" style="2" hidden="1" customWidth="1"/>
    <col min="10" max="16384" width="9.140625" style="2"/>
  </cols>
  <sheetData>
    <row r="1" spans="1:10" x14ac:dyDescent="0.25">
      <c r="A1" s="1">
        <v>2018</v>
      </c>
      <c r="B1" s="132" t="s">
        <v>17</v>
      </c>
      <c r="C1" s="132"/>
      <c r="D1" s="132"/>
    </row>
    <row r="2" spans="1:10" x14ac:dyDescent="0.25">
      <c r="A2" s="1" t="s">
        <v>5</v>
      </c>
      <c r="B2" s="1" t="s">
        <v>6</v>
      </c>
      <c r="C2" s="1" t="s">
        <v>7</v>
      </c>
      <c r="D2" s="1" t="s">
        <v>10</v>
      </c>
    </row>
    <row r="3" spans="1:10" x14ac:dyDescent="0.25">
      <c r="A3" s="47" t="s">
        <v>0</v>
      </c>
      <c r="B3" s="124"/>
      <c r="C3" s="124"/>
      <c r="D3" s="82">
        <f>D4+D5+D6+D7-D8+D9-D10+D11+D12</f>
        <v>15748041920.270679</v>
      </c>
      <c r="F3" s="2" t="s">
        <v>154</v>
      </c>
    </row>
    <row r="4" spans="1:10" x14ac:dyDescent="0.25">
      <c r="A4" s="3" t="s">
        <v>19</v>
      </c>
      <c r="B4" s="83">
        <f>SUM(F6,I6)</f>
        <v>6287579.7116691573</v>
      </c>
      <c r="C4" s="85">
        <v>425</v>
      </c>
      <c r="D4" s="83">
        <f>B4*C4</f>
        <v>2672221377.4593921</v>
      </c>
      <c r="F4" s="80">
        <v>16636700</v>
      </c>
      <c r="G4" s="72">
        <f>F4/SUM(F4:F7)</f>
        <v>0.51161195884151034</v>
      </c>
      <c r="H4" s="73">
        <f>F8-SUM(F4:F7)</f>
        <v>581600</v>
      </c>
      <c r="I4" s="73">
        <f>$H$4*G4</f>
        <v>297553.51526222244</v>
      </c>
      <c r="J4" s="71"/>
    </row>
    <row r="5" spans="1:10" x14ac:dyDescent="0.25">
      <c r="A5" s="3" t="s">
        <v>33</v>
      </c>
      <c r="B5" s="83">
        <f>SUM(F5,I5)</f>
        <v>9330751.5987969823</v>
      </c>
      <c r="C5" s="85">
        <v>200</v>
      </c>
      <c r="D5" s="83">
        <f t="shared" ref="D5:D24" si="0">B5*C5</f>
        <v>1866150319.7593966</v>
      </c>
      <c r="F5" s="80">
        <v>9166800</v>
      </c>
      <c r="G5" s="72">
        <f>F5/SUM(F4:F7)</f>
        <v>0.28189752200306289</v>
      </c>
      <c r="H5" s="73"/>
      <c r="I5" s="73">
        <f t="shared" ref="I5:I7" si="1">$H$4*G5</f>
        <v>163951.59879698139</v>
      </c>
      <c r="J5" s="71"/>
    </row>
    <row r="6" spans="1:10" x14ac:dyDescent="0.25">
      <c r="A6" s="3" t="s">
        <v>34</v>
      </c>
      <c r="B6" s="83">
        <f>SUM(F4,F7,I7,I4)</f>
        <v>17481468.689533863</v>
      </c>
      <c r="C6" s="85">
        <v>425</v>
      </c>
      <c r="D6" s="83">
        <f t="shared" si="0"/>
        <v>7429624193.0518923</v>
      </c>
      <c r="F6" s="80">
        <v>6177100</v>
      </c>
      <c r="G6" s="72">
        <f>F6/SUM(F4:F7)</f>
        <v>0.18995823877090368</v>
      </c>
      <c r="H6" s="73"/>
      <c r="I6" s="73">
        <f t="shared" si="1"/>
        <v>110479.71166915758</v>
      </c>
      <c r="J6" s="71"/>
    </row>
    <row r="7" spans="1:10" x14ac:dyDescent="0.25">
      <c r="A7" s="3" t="s">
        <v>35</v>
      </c>
      <c r="B7" s="83">
        <f>FDA_Proposed!B5</f>
        <v>603600</v>
      </c>
      <c r="C7" s="85">
        <v>140</v>
      </c>
      <c r="D7" s="83">
        <f t="shared" si="0"/>
        <v>84504000</v>
      </c>
      <c r="F7" s="80">
        <v>537600</v>
      </c>
      <c r="G7" s="72">
        <f>F7/SUM(F4:F7)</f>
        <v>1.6532280384523129E-2</v>
      </c>
      <c r="H7" s="73"/>
      <c r="I7" s="73">
        <f t="shared" si="1"/>
        <v>9615.1742716386507</v>
      </c>
      <c r="J7" s="71"/>
    </row>
    <row r="8" spans="1:10" x14ac:dyDescent="0.25">
      <c r="A8" s="3" t="s">
        <v>20</v>
      </c>
      <c r="B8" s="83">
        <f>SUM(FDA_Proposed!B8)</f>
        <v>416996</v>
      </c>
      <c r="C8" s="85">
        <v>425</v>
      </c>
      <c r="D8" s="83">
        <f t="shared" si="0"/>
        <v>177223300</v>
      </c>
      <c r="F8" s="70">
        <f>FDA_Proposed!B4</f>
        <v>33099800</v>
      </c>
      <c r="G8" s="10"/>
    </row>
    <row r="9" spans="1:10" x14ac:dyDescent="0.25">
      <c r="A9" s="3" t="s">
        <v>21</v>
      </c>
      <c r="B9" s="83">
        <f>FDA_Proposed!B10</f>
        <v>243586</v>
      </c>
      <c r="C9" s="85">
        <v>425</v>
      </c>
      <c r="D9" s="83">
        <f t="shared" si="0"/>
        <v>103524050</v>
      </c>
      <c r="F9" s="70">
        <f>SUM(B4:B6)</f>
        <v>33099800.000000004</v>
      </c>
    </row>
    <row r="10" spans="1:10" x14ac:dyDescent="0.25">
      <c r="A10" s="3" t="s">
        <v>22</v>
      </c>
      <c r="B10" s="83">
        <f>FDA_Proposed!B9</f>
        <v>1471098</v>
      </c>
      <c r="C10" s="85">
        <v>140</v>
      </c>
      <c r="D10" s="83">
        <f t="shared" si="0"/>
        <v>205953720</v>
      </c>
    </row>
    <row r="11" spans="1:10" x14ac:dyDescent="0.25">
      <c r="A11" s="3" t="s">
        <v>23</v>
      </c>
      <c r="B11" s="83">
        <v>0</v>
      </c>
      <c r="C11" s="85">
        <v>140</v>
      </c>
      <c r="D11" s="83">
        <f t="shared" si="0"/>
        <v>0</v>
      </c>
    </row>
    <row r="12" spans="1:10" x14ac:dyDescent="0.25">
      <c r="A12" s="3" t="s">
        <v>36</v>
      </c>
      <c r="B12" s="83">
        <f>FDA_Proposed!B7</f>
        <v>9353400</v>
      </c>
      <c r="C12" s="85">
        <v>425</v>
      </c>
      <c r="D12" s="83">
        <f t="shared" si="0"/>
        <v>3975195000</v>
      </c>
      <c r="F12" s="10"/>
    </row>
    <row r="13" spans="1:10" x14ac:dyDescent="0.25">
      <c r="A13" s="47" t="s">
        <v>97</v>
      </c>
      <c r="B13" s="131"/>
      <c r="C13" s="131"/>
      <c r="D13" s="82">
        <f>D14-D15+D16-D17+D18+D19</f>
        <v>9454874540</v>
      </c>
    </row>
    <row r="14" spans="1:10" x14ac:dyDescent="0.25">
      <c r="A14" s="3" t="s">
        <v>24</v>
      </c>
      <c r="B14" s="83">
        <f>FDA_Proposed!B12</f>
        <v>124512300</v>
      </c>
      <c r="C14" s="85">
        <v>65</v>
      </c>
      <c r="D14" s="83">
        <f t="shared" si="0"/>
        <v>8093299500</v>
      </c>
    </row>
    <row r="15" spans="1:10" x14ac:dyDescent="0.25">
      <c r="A15" s="3" t="s">
        <v>25</v>
      </c>
      <c r="B15" s="83">
        <f>FDA_Proposed!B14</f>
        <v>695080</v>
      </c>
      <c r="C15" s="85">
        <v>65</v>
      </c>
      <c r="D15" s="83">
        <f t="shared" si="0"/>
        <v>45180200</v>
      </c>
    </row>
    <row r="16" spans="1:10" x14ac:dyDescent="0.25">
      <c r="A16" s="3" t="s">
        <v>26</v>
      </c>
      <c r="B16" s="83">
        <f>FDA_Proposed!B19</f>
        <v>8551</v>
      </c>
      <c r="C16" s="85">
        <v>65</v>
      </c>
      <c r="D16" s="83">
        <f t="shared" si="0"/>
        <v>555815</v>
      </c>
    </row>
    <row r="17" spans="1:4" x14ac:dyDescent="0.25">
      <c r="A17" s="3" t="s">
        <v>27</v>
      </c>
      <c r="B17" s="83">
        <f>SUM(FDA_Proposed!B15:B18)</f>
        <v>4514854</v>
      </c>
      <c r="C17" s="85">
        <v>25</v>
      </c>
      <c r="D17" s="83">
        <f t="shared" si="0"/>
        <v>112871350</v>
      </c>
    </row>
    <row r="18" spans="1:4" x14ac:dyDescent="0.25">
      <c r="A18" s="3" t="s">
        <v>28</v>
      </c>
      <c r="B18" s="83">
        <f>FDA_Proposed!B20</f>
        <v>33231</v>
      </c>
      <c r="C18" s="85">
        <v>25</v>
      </c>
      <c r="D18" s="83">
        <f t="shared" si="0"/>
        <v>830775</v>
      </c>
    </row>
    <row r="19" spans="1:4" x14ac:dyDescent="0.25">
      <c r="A19" s="3" t="s">
        <v>29</v>
      </c>
      <c r="B19" s="83">
        <f>FDA_Proposed!B13</f>
        <v>6326000</v>
      </c>
      <c r="C19" s="85">
        <v>240</v>
      </c>
      <c r="D19" s="83">
        <f t="shared" si="0"/>
        <v>1518240000</v>
      </c>
    </row>
    <row r="20" spans="1:4" x14ac:dyDescent="0.25">
      <c r="A20" s="47" t="s">
        <v>98</v>
      </c>
      <c r="B20" s="131"/>
      <c r="C20" s="131"/>
      <c r="D20" s="82">
        <f>D21+D22-D23+D24</f>
        <v>10755864203</v>
      </c>
    </row>
    <row r="21" spans="1:4" x14ac:dyDescent="0.25">
      <c r="A21" s="3" t="s">
        <v>32</v>
      </c>
      <c r="B21" s="83">
        <f>FDA_Proposed!B22</f>
        <v>9160910000</v>
      </c>
      <c r="C21" s="85">
        <v>1</v>
      </c>
      <c r="D21" s="83">
        <f t="shared" si="0"/>
        <v>9160910000</v>
      </c>
    </row>
    <row r="22" spans="1:4" x14ac:dyDescent="0.25">
      <c r="A22" s="3" t="s">
        <v>3</v>
      </c>
      <c r="B22" s="83">
        <f>FDA_Proposed!B28</f>
        <v>236860000</v>
      </c>
      <c r="C22" s="85">
        <v>6.5</v>
      </c>
      <c r="D22" s="83">
        <f t="shared" si="0"/>
        <v>1539590000</v>
      </c>
    </row>
    <row r="23" spans="1:4" x14ac:dyDescent="0.25">
      <c r="A23" s="3" t="s">
        <v>30</v>
      </c>
      <c r="B23" s="83">
        <f>SUM(B30,B34)</f>
        <v>13353077</v>
      </c>
      <c r="C23" s="85">
        <v>1</v>
      </c>
      <c r="D23" s="83">
        <f t="shared" si="0"/>
        <v>13353077</v>
      </c>
    </row>
    <row r="24" spans="1:4" x14ac:dyDescent="0.25">
      <c r="A24" s="3" t="s">
        <v>31</v>
      </c>
      <c r="B24" s="83">
        <f>SUM(B31,B35)</f>
        <v>68717280</v>
      </c>
      <c r="C24" s="85">
        <v>1</v>
      </c>
      <c r="D24" s="83">
        <f t="shared" si="0"/>
        <v>68717280</v>
      </c>
    </row>
    <row r="26" spans="1:4" x14ac:dyDescent="0.25">
      <c r="A26" s="43" t="s">
        <v>99</v>
      </c>
    </row>
    <row r="27" spans="1:4" x14ac:dyDescent="0.25">
      <c r="A27" s="47" t="s">
        <v>98</v>
      </c>
      <c r="B27" s="128"/>
      <c r="C27" s="130"/>
      <c r="D27" s="82">
        <f>SUM(D28,D32)</f>
        <v>10755864203</v>
      </c>
    </row>
    <row r="28" spans="1:4" x14ac:dyDescent="0.25">
      <c r="A28" s="47" t="s">
        <v>32</v>
      </c>
      <c r="B28" s="128"/>
      <c r="C28" s="130"/>
      <c r="D28" s="82">
        <f>D29-D30+D31</f>
        <v>9215693254</v>
      </c>
    </row>
    <row r="29" spans="1:4" x14ac:dyDescent="0.25">
      <c r="A29" s="3" t="s">
        <v>37</v>
      </c>
      <c r="B29" s="83">
        <f>FDA_Proposed!B22</f>
        <v>9160910000</v>
      </c>
      <c r="C29" s="85">
        <v>1</v>
      </c>
      <c r="D29" s="83">
        <f>B29*C29</f>
        <v>9160910000</v>
      </c>
    </row>
    <row r="30" spans="1:4" x14ac:dyDescent="0.25">
      <c r="A30" s="3" t="s">
        <v>38</v>
      </c>
      <c r="B30" s="83">
        <f>SUM(FDA_Proposed!B23:B24)</f>
        <v>4178061</v>
      </c>
      <c r="C30" s="85">
        <v>1</v>
      </c>
      <c r="D30" s="83">
        <f>B30*C30</f>
        <v>4178061</v>
      </c>
    </row>
    <row r="31" spans="1:4" x14ac:dyDescent="0.25">
      <c r="A31" s="3" t="s">
        <v>39</v>
      </c>
      <c r="B31" s="83">
        <f>SUM(FDA_Proposed!B25:B26)</f>
        <v>58961315</v>
      </c>
      <c r="C31" s="85">
        <v>1</v>
      </c>
      <c r="D31" s="83">
        <f>B31*C31</f>
        <v>58961315</v>
      </c>
    </row>
    <row r="32" spans="1:4" x14ac:dyDescent="0.25">
      <c r="A32" s="47" t="s">
        <v>3</v>
      </c>
      <c r="B32" s="128"/>
      <c r="C32" s="130"/>
      <c r="D32" s="82">
        <f>D33-D34+D35</f>
        <v>1540170949</v>
      </c>
    </row>
    <row r="33" spans="1:12" x14ac:dyDescent="0.25">
      <c r="A33" s="3" t="s">
        <v>37</v>
      </c>
      <c r="B33" s="83">
        <f>FDA_Proposed!B28</f>
        <v>236860000</v>
      </c>
      <c r="C33" s="85">
        <v>6.5</v>
      </c>
      <c r="D33" s="83">
        <f>B33*C33</f>
        <v>1539590000</v>
      </c>
    </row>
    <row r="34" spans="1:12" x14ac:dyDescent="0.25">
      <c r="A34" s="3" t="s">
        <v>38</v>
      </c>
      <c r="B34" s="83">
        <f>SUM(FDA_Proposed!B29:B30)</f>
        <v>9175016</v>
      </c>
      <c r="C34" s="85">
        <v>1</v>
      </c>
      <c r="D34" s="83">
        <f>B34*C34</f>
        <v>9175016</v>
      </c>
    </row>
    <row r="35" spans="1:12" x14ac:dyDescent="0.25">
      <c r="A35" s="3" t="s">
        <v>39</v>
      </c>
      <c r="B35" s="83">
        <f>SUM(FDA_Proposed!B31:B32)</f>
        <v>9755965</v>
      </c>
      <c r="C35" s="85">
        <v>1</v>
      </c>
      <c r="D35" s="83">
        <f>B35*C35</f>
        <v>9755965</v>
      </c>
    </row>
    <row r="38" spans="1:12" x14ac:dyDescent="0.25">
      <c r="A38" s="4"/>
      <c r="B38" s="44"/>
      <c r="C38" s="44"/>
      <c r="D38" s="10"/>
    </row>
    <row r="39" spans="1:12" x14ac:dyDescent="0.25">
      <c r="A39" s="45"/>
      <c r="B39" s="46"/>
      <c r="C39" s="45"/>
    </row>
    <row r="40" spans="1:12" x14ac:dyDescent="0.25">
      <c r="A40" s="1">
        <v>2017</v>
      </c>
      <c r="B40" s="132" t="s">
        <v>17</v>
      </c>
      <c r="C40" s="132"/>
      <c r="D40" s="132"/>
    </row>
    <row r="41" spans="1:12" x14ac:dyDescent="0.25">
      <c r="A41" s="1" t="s">
        <v>5</v>
      </c>
      <c r="B41" s="1" t="s">
        <v>6</v>
      </c>
      <c r="C41" s="1" t="s">
        <v>7</v>
      </c>
      <c r="D41" s="1" t="s">
        <v>10</v>
      </c>
    </row>
    <row r="42" spans="1:12" x14ac:dyDescent="0.25">
      <c r="A42" s="47" t="s">
        <v>0</v>
      </c>
      <c r="B42" s="124"/>
      <c r="C42" s="124"/>
      <c r="D42" s="82">
        <f>D43+D44+D45+D46-D47+D48-D49+D50+D51</f>
        <v>15521236666.665257</v>
      </c>
      <c r="F42" s="2" t="s">
        <v>155</v>
      </c>
    </row>
    <row r="43" spans="1:12" x14ac:dyDescent="0.25">
      <c r="A43" s="3" t="s">
        <v>19</v>
      </c>
      <c r="B43" s="83">
        <f>SUM(F45,I45)</f>
        <v>5877410.1859678784</v>
      </c>
      <c r="C43" s="85">
        <v>425</v>
      </c>
      <c r="D43" s="83">
        <f>B43*C43</f>
        <v>2497899329.0363483</v>
      </c>
      <c r="F43" s="80">
        <v>16770600</v>
      </c>
      <c r="G43" s="76">
        <f>F43/SUM(F43:F46)</f>
        <v>0.52896758809502786</v>
      </c>
      <c r="H43" s="73">
        <f>F47-SUM(F43:F46)</f>
        <v>576200</v>
      </c>
      <c r="I43" s="73">
        <f>$H$43*G43</f>
        <v>304791.12426035508</v>
      </c>
      <c r="J43" s="74"/>
      <c r="K43" s="75"/>
      <c r="L43" s="75"/>
    </row>
    <row r="44" spans="1:12" x14ac:dyDescent="0.25">
      <c r="A44" s="3" t="s">
        <v>33</v>
      </c>
      <c r="B44" s="83">
        <f>SUM(F44,I44)</f>
        <v>8767599.2814877424</v>
      </c>
      <c r="C44" s="85">
        <v>200</v>
      </c>
      <c r="D44" s="83">
        <f t="shared" ref="D44:D51" si="2">B44*C44</f>
        <v>1753519856.2975485</v>
      </c>
      <c r="F44" s="80">
        <v>8611100</v>
      </c>
      <c r="G44" s="76">
        <f>F44/SUM(F43:F46)</f>
        <v>0.27160583389056409</v>
      </c>
      <c r="H44" s="73"/>
      <c r="I44" s="73">
        <f t="shared" ref="I44:I46" si="3">$H$43*G44</f>
        <v>156499.28148774302</v>
      </c>
      <c r="J44" s="74"/>
      <c r="K44" s="75"/>
      <c r="L44" s="75"/>
    </row>
    <row r="45" spans="1:12" x14ac:dyDescent="0.25">
      <c r="A45" s="3" t="s">
        <v>34</v>
      </c>
      <c r="B45" s="83">
        <f>SUM(F43,F46,I46,I43)</f>
        <v>17635590.532544378</v>
      </c>
      <c r="C45" s="85">
        <v>425</v>
      </c>
      <c r="D45" s="83">
        <f t="shared" si="2"/>
        <v>7495125976.3313608</v>
      </c>
      <c r="F45" s="80">
        <v>5772500</v>
      </c>
      <c r="G45" s="76">
        <f>F45/SUM(F43:F46)</f>
        <v>0.18207251990260026</v>
      </c>
      <c r="H45" s="73"/>
      <c r="I45" s="73">
        <f t="shared" si="3"/>
        <v>104910.18596787826</v>
      </c>
      <c r="J45" s="74"/>
      <c r="K45" s="75"/>
      <c r="L45" s="75"/>
    </row>
    <row r="46" spans="1:12" x14ac:dyDescent="0.25">
      <c r="A46" s="3" t="s">
        <v>35</v>
      </c>
      <c r="B46" s="83">
        <f>FDA_Proposed!B41</f>
        <v>536800</v>
      </c>
      <c r="C46" s="85">
        <v>140</v>
      </c>
      <c r="D46" s="83">
        <f t="shared" si="2"/>
        <v>75152000</v>
      </c>
      <c r="F46" s="80">
        <v>550200</v>
      </c>
      <c r="G46" s="76">
        <f>F46/SUM(F43:F46)</f>
        <v>1.7354058111807825E-2</v>
      </c>
      <c r="H46" s="73"/>
      <c r="I46" s="73">
        <f t="shared" si="3"/>
        <v>9999.4082840236697</v>
      </c>
      <c r="J46" s="74"/>
      <c r="K46" s="75"/>
      <c r="L46" s="75"/>
    </row>
    <row r="47" spans="1:12" x14ac:dyDescent="0.25">
      <c r="A47" s="3" t="s">
        <v>20</v>
      </c>
      <c r="B47" s="83">
        <f>FDA_Proposed!B44</f>
        <v>491133</v>
      </c>
      <c r="C47" s="85">
        <v>425</v>
      </c>
      <c r="D47" s="83">
        <f t="shared" si="2"/>
        <v>208731525</v>
      </c>
      <c r="F47" s="70">
        <f>FDA_Proposed!B40</f>
        <v>32280600</v>
      </c>
      <c r="G47" s="77">
        <f>SUM(G43:G46)</f>
        <v>1.0000000000000002</v>
      </c>
      <c r="H47" s="78"/>
      <c r="I47" s="73"/>
      <c r="J47" s="75"/>
      <c r="K47" s="75"/>
      <c r="L47" s="75"/>
    </row>
    <row r="48" spans="1:12" x14ac:dyDescent="0.25">
      <c r="A48" s="3" t="s">
        <v>21</v>
      </c>
      <c r="B48" s="83">
        <f>FDA_Proposed!B46</f>
        <v>193058</v>
      </c>
      <c r="C48" s="85">
        <v>425</v>
      </c>
      <c r="D48" s="83">
        <f t="shared" si="2"/>
        <v>82049650</v>
      </c>
      <c r="F48" s="70">
        <f>SUM(B43:B45)</f>
        <v>32280600</v>
      </c>
      <c r="G48" s="75"/>
      <c r="H48" s="75"/>
      <c r="I48" s="75"/>
      <c r="J48" s="75"/>
      <c r="K48" s="75"/>
      <c r="L48" s="75"/>
    </row>
    <row r="49" spans="1:4" x14ac:dyDescent="0.25">
      <c r="A49" s="3" t="s">
        <v>22</v>
      </c>
      <c r="B49" s="83">
        <f>FDA_Proposed!B45</f>
        <v>1303008</v>
      </c>
      <c r="C49" s="85">
        <v>140</v>
      </c>
      <c r="D49" s="83">
        <f t="shared" si="2"/>
        <v>182421120</v>
      </c>
    </row>
    <row r="50" spans="1:4" x14ac:dyDescent="0.25">
      <c r="A50" s="3" t="s">
        <v>23</v>
      </c>
      <c r="B50" s="83">
        <v>0</v>
      </c>
      <c r="C50" s="85">
        <v>140</v>
      </c>
      <c r="D50" s="83">
        <f t="shared" si="2"/>
        <v>0</v>
      </c>
    </row>
    <row r="51" spans="1:4" x14ac:dyDescent="0.25">
      <c r="A51" s="3" t="s">
        <v>36</v>
      </c>
      <c r="B51" s="83">
        <f>FDA_Proposed!B43</f>
        <v>9432100</v>
      </c>
      <c r="C51" s="85">
        <v>425</v>
      </c>
      <c r="D51" s="83">
        <f t="shared" si="2"/>
        <v>4008642500</v>
      </c>
    </row>
    <row r="52" spans="1:4" x14ac:dyDescent="0.25">
      <c r="A52" s="47" t="s">
        <v>97</v>
      </c>
      <c r="B52" s="131"/>
      <c r="C52" s="131"/>
      <c r="D52" s="82">
        <f>D53-D54+D55-D56+D57+D58</f>
        <v>9206097785</v>
      </c>
    </row>
    <row r="53" spans="1:4" x14ac:dyDescent="0.25">
      <c r="A53" s="3" t="s">
        <v>24</v>
      </c>
      <c r="B53" s="83">
        <f>FDA_Proposed!B48</f>
        <v>121389700</v>
      </c>
      <c r="C53" s="85">
        <v>65</v>
      </c>
      <c r="D53" s="83">
        <f t="shared" ref="D53:D58" si="4">B53*C53</f>
        <v>7890330500</v>
      </c>
    </row>
    <row r="54" spans="1:4" x14ac:dyDescent="0.25">
      <c r="A54" s="3" t="s">
        <v>25</v>
      </c>
      <c r="B54" s="83">
        <f>FDA_Proposed!B50</f>
        <v>753973</v>
      </c>
      <c r="C54" s="85">
        <v>65</v>
      </c>
      <c r="D54" s="83">
        <f t="shared" si="4"/>
        <v>49008245</v>
      </c>
    </row>
    <row r="55" spans="1:4" x14ac:dyDescent="0.25">
      <c r="A55" s="3" t="s">
        <v>26</v>
      </c>
      <c r="B55" s="83">
        <f>FDA_Proposed!B55</f>
        <v>13102</v>
      </c>
      <c r="C55" s="85">
        <v>65</v>
      </c>
      <c r="D55" s="83">
        <f t="shared" si="4"/>
        <v>851630</v>
      </c>
    </row>
    <row r="56" spans="1:4" x14ac:dyDescent="0.25">
      <c r="A56" s="3" t="s">
        <v>27</v>
      </c>
      <c r="B56" s="83">
        <f>SUM(FDA_Proposed!B51:B54)</f>
        <v>4783983</v>
      </c>
      <c r="C56" s="85">
        <v>25</v>
      </c>
      <c r="D56" s="83">
        <f t="shared" si="4"/>
        <v>119599575</v>
      </c>
    </row>
    <row r="57" spans="1:4" x14ac:dyDescent="0.25">
      <c r="A57" s="3" t="s">
        <v>28</v>
      </c>
      <c r="B57" s="83">
        <f>FDA_Proposed!B56</f>
        <v>22539</v>
      </c>
      <c r="C57" s="85">
        <v>25</v>
      </c>
      <c r="D57" s="83">
        <f t="shared" si="4"/>
        <v>563475</v>
      </c>
    </row>
    <row r="58" spans="1:4" x14ac:dyDescent="0.25">
      <c r="A58" s="3" t="s">
        <v>29</v>
      </c>
      <c r="B58" s="83">
        <f>FDA_Proposed!B49</f>
        <v>6179000</v>
      </c>
      <c r="C58" s="85">
        <v>240</v>
      </c>
      <c r="D58" s="83">
        <f t="shared" si="4"/>
        <v>1482960000</v>
      </c>
    </row>
    <row r="59" spans="1:4" x14ac:dyDescent="0.25">
      <c r="A59" s="47" t="s">
        <v>98</v>
      </c>
      <c r="B59" s="131"/>
      <c r="C59" s="131"/>
      <c r="D59" s="82">
        <f>D60+D61-D62+D63</f>
        <v>10688366190</v>
      </c>
    </row>
    <row r="60" spans="1:4" x14ac:dyDescent="0.25">
      <c r="A60" s="3" t="s">
        <v>32</v>
      </c>
      <c r="B60" s="83">
        <f>FDA_Proposed!B58</f>
        <v>9050702000</v>
      </c>
      <c r="C60" s="85">
        <v>1</v>
      </c>
      <c r="D60" s="83">
        <f t="shared" ref="D60:D63" si="5">B60*C60</f>
        <v>9050702000</v>
      </c>
    </row>
    <row r="61" spans="1:4" x14ac:dyDescent="0.25">
      <c r="A61" s="3" t="s">
        <v>3</v>
      </c>
      <c r="B61" s="83">
        <f>FDA_Proposed!B64</f>
        <v>241680000</v>
      </c>
      <c r="C61" s="85">
        <v>6.5</v>
      </c>
      <c r="D61" s="83">
        <f t="shared" si="5"/>
        <v>1570920000</v>
      </c>
    </row>
    <row r="62" spans="1:4" x14ac:dyDescent="0.25">
      <c r="A62" s="3" t="s">
        <v>30</v>
      </c>
      <c r="B62" s="83">
        <f>SUM(FDA_Proposed!B59:B60,FDA_Proposed!B65:B66)</f>
        <v>12445871</v>
      </c>
      <c r="C62" s="85">
        <v>1</v>
      </c>
      <c r="D62" s="83">
        <f t="shared" si="5"/>
        <v>12445871</v>
      </c>
    </row>
    <row r="63" spans="1:4" x14ac:dyDescent="0.25">
      <c r="A63" s="3" t="s">
        <v>31</v>
      </c>
      <c r="B63" s="83">
        <f>SUM(FDA_Proposed!B61:B62,FDA_Proposed!B67:B68)</f>
        <v>79190061</v>
      </c>
      <c r="C63" s="85">
        <v>1</v>
      </c>
      <c r="D63" s="83">
        <f t="shared" si="5"/>
        <v>79190061</v>
      </c>
    </row>
    <row r="65" spans="1:4" x14ac:dyDescent="0.25">
      <c r="A65" s="43" t="s">
        <v>99</v>
      </c>
    </row>
    <row r="66" spans="1:4" x14ac:dyDescent="0.25">
      <c r="A66" s="47" t="s">
        <v>98</v>
      </c>
      <c r="B66" s="128"/>
      <c r="C66" s="130"/>
      <c r="D66" s="82">
        <f>SUM(D67,D71)</f>
        <v>10688366190</v>
      </c>
    </row>
    <row r="67" spans="1:4" x14ac:dyDescent="0.25">
      <c r="A67" s="47" t="s">
        <v>32</v>
      </c>
      <c r="B67" s="128"/>
      <c r="C67" s="130"/>
      <c r="D67" s="82">
        <f>D68-D69+D70</f>
        <v>9114563689</v>
      </c>
    </row>
    <row r="68" spans="1:4" x14ac:dyDescent="0.25">
      <c r="A68" s="3" t="s">
        <v>37</v>
      </c>
      <c r="B68" s="83">
        <f>FDA_Proposed!B58</f>
        <v>9050702000</v>
      </c>
      <c r="C68" s="85">
        <v>1</v>
      </c>
      <c r="D68" s="83">
        <f>B68*C68</f>
        <v>9050702000</v>
      </c>
    </row>
    <row r="69" spans="1:4" x14ac:dyDescent="0.25">
      <c r="A69" s="3" t="s">
        <v>38</v>
      </c>
      <c r="B69" s="83">
        <f>SUM(FDA_Proposed!B59:B60)</f>
        <v>4872061</v>
      </c>
      <c r="C69" s="85">
        <v>1</v>
      </c>
      <c r="D69" s="83">
        <f>B69*C69</f>
        <v>4872061</v>
      </c>
    </row>
    <row r="70" spans="1:4" x14ac:dyDescent="0.25">
      <c r="A70" s="3" t="s">
        <v>39</v>
      </c>
      <c r="B70" s="83">
        <f>SUM(FDA_Proposed!B61:B62)</f>
        <v>68733750</v>
      </c>
      <c r="C70" s="85">
        <v>1</v>
      </c>
      <c r="D70" s="83">
        <f>B70*C70</f>
        <v>68733750</v>
      </c>
    </row>
    <row r="71" spans="1:4" x14ac:dyDescent="0.25">
      <c r="A71" s="47" t="s">
        <v>3</v>
      </c>
      <c r="B71" s="128"/>
      <c r="C71" s="130"/>
      <c r="D71" s="82">
        <f>D72-D73+D74</f>
        <v>1573802501</v>
      </c>
    </row>
    <row r="72" spans="1:4" x14ac:dyDescent="0.25">
      <c r="A72" s="3" t="s">
        <v>37</v>
      </c>
      <c r="B72" s="83">
        <f>FDA_Proposed!B64</f>
        <v>241680000</v>
      </c>
      <c r="C72" s="85">
        <v>6.5</v>
      </c>
      <c r="D72" s="83">
        <f>B72*C72</f>
        <v>1570920000</v>
      </c>
    </row>
    <row r="73" spans="1:4" x14ac:dyDescent="0.25">
      <c r="A73" s="3" t="s">
        <v>38</v>
      </c>
      <c r="B73" s="83">
        <f>SUM(FDA_Proposed!B65:B66)</f>
        <v>7573810</v>
      </c>
      <c r="C73" s="85">
        <v>1</v>
      </c>
      <c r="D73" s="83">
        <f>B73*C73</f>
        <v>7573810</v>
      </c>
    </row>
    <row r="74" spans="1:4" x14ac:dyDescent="0.25">
      <c r="A74" s="3" t="s">
        <v>39</v>
      </c>
      <c r="B74" s="83">
        <f>SUM(FDA_Proposed!B67:B68)</f>
        <v>10456311</v>
      </c>
      <c r="C74" s="85">
        <v>1</v>
      </c>
      <c r="D74" s="83">
        <f>B74*C74</f>
        <v>10456311</v>
      </c>
    </row>
    <row r="79" spans="1:4" x14ac:dyDescent="0.25">
      <c r="A79" s="1">
        <v>2016</v>
      </c>
      <c r="B79" s="132" t="s">
        <v>17</v>
      </c>
      <c r="C79" s="132"/>
      <c r="D79" s="132"/>
    </row>
    <row r="80" spans="1:4" x14ac:dyDescent="0.25">
      <c r="A80" s="1" t="s">
        <v>5</v>
      </c>
      <c r="B80" s="1" t="s">
        <v>6</v>
      </c>
      <c r="C80" s="1" t="s">
        <v>7</v>
      </c>
      <c r="D80" s="1" t="s">
        <v>10</v>
      </c>
    </row>
    <row r="81" spans="1:11" x14ac:dyDescent="0.25">
      <c r="A81" s="47" t="s">
        <v>0</v>
      </c>
      <c r="B81" s="124"/>
      <c r="C81" s="124"/>
      <c r="D81" s="82">
        <f>D82+D83+D84+D85-D86+D87-D88+D89+D90</f>
        <v>14952816089.98597</v>
      </c>
      <c r="F81" s="2" t="s">
        <v>156</v>
      </c>
    </row>
    <row r="82" spans="1:11" x14ac:dyDescent="0.25">
      <c r="A82" s="3" t="s">
        <v>19</v>
      </c>
      <c r="B82" s="83">
        <f>SUM(F84,I84)</f>
        <v>5529429.5445715515</v>
      </c>
      <c r="C82" s="85">
        <v>425</v>
      </c>
      <c r="D82" s="83">
        <f>B82*C82</f>
        <v>2350007556.4429092</v>
      </c>
      <c r="F82" s="80">
        <v>16494500</v>
      </c>
      <c r="G82" s="76">
        <f>F82/SUM(F82:F85)</f>
        <v>0.54772617841903404</v>
      </c>
      <c r="H82" s="73">
        <f>F86-SUM(F82:F85)</f>
        <v>561600</v>
      </c>
      <c r="I82" s="73">
        <f>$H$82*G82</f>
        <v>307603.0218001295</v>
      </c>
      <c r="J82" s="74"/>
      <c r="K82" s="75"/>
    </row>
    <row r="83" spans="1:11" x14ac:dyDescent="0.25">
      <c r="A83" s="3" t="s">
        <v>33</v>
      </c>
      <c r="B83" s="83">
        <f>SUM(F83,I83)</f>
        <v>7841558.6445067991</v>
      </c>
      <c r="C83" s="85">
        <v>200</v>
      </c>
      <c r="D83" s="83">
        <f t="shared" ref="D83:D90" si="6">B83*C83</f>
        <v>1568311728.9013598</v>
      </c>
      <c r="F83" s="80">
        <v>7698000</v>
      </c>
      <c r="G83" s="76">
        <f>F83/SUM(F82:F85)</f>
        <v>0.25562436699928603</v>
      </c>
      <c r="H83" s="73"/>
      <c r="I83" s="73">
        <f t="shared" ref="I83:I85" si="7">$H$82*G83</f>
        <v>143558.64450679903</v>
      </c>
      <c r="J83" s="74"/>
      <c r="K83" s="75"/>
    </row>
    <row r="84" spans="1:11" x14ac:dyDescent="0.25">
      <c r="A84" s="3" t="s">
        <v>34</v>
      </c>
      <c r="B84" s="83">
        <f>SUM(F82,F85,I85,I82)</f>
        <v>17305111.81092165</v>
      </c>
      <c r="C84" s="85">
        <v>425</v>
      </c>
      <c r="D84" s="83">
        <f t="shared" si="6"/>
        <v>7354672519.6417017</v>
      </c>
      <c r="F84" s="80">
        <v>5428200</v>
      </c>
      <c r="G84" s="76">
        <f>F84/SUM(F82:F85)</f>
        <v>0.18025203805475767</v>
      </c>
      <c r="H84" s="73"/>
      <c r="I84" s="73">
        <f t="shared" si="7"/>
        <v>101229.54457155192</v>
      </c>
      <c r="J84" s="74"/>
      <c r="K84" s="75"/>
    </row>
    <row r="85" spans="1:11" x14ac:dyDescent="0.25">
      <c r="A85" s="3" t="s">
        <v>35</v>
      </c>
      <c r="B85" s="83">
        <f>FDA_Proposed!B77</f>
        <v>512700</v>
      </c>
      <c r="C85" s="85">
        <v>140</v>
      </c>
      <c r="D85" s="83">
        <f t="shared" si="6"/>
        <v>71778000</v>
      </c>
      <c r="F85" s="80">
        <v>493800</v>
      </c>
      <c r="G85" s="76">
        <f>F85/SUM(F82:F85)</f>
        <v>1.6397416526922247E-2</v>
      </c>
      <c r="H85" s="73"/>
      <c r="I85" s="73">
        <f t="shared" si="7"/>
        <v>9208.7891215195341</v>
      </c>
      <c r="J85" s="74"/>
      <c r="K85" s="75"/>
    </row>
    <row r="86" spans="1:11" x14ac:dyDescent="0.25">
      <c r="A86" s="3" t="s">
        <v>20</v>
      </c>
      <c r="B86" s="83">
        <f>FDA_Proposed!B80</f>
        <v>548415</v>
      </c>
      <c r="C86" s="85">
        <v>425</v>
      </c>
      <c r="D86" s="83">
        <f t="shared" si="6"/>
        <v>233076375</v>
      </c>
      <c r="F86" s="70">
        <f>FDA_Proposed!B76</f>
        <v>30676100</v>
      </c>
      <c r="G86" s="77">
        <f>SUM(G82:G85)</f>
        <v>1</v>
      </c>
      <c r="H86" s="78"/>
      <c r="I86" s="73"/>
      <c r="J86" s="75"/>
      <c r="K86" s="75"/>
    </row>
    <row r="87" spans="1:11" x14ac:dyDescent="0.25">
      <c r="A87" s="3" t="s">
        <v>21</v>
      </c>
      <c r="B87" s="83">
        <f>FDA_Proposed!B82</f>
        <v>68760</v>
      </c>
      <c r="C87" s="85">
        <v>425</v>
      </c>
      <c r="D87" s="83">
        <f t="shared" si="6"/>
        <v>29223000</v>
      </c>
      <c r="F87" s="70">
        <f>SUM(B82:B84)</f>
        <v>30676100</v>
      </c>
      <c r="G87" s="75"/>
      <c r="H87" s="75"/>
      <c r="I87" s="75"/>
      <c r="J87" s="75"/>
      <c r="K87" s="75"/>
    </row>
    <row r="88" spans="1:11" x14ac:dyDescent="0.25">
      <c r="A88" s="3" t="s">
        <v>22</v>
      </c>
      <c r="B88" s="83">
        <f>FDA_Proposed!B81</f>
        <v>1143931</v>
      </c>
      <c r="C88" s="85">
        <v>140</v>
      </c>
      <c r="D88" s="83">
        <f t="shared" si="6"/>
        <v>160150340</v>
      </c>
    </row>
    <row r="89" spans="1:11" x14ac:dyDescent="0.25">
      <c r="A89" s="3" t="s">
        <v>23</v>
      </c>
      <c r="B89" s="83">
        <v>0</v>
      </c>
      <c r="C89" s="85">
        <v>140</v>
      </c>
      <c r="D89" s="83">
        <f t="shared" si="6"/>
        <v>0</v>
      </c>
    </row>
    <row r="90" spans="1:11" x14ac:dyDescent="0.25">
      <c r="A90" s="3" t="s">
        <v>36</v>
      </c>
      <c r="B90" s="83">
        <f>FDA_Proposed!B79</f>
        <v>9346000</v>
      </c>
      <c r="C90" s="85">
        <v>425</v>
      </c>
      <c r="D90" s="83">
        <f t="shared" si="6"/>
        <v>3972050000</v>
      </c>
    </row>
    <row r="91" spans="1:11" x14ac:dyDescent="0.25">
      <c r="A91" s="47" t="s">
        <v>97</v>
      </c>
      <c r="B91" s="131"/>
      <c r="C91" s="131"/>
      <c r="D91" s="82">
        <f>D92-D93+D94-D95+D96+D97</f>
        <v>8983596815</v>
      </c>
    </row>
    <row r="92" spans="1:11" x14ac:dyDescent="0.25">
      <c r="A92" s="3" t="s">
        <v>24</v>
      </c>
      <c r="B92" s="83">
        <f>FDA_Proposed!B84</f>
        <v>118303900</v>
      </c>
      <c r="C92" s="85">
        <v>65</v>
      </c>
      <c r="D92" s="83">
        <f t="shared" ref="D92:D97" si="8">B92*C92</f>
        <v>7689753500</v>
      </c>
    </row>
    <row r="93" spans="1:11" x14ac:dyDescent="0.25">
      <c r="A93" s="3" t="s">
        <v>25</v>
      </c>
      <c r="B93" s="83">
        <f>FDA_Proposed!B86</f>
        <v>848779</v>
      </c>
      <c r="C93" s="85">
        <v>65</v>
      </c>
      <c r="D93" s="83">
        <f t="shared" si="8"/>
        <v>55170635</v>
      </c>
    </row>
    <row r="94" spans="1:11" x14ac:dyDescent="0.25">
      <c r="A94" s="3" t="s">
        <v>26</v>
      </c>
      <c r="B94" s="83">
        <f>FDA_Proposed!B91</f>
        <v>12305</v>
      </c>
      <c r="C94" s="85">
        <v>65</v>
      </c>
      <c r="D94" s="83">
        <f t="shared" si="8"/>
        <v>799825</v>
      </c>
    </row>
    <row r="95" spans="1:11" x14ac:dyDescent="0.25">
      <c r="A95" s="3" t="s">
        <v>27</v>
      </c>
      <c r="B95" s="83">
        <f>SUM(FDA_Proposed!B87:B90)</f>
        <v>4750738</v>
      </c>
      <c r="C95" s="85">
        <v>25</v>
      </c>
      <c r="D95" s="83">
        <f t="shared" si="8"/>
        <v>118768450</v>
      </c>
    </row>
    <row r="96" spans="1:11" x14ac:dyDescent="0.25">
      <c r="A96" s="3" t="s">
        <v>28</v>
      </c>
      <c r="B96" s="83">
        <f>FDA_Proposed!B92</f>
        <v>23303</v>
      </c>
      <c r="C96" s="85">
        <v>25</v>
      </c>
      <c r="D96" s="83">
        <f t="shared" si="8"/>
        <v>582575</v>
      </c>
    </row>
    <row r="97" spans="1:4" x14ac:dyDescent="0.25">
      <c r="A97" s="3" t="s">
        <v>29</v>
      </c>
      <c r="B97" s="83">
        <f>FDA_Proposed!B85</f>
        <v>6110000</v>
      </c>
      <c r="C97" s="85">
        <v>240</v>
      </c>
      <c r="D97" s="83">
        <f t="shared" si="8"/>
        <v>1466400000</v>
      </c>
    </row>
    <row r="98" spans="1:4" x14ac:dyDescent="0.25">
      <c r="A98" s="47" t="s">
        <v>98</v>
      </c>
      <c r="B98" s="131"/>
      <c r="C98" s="131"/>
      <c r="D98" s="82">
        <f>D99+D100-D101+D102</f>
        <v>10555391714</v>
      </c>
    </row>
    <row r="99" spans="1:4" x14ac:dyDescent="0.25">
      <c r="A99" s="3" t="s">
        <v>32</v>
      </c>
      <c r="B99" s="83">
        <f>FDA_Proposed!B94</f>
        <v>8908986000</v>
      </c>
      <c r="C99" s="85">
        <v>1</v>
      </c>
      <c r="D99" s="83">
        <f t="shared" ref="D99:D102" si="9">B99*C99</f>
        <v>8908986000</v>
      </c>
    </row>
    <row r="100" spans="1:4" x14ac:dyDescent="0.25">
      <c r="A100" s="3" t="s">
        <v>3</v>
      </c>
      <c r="B100" s="83">
        <f>FDA_Proposed!B100</f>
        <v>243255000</v>
      </c>
      <c r="C100" s="85">
        <v>6.5</v>
      </c>
      <c r="D100" s="83">
        <f t="shared" si="9"/>
        <v>1581157500</v>
      </c>
    </row>
    <row r="101" spans="1:4" x14ac:dyDescent="0.25">
      <c r="A101" s="3" t="s">
        <v>30</v>
      </c>
      <c r="B101" s="83">
        <f>SUM(FDA_Proposed!B95:B96,FDA_Proposed!B101:B102)</f>
        <v>15359290</v>
      </c>
      <c r="C101" s="85">
        <v>1</v>
      </c>
      <c r="D101" s="83">
        <f t="shared" si="9"/>
        <v>15359290</v>
      </c>
    </row>
    <row r="102" spans="1:4" x14ac:dyDescent="0.25">
      <c r="A102" s="3" t="s">
        <v>31</v>
      </c>
      <c r="B102" s="83">
        <f>SUM(FDA_Proposed!B97:B98,FDA_Proposed!B103:B104)</f>
        <v>80607504</v>
      </c>
      <c r="C102" s="85">
        <v>1</v>
      </c>
      <c r="D102" s="83">
        <f t="shared" si="9"/>
        <v>80607504</v>
      </c>
    </row>
    <row r="104" spans="1:4" x14ac:dyDescent="0.25">
      <c r="A104" s="43" t="s">
        <v>99</v>
      </c>
    </row>
    <row r="105" spans="1:4" x14ac:dyDescent="0.25">
      <c r="A105" s="47" t="s">
        <v>98</v>
      </c>
      <c r="B105" s="128"/>
      <c r="C105" s="130"/>
      <c r="D105" s="82">
        <f>SUM(D106,D110)</f>
        <v>10555391714</v>
      </c>
    </row>
    <row r="106" spans="1:4" x14ac:dyDescent="0.25">
      <c r="A106" s="47" t="s">
        <v>32</v>
      </c>
      <c r="B106" s="128"/>
      <c r="C106" s="130"/>
      <c r="D106" s="82">
        <f>D107-D108+D109</f>
        <v>8972160080</v>
      </c>
    </row>
    <row r="107" spans="1:4" x14ac:dyDescent="0.25">
      <c r="A107" s="3" t="s">
        <v>37</v>
      </c>
      <c r="B107" s="83">
        <f>FDA_Proposed!B94</f>
        <v>8908986000</v>
      </c>
      <c r="C107" s="85">
        <v>1</v>
      </c>
      <c r="D107" s="83">
        <f>B107*C107</f>
        <v>8908986000</v>
      </c>
    </row>
    <row r="108" spans="1:4" x14ac:dyDescent="0.25">
      <c r="A108" s="3" t="s">
        <v>38</v>
      </c>
      <c r="B108" s="83">
        <f>SUM(FDA_Proposed!B95:B96)</f>
        <v>5579681</v>
      </c>
      <c r="C108" s="85">
        <v>1</v>
      </c>
      <c r="D108" s="83">
        <f>B108*C108</f>
        <v>5579681</v>
      </c>
    </row>
    <row r="109" spans="1:4" x14ac:dyDescent="0.25">
      <c r="A109" s="3" t="s">
        <v>39</v>
      </c>
      <c r="B109" s="83">
        <f>SUM(FDA_Proposed!B97:B98)</f>
        <v>68753761</v>
      </c>
      <c r="C109" s="85">
        <v>1</v>
      </c>
      <c r="D109" s="83">
        <f>B109*C109</f>
        <v>68753761</v>
      </c>
    </row>
    <row r="110" spans="1:4" x14ac:dyDescent="0.25">
      <c r="A110" s="47" t="s">
        <v>3</v>
      </c>
      <c r="B110" s="128"/>
      <c r="C110" s="130"/>
      <c r="D110" s="82">
        <f>D111-D112+D113</f>
        <v>1583231634</v>
      </c>
    </row>
    <row r="111" spans="1:4" x14ac:dyDescent="0.25">
      <c r="A111" s="3" t="s">
        <v>37</v>
      </c>
      <c r="B111" s="83">
        <f>FDA_Proposed!B100</f>
        <v>243255000</v>
      </c>
      <c r="C111" s="85">
        <v>6.5</v>
      </c>
      <c r="D111" s="83">
        <f>B111*C111</f>
        <v>1581157500</v>
      </c>
    </row>
    <row r="112" spans="1:4" x14ac:dyDescent="0.25">
      <c r="A112" s="3" t="s">
        <v>38</v>
      </c>
      <c r="B112" s="83">
        <f>SUM(FDA_Proposed!B101:B102)</f>
        <v>9779609</v>
      </c>
      <c r="C112" s="85">
        <v>1</v>
      </c>
      <c r="D112" s="83">
        <f>B112*C112</f>
        <v>9779609</v>
      </c>
    </row>
    <row r="113" spans="1:4" x14ac:dyDescent="0.25">
      <c r="A113" s="3" t="s">
        <v>39</v>
      </c>
      <c r="B113" s="83">
        <f>SUM(FDA_Proposed!B103:B104)</f>
        <v>11853743</v>
      </c>
      <c r="C113" s="85">
        <v>1</v>
      </c>
      <c r="D113" s="83">
        <f>B113*C113</f>
        <v>11853743</v>
      </c>
    </row>
  </sheetData>
  <mergeCells count="21">
    <mergeCell ref="B1:D1"/>
    <mergeCell ref="B3:C3"/>
    <mergeCell ref="B32:C32"/>
    <mergeCell ref="B28:C28"/>
    <mergeCell ref="B20:C20"/>
    <mergeCell ref="B13:C13"/>
    <mergeCell ref="B27:C27"/>
    <mergeCell ref="B40:D40"/>
    <mergeCell ref="B42:C42"/>
    <mergeCell ref="B52:C52"/>
    <mergeCell ref="B59:C59"/>
    <mergeCell ref="B66:C66"/>
    <mergeCell ref="B98:C98"/>
    <mergeCell ref="B105:C105"/>
    <mergeCell ref="B106:C106"/>
    <mergeCell ref="B110:C110"/>
    <mergeCell ref="B67:C67"/>
    <mergeCell ref="B71:C71"/>
    <mergeCell ref="B79:D79"/>
    <mergeCell ref="B81:C81"/>
    <mergeCell ref="B91:C91"/>
  </mergeCells>
  <dataValidations count="8">
    <dataValidation allowBlank="1" showInputMessage="1" showErrorMessage="1" promptTitle="Slaughter cows" prompt="Please enter &quot;federally inspected slaughter in 2018  - steers&quot;  from USDA NASS Livestock Slaughter 2018 Summary." sqref="F4 F43 F82" xr:uid="{B8954B8F-934F-481A-93B3-AA623E30320F}"/>
    <dataValidation allowBlank="1" showInputMessage="1" showErrorMessage="1" promptTitle="Slaughtered heifers" prompt="Please enter &quot;federally inspected slaughter in 2018 - heifers&quot;  from USDA NASS Livestock Slaughter 2018 Summary." sqref="F5 F44 F83" xr:uid="{DB7D6400-0674-43E1-BA32-35F1BA76BA03}"/>
    <dataValidation allowBlank="1" showInputMessage="1" showErrorMessage="1" promptTitle="Slaughtered bullocks and bulls" prompt="Please enter &quot;federally inspected slaughter in 2018  - all cows&quot;  from USDA NASS Livestock Slaughter 2018 Summary." sqref="F6 F45 F84" xr:uid="{9C128D88-2189-4117-9BBA-52C9E429434C}"/>
    <dataValidation allowBlank="1" showInputMessage="1" showErrorMessage="1" promptTitle="Slaughtered bullocks and bulls" prompt="Please enter &quot;federally inspected slaughter in 2018  - bulls&quot;  from USDA NASS Livestock Slaughter 2018 Summary." sqref="F7 F46 F85" xr:uid="{B2539C9A-88DF-4407-B554-A38E215761C9}"/>
    <dataValidation allowBlank="1" showInputMessage="1" showErrorMessage="1" promptTitle="Slaughtered cattle" prompt="Please go to &quot;START HERE&quot;." sqref="B4:B6 B43:B45 B82:B84" xr:uid="{F934A0B3-17C3-4073-A610-D81EA07F361A}"/>
    <dataValidation allowBlank="1" showInputMessage="1" showErrorMessage="1" promptTitle="Control check" prompt="After you fill in, the values in cells F8 and F9 should be equal, both representing the population value for slaughtered cattle in FDA_Proposed (cell B4)." sqref="F9" xr:uid="{84833DF2-2E34-4C80-BB2A-D6838BDA88BF}"/>
    <dataValidation allowBlank="1" showInputMessage="1" showErrorMessage="1" promptTitle="Control check" prompt="After you fill in, the values in cells F47 and F48 should be equal, both representing the population value for slaughtered cattle in FDA_Proposed (cell B41)." sqref="F48" xr:uid="{B6240E01-66BF-4B7E-8E33-F8048C7C027D}"/>
    <dataValidation allowBlank="1" showInputMessage="1" showErrorMessage="1" promptTitle="Control check" prompt="After you fill in, the values in cells F86 and F57 should be equal, both representing the population value for slaughtered cattle in FDA_Proposed (cell B78)." sqref="F87" xr:uid="{DE803C09-3841-4EDC-AFA0-2F9FE58C8C84}"/>
  </dataValidations>
  <pageMargins left="0.7" right="0.7" top="0.75" bottom="0.75" header="0.3" footer="0.3"/>
  <pageSetup orientation="portrait" r:id="rId1"/>
  <ignoredErrors>
    <ignoredError sqref="D32 D20 D13 D52:D73 D91:D102 D110" formula="1"/>
    <ignoredError sqref="B30:B31 B34:B35 B17 B56:C74 C112 C111 C113 C109 C108 C107 B110:C110 B106:C106 B95:C105 B109 B112 B107 B108 B113 B1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7ED4-5120-4543-9955-9C97351681C8}">
  <dimension ref="A1:I146"/>
  <sheetViews>
    <sheetView topLeftCell="A73" zoomScaleNormal="100" workbookViewId="0">
      <selection activeCell="C11" sqref="C11"/>
    </sheetView>
  </sheetViews>
  <sheetFormatPr defaultColWidth="9.140625" defaultRowHeight="15" x14ac:dyDescent="0.25"/>
  <cols>
    <col min="1" max="1" width="43.42578125" style="2" bestFit="1" customWidth="1"/>
    <col min="2" max="4" width="20.7109375" style="2" customWidth="1"/>
    <col min="5" max="8" width="9.140625" style="2"/>
    <col min="9" max="9" width="11.140625" style="2" bestFit="1" customWidth="1"/>
    <col min="10" max="16384" width="9.140625" style="2"/>
  </cols>
  <sheetData>
    <row r="1" spans="1:9" x14ac:dyDescent="0.25">
      <c r="A1" s="1">
        <v>2018</v>
      </c>
      <c r="B1" s="132" t="s">
        <v>18</v>
      </c>
      <c r="C1" s="132"/>
      <c r="D1" s="132"/>
    </row>
    <row r="2" spans="1:9" x14ac:dyDescent="0.25">
      <c r="A2" s="1" t="s">
        <v>5</v>
      </c>
      <c r="B2" s="1" t="s">
        <v>6</v>
      </c>
      <c r="C2" s="1" t="s">
        <v>7</v>
      </c>
      <c r="D2" s="1" t="s">
        <v>10</v>
      </c>
    </row>
    <row r="3" spans="1:9" x14ac:dyDescent="0.25">
      <c r="A3" s="47" t="s">
        <v>0</v>
      </c>
      <c r="B3" s="124"/>
      <c r="C3" s="124"/>
      <c r="D3" s="82">
        <f>D4+D5+D6+D7-D8+D9+D10+D11+D12</f>
        <v>37289632383.812782</v>
      </c>
    </row>
    <row r="4" spans="1:9" x14ac:dyDescent="0.25">
      <c r="A4" s="3" t="s">
        <v>100</v>
      </c>
      <c r="B4" s="83">
        <f>ESVAC!B4</f>
        <v>6287579.7116691573</v>
      </c>
      <c r="C4" s="85">
        <v>600</v>
      </c>
      <c r="D4" s="83">
        <f t="shared" ref="D4:D11" si="0">B4*C4</f>
        <v>3772547827.0014944</v>
      </c>
    </row>
    <row r="5" spans="1:9" x14ac:dyDescent="0.25">
      <c r="A5" s="3" t="s">
        <v>101</v>
      </c>
      <c r="B5" s="83">
        <f>ESVAC!B5</f>
        <v>9330751.5987969823</v>
      </c>
      <c r="C5" s="85">
        <v>200</v>
      </c>
      <c r="D5" s="83">
        <f t="shared" si="0"/>
        <v>1866150319.7593966</v>
      </c>
    </row>
    <row r="6" spans="1:9" x14ac:dyDescent="0.25">
      <c r="A6" s="3" t="s">
        <v>102</v>
      </c>
      <c r="B6" s="83">
        <f>ESVAC!B6</f>
        <v>17481468.689533863</v>
      </c>
      <c r="C6" s="85">
        <v>425</v>
      </c>
      <c r="D6" s="83">
        <f t="shared" si="0"/>
        <v>7429624193.0518923</v>
      </c>
    </row>
    <row r="7" spans="1:9" x14ac:dyDescent="0.25">
      <c r="A7" s="3" t="s">
        <v>103</v>
      </c>
      <c r="B7" s="83">
        <f>FDA_Proposed!B5</f>
        <v>603600</v>
      </c>
      <c r="C7" s="85">
        <v>249</v>
      </c>
      <c r="D7" s="83">
        <f t="shared" si="0"/>
        <v>150296400</v>
      </c>
    </row>
    <row r="8" spans="1:9" x14ac:dyDescent="0.25">
      <c r="A8" s="3" t="s">
        <v>104</v>
      </c>
      <c r="B8" s="83">
        <f>SUM(FDA_Proposed!B8:B9)</f>
        <v>1888094</v>
      </c>
      <c r="C8" s="85">
        <v>249</v>
      </c>
      <c r="D8" s="83">
        <f t="shared" si="0"/>
        <v>470135406</v>
      </c>
    </row>
    <row r="9" spans="1:9" x14ac:dyDescent="0.25">
      <c r="A9" s="3" t="s">
        <v>105</v>
      </c>
      <c r="B9" s="83">
        <f>FDA_Proposed!B10</f>
        <v>243586</v>
      </c>
      <c r="C9" s="85">
        <v>425</v>
      </c>
      <c r="D9" s="83">
        <f t="shared" si="0"/>
        <v>103524050</v>
      </c>
      <c r="I9" s="10"/>
    </row>
    <row r="10" spans="1:9" x14ac:dyDescent="0.25">
      <c r="A10" s="3" t="s">
        <v>106</v>
      </c>
      <c r="B10" s="83">
        <v>0</v>
      </c>
      <c r="C10" s="85">
        <v>249</v>
      </c>
      <c r="D10" s="83">
        <f t="shared" si="0"/>
        <v>0</v>
      </c>
    </row>
    <row r="11" spans="1:9" x14ac:dyDescent="0.25">
      <c r="A11" s="3" t="s">
        <v>78</v>
      </c>
      <c r="B11" s="83">
        <f>FDA_Proposed!B6</f>
        <v>31765700</v>
      </c>
      <c r="C11" s="85">
        <v>600</v>
      </c>
      <c r="D11" s="83">
        <f t="shared" si="0"/>
        <v>19059420000</v>
      </c>
    </row>
    <row r="12" spans="1:9" x14ac:dyDescent="0.25">
      <c r="A12" s="3" t="s">
        <v>36</v>
      </c>
      <c r="B12" s="83">
        <f>FDA_Proposed!B7</f>
        <v>9353400</v>
      </c>
      <c r="C12" s="85">
        <v>575</v>
      </c>
      <c r="D12" s="83">
        <f t="shared" ref="D12:D17" si="1">B12*C12</f>
        <v>5378205000</v>
      </c>
    </row>
    <row r="13" spans="1:9" x14ac:dyDescent="0.25">
      <c r="A13" s="47" t="s">
        <v>97</v>
      </c>
      <c r="B13" s="131"/>
      <c r="C13" s="131"/>
      <c r="D13" s="82">
        <f>D14-D15+D16+D17+D18</f>
        <v>9273549298</v>
      </c>
    </row>
    <row r="14" spans="1:9" x14ac:dyDescent="0.25">
      <c r="A14" s="3" t="s">
        <v>107</v>
      </c>
      <c r="B14" s="83">
        <f>FDA_Proposed!B12</f>
        <v>124512300</v>
      </c>
      <c r="C14" s="85">
        <v>65</v>
      </c>
      <c r="D14" s="83">
        <f t="shared" si="1"/>
        <v>8093299500</v>
      </c>
    </row>
    <row r="15" spans="1:9" x14ac:dyDescent="0.25">
      <c r="A15" s="3" t="s">
        <v>108</v>
      </c>
      <c r="B15" s="83">
        <f>SUM(FDA_Proposed!B14:B18)</f>
        <v>5209934</v>
      </c>
      <c r="C15" s="85">
        <v>65</v>
      </c>
      <c r="D15" s="83">
        <f t="shared" si="1"/>
        <v>338645710</v>
      </c>
    </row>
    <row r="16" spans="1:9" x14ac:dyDescent="0.25">
      <c r="A16" s="3" t="s">
        <v>109</v>
      </c>
      <c r="B16" s="83">
        <f>FDA_Proposed!B19</f>
        <v>8551</v>
      </c>
      <c r="C16" s="85">
        <v>65</v>
      </c>
      <c r="D16" s="83">
        <f t="shared" si="1"/>
        <v>555815</v>
      </c>
    </row>
    <row r="17" spans="1:4" x14ac:dyDescent="0.25">
      <c r="A17" s="3" t="s">
        <v>110</v>
      </c>
      <c r="B17" s="83">
        <f>FDA_Proposed!B20</f>
        <v>33231</v>
      </c>
      <c r="C17" s="85">
        <v>3</v>
      </c>
      <c r="D17" s="83">
        <f t="shared" si="1"/>
        <v>99693</v>
      </c>
    </row>
    <row r="18" spans="1:4" x14ac:dyDescent="0.25">
      <c r="A18" s="3" t="s">
        <v>111</v>
      </c>
      <c r="B18" s="83">
        <f>FDA_Proposed!B13</f>
        <v>6326000</v>
      </c>
      <c r="C18" s="85">
        <v>240</v>
      </c>
      <c r="D18" s="83">
        <f>B18*C18</f>
        <v>1518240000</v>
      </c>
    </row>
    <row r="19" spans="1:4" x14ac:dyDescent="0.25">
      <c r="A19" s="47" t="s">
        <v>98</v>
      </c>
      <c r="B19" s="86"/>
      <c r="C19" s="86"/>
      <c r="D19" s="82">
        <f>D20+D21-D22+D25</f>
        <v>12542875679.200001</v>
      </c>
    </row>
    <row r="20" spans="1:4" x14ac:dyDescent="0.25">
      <c r="A20" s="3" t="s">
        <v>112</v>
      </c>
      <c r="B20" s="83">
        <f>FDA_Proposed!B22</f>
        <v>9160910000</v>
      </c>
      <c r="C20" s="85">
        <v>1.2</v>
      </c>
      <c r="D20" s="83">
        <f>B20*C20</f>
        <v>10993092000</v>
      </c>
    </row>
    <row r="21" spans="1:4" x14ac:dyDescent="0.25">
      <c r="A21" s="3" t="s">
        <v>113</v>
      </c>
      <c r="B21" s="83">
        <f>FDA_Proposed!B28</f>
        <v>236860000</v>
      </c>
      <c r="C21" s="85">
        <v>6.5</v>
      </c>
      <c r="D21" s="83">
        <f>B21*C21</f>
        <v>1539590000</v>
      </c>
    </row>
    <row r="22" spans="1:4" x14ac:dyDescent="0.25">
      <c r="A22" s="3" t="s">
        <v>114</v>
      </c>
      <c r="B22" s="128"/>
      <c r="C22" s="130"/>
      <c r="D22" s="83">
        <f>SUM(D23:D24)</f>
        <v>4576954</v>
      </c>
    </row>
    <row r="23" spans="1:4" x14ac:dyDescent="0.25">
      <c r="A23" s="3" t="s">
        <v>116</v>
      </c>
      <c r="B23" s="83">
        <f>SUM(FDA_Proposed!B23,FDA_Proposed!B29)</f>
        <v>12294000</v>
      </c>
      <c r="C23" s="85">
        <v>0.2</v>
      </c>
      <c r="D23" s="83">
        <f>B23*C23</f>
        <v>2458800</v>
      </c>
    </row>
    <row r="24" spans="1:4" x14ac:dyDescent="0.25">
      <c r="A24" s="3" t="s">
        <v>117</v>
      </c>
      <c r="B24" s="83">
        <f>SUM(FDA_Proposed!B24,FDA_Proposed!B30)</f>
        <v>1059077</v>
      </c>
      <c r="C24" s="85">
        <v>2</v>
      </c>
      <c r="D24" s="83">
        <f>B24*C24</f>
        <v>2118154</v>
      </c>
    </row>
    <row r="25" spans="1:4" x14ac:dyDescent="0.25">
      <c r="A25" s="3" t="s">
        <v>115</v>
      </c>
      <c r="B25" s="128"/>
      <c r="C25" s="130"/>
      <c r="D25" s="83">
        <f>SUM(D26:D27)</f>
        <v>14770633.200000001</v>
      </c>
    </row>
    <row r="26" spans="1:4" x14ac:dyDescent="0.25">
      <c r="A26" s="3" t="s">
        <v>118</v>
      </c>
      <c r="B26" s="83">
        <f>SUM(FDA_Proposed!B25,FDA_Proposed!B31)</f>
        <v>68146626</v>
      </c>
      <c r="C26" s="85">
        <v>0.2</v>
      </c>
      <c r="D26" s="83">
        <f>B26*C26</f>
        <v>13629325.200000001</v>
      </c>
    </row>
    <row r="27" spans="1:4" x14ac:dyDescent="0.25">
      <c r="A27" s="3" t="s">
        <v>119</v>
      </c>
      <c r="B27" s="83">
        <f>SUM(FDA_Proposed!B26,FDA_Proposed!B32)</f>
        <v>570654</v>
      </c>
      <c r="C27" s="85">
        <v>2</v>
      </c>
      <c r="D27" s="83">
        <f>B27*C27</f>
        <v>1141308</v>
      </c>
    </row>
    <row r="28" spans="1:4" x14ac:dyDescent="0.25">
      <c r="A28" s="16"/>
      <c r="B28" s="16"/>
      <c r="C28" s="16"/>
      <c r="D28" s="16"/>
    </row>
    <row r="29" spans="1:4" x14ac:dyDescent="0.25">
      <c r="A29" s="43" t="s">
        <v>99</v>
      </c>
    </row>
    <row r="30" spans="1:4" x14ac:dyDescent="0.25">
      <c r="A30" s="47" t="s">
        <v>98</v>
      </c>
      <c r="B30" s="87"/>
      <c r="C30" s="88"/>
      <c r="D30" s="82">
        <f>SUM(D31,D39)</f>
        <v>12542875679.200001</v>
      </c>
    </row>
    <row r="31" spans="1:4" x14ac:dyDescent="0.25">
      <c r="A31" s="47" t="s">
        <v>2</v>
      </c>
      <c r="B31" s="87"/>
      <c r="C31" s="88"/>
      <c r="D31" s="82">
        <f>D32-D33+D36</f>
        <v>11004155003.800001</v>
      </c>
    </row>
    <row r="32" spans="1:4" x14ac:dyDescent="0.25">
      <c r="A32" s="3" t="s">
        <v>37</v>
      </c>
      <c r="B32" s="83">
        <f>FDA_Proposed!B22</f>
        <v>9160910000</v>
      </c>
      <c r="C32" s="85">
        <v>1.2</v>
      </c>
      <c r="D32" s="83">
        <f>B32*C32</f>
        <v>10993092000</v>
      </c>
    </row>
    <row r="33" spans="1:4" x14ac:dyDescent="0.25">
      <c r="A33" s="3" t="s">
        <v>38</v>
      </c>
      <c r="B33" s="128"/>
      <c r="C33" s="130"/>
      <c r="D33" s="83">
        <f>SUM(D34:D35)</f>
        <v>1238554.8</v>
      </c>
    </row>
    <row r="34" spans="1:4" x14ac:dyDescent="0.25">
      <c r="A34" s="3" t="s">
        <v>120</v>
      </c>
      <c r="B34" s="83">
        <f>FDA_Proposed!B23</f>
        <v>3954204</v>
      </c>
      <c r="C34" s="85">
        <v>0.2</v>
      </c>
      <c r="D34" s="83">
        <f>B34*C34</f>
        <v>790840.8</v>
      </c>
    </row>
    <row r="35" spans="1:4" x14ac:dyDescent="0.25">
      <c r="A35" s="3" t="s">
        <v>121</v>
      </c>
      <c r="B35" s="83">
        <f>FDA_Proposed!B24</f>
        <v>223857</v>
      </c>
      <c r="C35" s="85">
        <v>2</v>
      </c>
      <c r="D35" s="83">
        <f>B35*C35</f>
        <v>447714</v>
      </c>
    </row>
    <row r="36" spans="1:4" x14ac:dyDescent="0.25">
      <c r="A36" s="3" t="s">
        <v>39</v>
      </c>
      <c r="B36" s="128"/>
      <c r="C36" s="130"/>
      <c r="D36" s="83">
        <f>SUM(D37:D38)</f>
        <v>12301558.600000001</v>
      </c>
    </row>
    <row r="37" spans="1:4" x14ac:dyDescent="0.25">
      <c r="A37" s="3" t="s">
        <v>122</v>
      </c>
      <c r="B37" s="83">
        <f>FDA_Proposed!B25</f>
        <v>58678373</v>
      </c>
      <c r="C37" s="85">
        <v>0.2</v>
      </c>
      <c r="D37" s="83">
        <f>B37*C37</f>
        <v>11735674.600000001</v>
      </c>
    </row>
    <row r="38" spans="1:4" x14ac:dyDescent="0.25">
      <c r="A38" s="3" t="s">
        <v>123</v>
      </c>
      <c r="B38" s="83">
        <f>FDA_Proposed!B26</f>
        <v>282942</v>
      </c>
      <c r="C38" s="85">
        <v>2</v>
      </c>
      <c r="D38" s="83">
        <f>B38*C38</f>
        <v>565884</v>
      </c>
    </row>
    <row r="39" spans="1:4" x14ac:dyDescent="0.25">
      <c r="A39" s="47" t="s">
        <v>3</v>
      </c>
      <c r="B39" s="87"/>
      <c r="C39" s="88"/>
      <c r="D39" s="82">
        <f>D40-D41+D44</f>
        <v>1538720675.3999999</v>
      </c>
    </row>
    <row r="40" spans="1:4" x14ac:dyDescent="0.25">
      <c r="A40" s="3" t="s">
        <v>37</v>
      </c>
      <c r="B40" s="83">
        <f>FDA_Proposed!B28</f>
        <v>236860000</v>
      </c>
      <c r="C40" s="85">
        <v>6.5</v>
      </c>
      <c r="D40" s="83">
        <f>B40*C40</f>
        <v>1539590000</v>
      </c>
    </row>
    <row r="41" spans="1:4" x14ac:dyDescent="0.25">
      <c r="A41" s="3" t="s">
        <v>38</v>
      </c>
      <c r="B41" s="128"/>
      <c r="C41" s="130"/>
      <c r="D41" s="83">
        <f>SUM(D42:D43)</f>
        <v>3338399.2</v>
      </c>
    </row>
    <row r="42" spans="1:4" x14ac:dyDescent="0.25">
      <c r="A42" s="3" t="s">
        <v>120</v>
      </c>
      <c r="B42" s="83">
        <f>FDA_Proposed!B29</f>
        <v>8339796</v>
      </c>
      <c r="C42" s="85">
        <v>0.2</v>
      </c>
      <c r="D42" s="83">
        <f>B42*C42</f>
        <v>1667959.2000000002</v>
      </c>
    </row>
    <row r="43" spans="1:4" x14ac:dyDescent="0.25">
      <c r="A43" s="3" t="s">
        <v>121</v>
      </c>
      <c r="B43" s="83">
        <f>FDA_Proposed!B30</f>
        <v>835220</v>
      </c>
      <c r="C43" s="85">
        <v>2</v>
      </c>
      <c r="D43" s="83">
        <f>B43*C43</f>
        <v>1670440</v>
      </c>
    </row>
    <row r="44" spans="1:4" x14ac:dyDescent="0.25">
      <c r="A44" s="3" t="s">
        <v>39</v>
      </c>
      <c r="B44" s="128"/>
      <c r="C44" s="130"/>
      <c r="D44" s="83">
        <f>SUM(D45:D46)</f>
        <v>2469074.6</v>
      </c>
    </row>
    <row r="45" spans="1:4" x14ac:dyDescent="0.25">
      <c r="A45" s="3" t="s">
        <v>122</v>
      </c>
      <c r="B45" s="83">
        <f>FDA_Proposed!B31</f>
        <v>9468253</v>
      </c>
      <c r="C45" s="85">
        <v>0.2</v>
      </c>
      <c r="D45" s="83">
        <f>B45*C45</f>
        <v>1893650.6</v>
      </c>
    </row>
    <row r="46" spans="1:4" x14ac:dyDescent="0.25">
      <c r="A46" s="3" t="s">
        <v>123</v>
      </c>
      <c r="B46" s="83">
        <f>FDA_Proposed!B32</f>
        <v>287712</v>
      </c>
      <c r="C46" s="85">
        <v>2</v>
      </c>
      <c r="D46" s="83">
        <f>B46*C46</f>
        <v>575424</v>
      </c>
    </row>
    <row r="51" spans="1:4" x14ac:dyDescent="0.25">
      <c r="A51" s="1">
        <v>2017</v>
      </c>
      <c r="B51" s="132" t="s">
        <v>18</v>
      </c>
      <c r="C51" s="132"/>
      <c r="D51" s="132"/>
    </row>
    <row r="52" spans="1:4" x14ac:dyDescent="0.25">
      <c r="A52" s="1" t="s">
        <v>5</v>
      </c>
      <c r="B52" s="1" t="s">
        <v>6</v>
      </c>
      <c r="C52" s="1" t="s">
        <v>7</v>
      </c>
      <c r="D52" s="1" t="s">
        <v>10</v>
      </c>
    </row>
    <row r="53" spans="1:4" x14ac:dyDescent="0.25">
      <c r="A53" s="47" t="s">
        <v>0</v>
      </c>
      <c r="B53" s="124"/>
      <c r="C53" s="124"/>
      <c r="D53" s="82">
        <f>D54+D55+D56+D57-D58+D59+D60+D61+D62</f>
        <v>36847241185.209641</v>
      </c>
    </row>
    <row r="54" spans="1:4" x14ac:dyDescent="0.25">
      <c r="A54" s="3" t="s">
        <v>100</v>
      </c>
      <c r="B54" s="83">
        <f>ESVAC!B43</f>
        <v>5877410.1859678784</v>
      </c>
      <c r="C54" s="85">
        <v>600</v>
      </c>
      <c r="D54" s="83">
        <f t="shared" ref="D54:D61" si="2">B54*C54</f>
        <v>3526446111.5807271</v>
      </c>
    </row>
    <row r="55" spans="1:4" x14ac:dyDescent="0.25">
      <c r="A55" s="3" t="s">
        <v>101</v>
      </c>
      <c r="B55" s="83">
        <f>ESVAC!B44</f>
        <v>8767599.2814877424</v>
      </c>
      <c r="C55" s="85">
        <v>200</v>
      </c>
      <c r="D55" s="83">
        <f t="shared" si="2"/>
        <v>1753519856.2975485</v>
      </c>
    </row>
    <row r="56" spans="1:4" x14ac:dyDescent="0.25">
      <c r="A56" s="3" t="s">
        <v>102</v>
      </c>
      <c r="B56" s="83">
        <f>ESVAC!B45</f>
        <v>17635590.532544378</v>
      </c>
      <c r="C56" s="85">
        <v>425</v>
      </c>
      <c r="D56" s="83">
        <f t="shared" si="2"/>
        <v>7495125976.3313608</v>
      </c>
    </row>
    <row r="57" spans="1:4" x14ac:dyDescent="0.25">
      <c r="A57" s="3" t="s">
        <v>103</v>
      </c>
      <c r="B57" s="83">
        <f>FDA_Proposed!B41</f>
        <v>536800</v>
      </c>
      <c r="C57" s="85">
        <v>249</v>
      </c>
      <c r="D57" s="83">
        <f t="shared" si="2"/>
        <v>133663200</v>
      </c>
    </row>
    <row r="58" spans="1:4" x14ac:dyDescent="0.25">
      <c r="A58" s="3" t="s">
        <v>104</v>
      </c>
      <c r="B58" s="83">
        <f>SUM(FDA_Proposed!B44:B45)</f>
        <v>1794141</v>
      </c>
      <c r="C58" s="85">
        <v>249</v>
      </c>
      <c r="D58" s="83">
        <f t="shared" si="2"/>
        <v>446741109</v>
      </c>
    </row>
    <row r="59" spans="1:4" x14ac:dyDescent="0.25">
      <c r="A59" s="3" t="s">
        <v>105</v>
      </c>
      <c r="B59" s="83">
        <f>FDA_Proposed!B46</f>
        <v>193058</v>
      </c>
      <c r="C59" s="85">
        <v>425</v>
      </c>
      <c r="D59" s="83">
        <f t="shared" si="2"/>
        <v>82049650</v>
      </c>
    </row>
    <row r="60" spans="1:4" x14ac:dyDescent="0.25">
      <c r="A60" s="3" t="s">
        <v>106</v>
      </c>
      <c r="B60" s="83">
        <v>0</v>
      </c>
      <c r="C60" s="85">
        <v>249</v>
      </c>
      <c r="D60" s="83">
        <f t="shared" si="2"/>
        <v>0</v>
      </c>
    </row>
    <row r="61" spans="1:4" x14ac:dyDescent="0.25">
      <c r="A61" s="3" t="s">
        <v>78</v>
      </c>
      <c r="B61" s="83">
        <f>FDA_Proposed!B42</f>
        <v>31466200</v>
      </c>
      <c r="C61" s="85">
        <v>600</v>
      </c>
      <c r="D61" s="83">
        <f t="shared" si="2"/>
        <v>18879720000</v>
      </c>
    </row>
    <row r="62" spans="1:4" x14ac:dyDescent="0.25">
      <c r="A62" s="3" t="s">
        <v>36</v>
      </c>
      <c r="B62" s="83">
        <f>FDA_Proposed!B43</f>
        <v>9432100</v>
      </c>
      <c r="C62" s="85">
        <v>575</v>
      </c>
      <c r="D62" s="83">
        <f t="shared" ref="D62" si="3">B62*C62</f>
        <v>5423457500</v>
      </c>
    </row>
    <row r="63" spans="1:4" x14ac:dyDescent="0.25">
      <c r="A63" s="47" t="s">
        <v>97</v>
      </c>
      <c r="B63" s="131"/>
      <c r="C63" s="131"/>
      <c r="D63" s="82">
        <f>D64-D65+D66+D67+D68</f>
        <v>9014242607</v>
      </c>
    </row>
    <row r="64" spans="1:4" x14ac:dyDescent="0.25">
      <c r="A64" s="3" t="s">
        <v>107</v>
      </c>
      <c r="B64" s="83">
        <f>FDA_Proposed!B48</f>
        <v>121389700</v>
      </c>
      <c r="C64" s="85">
        <v>65</v>
      </c>
      <c r="D64" s="83">
        <f t="shared" ref="D64:D67" si="4">B64*C64</f>
        <v>7890330500</v>
      </c>
    </row>
    <row r="65" spans="1:4" x14ac:dyDescent="0.25">
      <c r="A65" s="3" t="s">
        <v>108</v>
      </c>
      <c r="B65" s="83">
        <f>SUM(FDA_Proposed!B50:B54)</f>
        <v>5537956</v>
      </c>
      <c r="C65" s="85">
        <v>65</v>
      </c>
      <c r="D65" s="83">
        <f t="shared" si="4"/>
        <v>359967140</v>
      </c>
    </row>
    <row r="66" spans="1:4" x14ac:dyDescent="0.25">
      <c r="A66" s="3" t="s">
        <v>109</v>
      </c>
      <c r="B66" s="83">
        <f>FDA_Proposed!B55</f>
        <v>13102</v>
      </c>
      <c r="C66" s="85">
        <v>65</v>
      </c>
      <c r="D66" s="83">
        <f t="shared" si="4"/>
        <v>851630</v>
      </c>
    </row>
    <row r="67" spans="1:4" x14ac:dyDescent="0.25">
      <c r="A67" s="3" t="s">
        <v>110</v>
      </c>
      <c r="B67" s="83">
        <f>FDA_Proposed!B56</f>
        <v>22539</v>
      </c>
      <c r="C67" s="85">
        <v>3</v>
      </c>
      <c r="D67" s="83">
        <f t="shared" si="4"/>
        <v>67617</v>
      </c>
    </row>
    <row r="68" spans="1:4" x14ac:dyDescent="0.25">
      <c r="A68" s="3" t="s">
        <v>111</v>
      </c>
      <c r="B68" s="83">
        <f>FDA_Proposed!B49</f>
        <v>6179000</v>
      </c>
      <c r="C68" s="85">
        <v>240</v>
      </c>
      <c r="D68" s="83">
        <f>B68*C68</f>
        <v>1482960000</v>
      </c>
    </row>
    <row r="69" spans="1:4" x14ac:dyDescent="0.25">
      <c r="A69" s="47" t="s">
        <v>98</v>
      </c>
      <c r="B69" s="86"/>
      <c r="C69" s="86"/>
      <c r="D69" s="82">
        <f>D70+D71-D72+D75</f>
        <v>12444912654.799999</v>
      </c>
    </row>
    <row r="70" spans="1:4" x14ac:dyDescent="0.25">
      <c r="A70" s="3" t="s">
        <v>112</v>
      </c>
      <c r="B70" s="83">
        <f>FDA_Proposed!B58</f>
        <v>9050702000</v>
      </c>
      <c r="C70" s="85">
        <v>1.2</v>
      </c>
      <c r="D70" s="83">
        <f>B70*C70</f>
        <v>10860842400</v>
      </c>
    </row>
    <row r="71" spans="1:4" x14ac:dyDescent="0.25">
      <c r="A71" s="3" t="s">
        <v>113</v>
      </c>
      <c r="B71" s="83">
        <f>FDA_Proposed!B64</f>
        <v>241680000</v>
      </c>
      <c r="C71" s="85">
        <v>6.5</v>
      </c>
      <c r="D71" s="83">
        <f>B71*C71</f>
        <v>1570920000</v>
      </c>
    </row>
    <row r="72" spans="1:4" x14ac:dyDescent="0.25">
      <c r="A72" s="3" t="s">
        <v>114</v>
      </c>
      <c r="B72" s="128"/>
      <c r="C72" s="130"/>
      <c r="D72" s="83">
        <f>SUM(D73:D74)</f>
        <v>4268839.5999999996</v>
      </c>
    </row>
    <row r="73" spans="1:4" x14ac:dyDescent="0.25">
      <c r="A73" s="3" t="s">
        <v>116</v>
      </c>
      <c r="B73" s="83">
        <f>SUM(FDA_Proposed!B59,FDA_Proposed!B65)</f>
        <v>11457168</v>
      </c>
      <c r="C73" s="85">
        <v>0.2</v>
      </c>
      <c r="D73" s="83">
        <f>B73*C73</f>
        <v>2291433.6</v>
      </c>
    </row>
    <row r="74" spans="1:4" x14ac:dyDescent="0.25">
      <c r="A74" s="3" t="s">
        <v>117</v>
      </c>
      <c r="B74" s="83">
        <f>SUM(FDA_Proposed!B60,FDA_Proposed!B66)</f>
        <v>988703</v>
      </c>
      <c r="C74" s="85">
        <v>2</v>
      </c>
      <c r="D74" s="83">
        <f>B74*C74</f>
        <v>1977406</v>
      </c>
    </row>
    <row r="75" spans="1:4" x14ac:dyDescent="0.25">
      <c r="A75" s="3" t="s">
        <v>115</v>
      </c>
      <c r="B75" s="128"/>
      <c r="C75" s="130"/>
      <c r="D75" s="83">
        <f>SUM(D76:D77)</f>
        <v>17419094.399999999</v>
      </c>
    </row>
    <row r="76" spans="1:4" x14ac:dyDescent="0.25">
      <c r="A76" s="3" t="s">
        <v>118</v>
      </c>
      <c r="B76" s="83">
        <f>SUM(FDA_Proposed!B61,FDA_Proposed!B67)</f>
        <v>78311682</v>
      </c>
      <c r="C76" s="85">
        <v>0.2</v>
      </c>
      <c r="D76" s="83">
        <f>B76*C76</f>
        <v>15662336.4</v>
      </c>
    </row>
    <row r="77" spans="1:4" x14ac:dyDescent="0.25">
      <c r="A77" s="3" t="s">
        <v>119</v>
      </c>
      <c r="B77" s="83">
        <f>SUM(FDA_Proposed!B62,FDA_Proposed!B68)</f>
        <v>878379</v>
      </c>
      <c r="C77" s="85">
        <v>2</v>
      </c>
      <c r="D77" s="83">
        <f>B77*C77</f>
        <v>1756758</v>
      </c>
    </row>
    <row r="78" spans="1:4" x14ac:dyDescent="0.25">
      <c r="A78" s="16"/>
      <c r="B78" s="16"/>
      <c r="C78" s="16"/>
      <c r="D78" s="16"/>
    </row>
    <row r="79" spans="1:4" x14ac:dyDescent="0.25">
      <c r="A79" s="43" t="s">
        <v>99</v>
      </c>
    </row>
    <row r="80" spans="1:4" x14ac:dyDescent="0.25">
      <c r="A80" s="47" t="s">
        <v>98</v>
      </c>
      <c r="B80" s="87"/>
      <c r="C80" s="88"/>
      <c r="D80" s="82">
        <f>SUM(D81,D89)</f>
        <v>12444912654.799999</v>
      </c>
    </row>
    <row r="81" spans="1:4" x14ac:dyDescent="0.25">
      <c r="A81" s="47" t="s">
        <v>2</v>
      </c>
      <c r="B81" s="87"/>
      <c r="C81" s="88"/>
      <c r="D81" s="82">
        <f>D82-D83+D86</f>
        <v>10874318498.199999</v>
      </c>
    </row>
    <row r="82" spans="1:4" x14ac:dyDescent="0.25">
      <c r="A82" s="3" t="s">
        <v>37</v>
      </c>
      <c r="B82" s="83">
        <f>FDA_Proposed!B58</f>
        <v>9050702000</v>
      </c>
      <c r="C82" s="85">
        <v>1.2</v>
      </c>
      <c r="D82" s="83">
        <f>B82*C82</f>
        <v>10860842400</v>
      </c>
    </row>
    <row r="83" spans="1:4" x14ac:dyDescent="0.25">
      <c r="A83" s="3" t="s">
        <v>38</v>
      </c>
      <c r="B83" s="128"/>
      <c r="C83" s="130"/>
      <c r="D83" s="83">
        <f>SUM(D84:D85)</f>
        <v>1465979.6</v>
      </c>
    </row>
    <row r="84" spans="1:4" x14ac:dyDescent="0.25">
      <c r="A84" s="3" t="s">
        <v>120</v>
      </c>
      <c r="B84" s="83">
        <f>FDA_Proposed!B59</f>
        <v>4598968</v>
      </c>
      <c r="C84" s="85">
        <v>0.2</v>
      </c>
      <c r="D84" s="83">
        <f>B84*C84</f>
        <v>919793.60000000009</v>
      </c>
    </row>
    <row r="85" spans="1:4" x14ac:dyDescent="0.25">
      <c r="A85" s="3" t="s">
        <v>121</v>
      </c>
      <c r="B85" s="83">
        <f>FDA_Proposed!B60</f>
        <v>273093</v>
      </c>
      <c r="C85" s="85">
        <v>2</v>
      </c>
      <c r="D85" s="83">
        <f>B85*C85</f>
        <v>546186</v>
      </c>
    </row>
    <row r="86" spans="1:4" x14ac:dyDescent="0.25">
      <c r="A86" s="3" t="s">
        <v>39</v>
      </c>
      <c r="B86" s="128"/>
      <c r="C86" s="130"/>
      <c r="D86" s="83">
        <f>SUM(D87:D88)</f>
        <v>14942077.800000001</v>
      </c>
    </row>
    <row r="87" spans="1:4" x14ac:dyDescent="0.25">
      <c r="A87" s="3" t="s">
        <v>122</v>
      </c>
      <c r="B87" s="83">
        <f>FDA_Proposed!B61</f>
        <v>68069679</v>
      </c>
      <c r="C87" s="85">
        <v>0.2</v>
      </c>
      <c r="D87" s="83">
        <f>B87*C87</f>
        <v>13613935.800000001</v>
      </c>
    </row>
    <row r="88" spans="1:4" x14ac:dyDescent="0.25">
      <c r="A88" s="3" t="s">
        <v>123</v>
      </c>
      <c r="B88" s="83">
        <f>FDA_Proposed!B62</f>
        <v>664071</v>
      </c>
      <c r="C88" s="85">
        <v>2</v>
      </c>
      <c r="D88" s="83">
        <f>B88*C88</f>
        <v>1328142</v>
      </c>
    </row>
    <row r="89" spans="1:4" x14ac:dyDescent="0.25">
      <c r="A89" s="47" t="s">
        <v>3</v>
      </c>
      <c r="B89" s="87"/>
      <c r="C89" s="88"/>
      <c r="D89" s="82">
        <f>D90-D91+D94</f>
        <v>1570594156.5999999</v>
      </c>
    </row>
    <row r="90" spans="1:4" x14ac:dyDescent="0.25">
      <c r="A90" s="3" t="s">
        <v>37</v>
      </c>
      <c r="B90" s="83">
        <f>FDA_Proposed!B64</f>
        <v>241680000</v>
      </c>
      <c r="C90" s="85">
        <v>6.5</v>
      </c>
      <c r="D90" s="83">
        <f>B90*C90</f>
        <v>1570920000</v>
      </c>
    </row>
    <row r="91" spans="1:4" x14ac:dyDescent="0.25">
      <c r="A91" s="3" t="s">
        <v>38</v>
      </c>
      <c r="B91" s="128"/>
      <c r="C91" s="130"/>
      <c r="D91" s="83">
        <f>SUM(D92:D93)</f>
        <v>2802860</v>
      </c>
    </row>
    <row r="92" spans="1:4" x14ac:dyDescent="0.25">
      <c r="A92" s="3" t="s">
        <v>120</v>
      </c>
      <c r="B92" s="83">
        <f>FDA_Proposed!B65</f>
        <v>6858200</v>
      </c>
      <c r="C92" s="85">
        <v>0.2</v>
      </c>
      <c r="D92" s="83">
        <f>B92*C92</f>
        <v>1371640</v>
      </c>
    </row>
    <row r="93" spans="1:4" x14ac:dyDescent="0.25">
      <c r="A93" s="3" t="s">
        <v>121</v>
      </c>
      <c r="B93" s="83">
        <f>FDA_Proposed!B66</f>
        <v>715610</v>
      </c>
      <c r="C93" s="85">
        <v>2</v>
      </c>
      <c r="D93" s="83">
        <f>B93*C93</f>
        <v>1431220</v>
      </c>
    </row>
    <row r="94" spans="1:4" x14ac:dyDescent="0.25">
      <c r="A94" s="3" t="s">
        <v>39</v>
      </c>
      <c r="B94" s="128"/>
      <c r="C94" s="130"/>
      <c r="D94" s="83">
        <f>SUM(D95:D96)</f>
        <v>2477016.6</v>
      </c>
    </row>
    <row r="95" spans="1:4" x14ac:dyDescent="0.25">
      <c r="A95" s="3" t="s">
        <v>122</v>
      </c>
      <c r="B95" s="83">
        <f>FDA_Proposed!B67</f>
        <v>10242003</v>
      </c>
      <c r="C95" s="85">
        <v>0.2</v>
      </c>
      <c r="D95" s="83">
        <f>B95*C95</f>
        <v>2048400.6</v>
      </c>
    </row>
    <row r="96" spans="1:4" x14ac:dyDescent="0.25">
      <c r="A96" s="3" t="s">
        <v>123</v>
      </c>
      <c r="B96" s="83">
        <f>FDA_Proposed!B68</f>
        <v>214308</v>
      </c>
      <c r="C96" s="85">
        <v>2</v>
      </c>
      <c r="D96" s="83">
        <f>B96*C96</f>
        <v>428616</v>
      </c>
    </row>
    <row r="101" spans="1:4" x14ac:dyDescent="0.25">
      <c r="A101" s="1">
        <v>2016</v>
      </c>
      <c r="B101" s="132" t="s">
        <v>18</v>
      </c>
      <c r="C101" s="132"/>
      <c r="D101" s="132"/>
    </row>
    <row r="102" spans="1:4" x14ac:dyDescent="0.25">
      <c r="A102" s="1" t="s">
        <v>5</v>
      </c>
      <c r="B102" s="1" t="s">
        <v>6</v>
      </c>
      <c r="C102" s="1" t="s">
        <v>7</v>
      </c>
      <c r="D102" s="1" t="s">
        <v>10</v>
      </c>
    </row>
    <row r="103" spans="1:4" x14ac:dyDescent="0.25">
      <c r="A103" s="47" t="s">
        <v>0</v>
      </c>
      <c r="B103" s="124"/>
      <c r="C103" s="124"/>
      <c r="D103" s="82">
        <f>D104+D105+D106+D107-D108+D109+D110+D111+D112</f>
        <v>36078003121.285995</v>
      </c>
    </row>
    <row r="104" spans="1:4" x14ac:dyDescent="0.25">
      <c r="A104" s="3" t="s">
        <v>100</v>
      </c>
      <c r="B104" s="83">
        <f>ESVAC!B82</f>
        <v>5529429.5445715515</v>
      </c>
      <c r="C104" s="85">
        <v>600</v>
      </c>
      <c r="D104" s="83">
        <f t="shared" ref="D104:D111" si="5">B104*C104</f>
        <v>3317657726.7429309</v>
      </c>
    </row>
    <row r="105" spans="1:4" x14ac:dyDescent="0.25">
      <c r="A105" s="3" t="s">
        <v>101</v>
      </c>
      <c r="B105" s="83">
        <f>ESVAC!B83</f>
        <v>7841558.6445067991</v>
      </c>
      <c r="C105" s="85">
        <v>200</v>
      </c>
      <c r="D105" s="83">
        <f t="shared" si="5"/>
        <v>1568311728.9013598</v>
      </c>
    </row>
    <row r="106" spans="1:4" x14ac:dyDescent="0.25">
      <c r="A106" s="3" t="s">
        <v>102</v>
      </c>
      <c r="B106" s="83">
        <f>ESVAC!B84</f>
        <v>17305111.81092165</v>
      </c>
      <c r="C106" s="85">
        <v>425</v>
      </c>
      <c r="D106" s="83">
        <f t="shared" si="5"/>
        <v>7354672519.6417017</v>
      </c>
    </row>
    <row r="107" spans="1:4" x14ac:dyDescent="0.25">
      <c r="A107" s="3" t="s">
        <v>103</v>
      </c>
      <c r="B107" s="83">
        <f>FDA_Proposed!B77</f>
        <v>512700</v>
      </c>
      <c r="C107" s="85">
        <v>249</v>
      </c>
      <c r="D107" s="83">
        <f t="shared" si="5"/>
        <v>127662300</v>
      </c>
    </row>
    <row r="108" spans="1:4" x14ac:dyDescent="0.25">
      <c r="A108" s="3" t="s">
        <v>104</v>
      </c>
      <c r="B108" s="83">
        <f>SUM(FDA_Proposed!B80:B81)</f>
        <v>1692346</v>
      </c>
      <c r="C108" s="85">
        <v>249</v>
      </c>
      <c r="D108" s="83">
        <f t="shared" si="5"/>
        <v>421394154</v>
      </c>
    </row>
    <row r="109" spans="1:4" x14ac:dyDescent="0.25">
      <c r="A109" s="3" t="s">
        <v>105</v>
      </c>
      <c r="B109" s="83">
        <f>FDA_Proposed!B82</f>
        <v>68760</v>
      </c>
      <c r="C109" s="85">
        <v>425</v>
      </c>
      <c r="D109" s="83">
        <f t="shared" si="5"/>
        <v>29223000</v>
      </c>
    </row>
    <row r="110" spans="1:4" x14ac:dyDescent="0.25">
      <c r="A110" s="3" t="s">
        <v>106</v>
      </c>
      <c r="B110" s="83">
        <v>0</v>
      </c>
      <c r="C110" s="85">
        <v>249</v>
      </c>
      <c r="D110" s="83">
        <f t="shared" si="5"/>
        <v>0</v>
      </c>
    </row>
    <row r="111" spans="1:4" x14ac:dyDescent="0.25">
      <c r="A111" s="3" t="s">
        <v>78</v>
      </c>
      <c r="B111" s="83">
        <f>FDA_Proposed!B78</f>
        <v>31213200</v>
      </c>
      <c r="C111" s="85">
        <v>600</v>
      </c>
      <c r="D111" s="83">
        <f t="shared" si="5"/>
        <v>18727920000</v>
      </c>
    </row>
    <row r="112" spans="1:4" x14ac:dyDescent="0.25">
      <c r="A112" s="3" t="s">
        <v>36</v>
      </c>
      <c r="B112" s="83">
        <f>FDA_Proposed!B79</f>
        <v>9346000</v>
      </c>
      <c r="C112" s="85">
        <v>575</v>
      </c>
      <c r="D112" s="83">
        <f t="shared" ref="D112" si="6">B112*C112</f>
        <v>5373950000</v>
      </c>
    </row>
    <row r="113" spans="1:4" x14ac:dyDescent="0.25">
      <c r="A113" s="47" t="s">
        <v>97</v>
      </c>
      <c r="B113" s="131"/>
      <c r="C113" s="131"/>
      <c r="D113" s="82">
        <f>D114-D115+D116+D117+D118</f>
        <v>8793054629</v>
      </c>
    </row>
    <row r="114" spans="1:4" x14ac:dyDescent="0.25">
      <c r="A114" s="3" t="s">
        <v>107</v>
      </c>
      <c r="B114" s="83">
        <f>FDA_Proposed!B84</f>
        <v>118303900</v>
      </c>
      <c r="C114" s="85">
        <v>65</v>
      </c>
      <c r="D114" s="83">
        <f t="shared" ref="D114:D117" si="7">B114*C114</f>
        <v>7689753500</v>
      </c>
    </row>
    <row r="115" spans="1:4" x14ac:dyDescent="0.25">
      <c r="A115" s="3" t="s">
        <v>108</v>
      </c>
      <c r="B115" s="83">
        <f>SUM(FDA_Proposed!B86:B90)</f>
        <v>5599517</v>
      </c>
      <c r="C115" s="85">
        <v>65</v>
      </c>
      <c r="D115" s="83">
        <f t="shared" si="7"/>
        <v>363968605</v>
      </c>
    </row>
    <row r="116" spans="1:4" x14ac:dyDescent="0.25">
      <c r="A116" s="3" t="s">
        <v>109</v>
      </c>
      <c r="B116" s="83">
        <f>FDA_Proposed!B91</f>
        <v>12305</v>
      </c>
      <c r="C116" s="85">
        <v>65</v>
      </c>
      <c r="D116" s="83">
        <f t="shared" si="7"/>
        <v>799825</v>
      </c>
    </row>
    <row r="117" spans="1:4" x14ac:dyDescent="0.25">
      <c r="A117" s="3" t="s">
        <v>110</v>
      </c>
      <c r="B117" s="83">
        <f>FDA_Proposed!B92</f>
        <v>23303</v>
      </c>
      <c r="C117" s="85">
        <v>3</v>
      </c>
      <c r="D117" s="83">
        <f t="shared" si="7"/>
        <v>69909</v>
      </c>
    </row>
    <row r="118" spans="1:4" x14ac:dyDescent="0.25">
      <c r="A118" s="3" t="s">
        <v>111</v>
      </c>
      <c r="B118" s="83">
        <f>FDA_Proposed!B85</f>
        <v>6110000</v>
      </c>
      <c r="C118" s="85">
        <v>240</v>
      </c>
      <c r="D118" s="83">
        <f>B118*C118</f>
        <v>1466400000</v>
      </c>
    </row>
    <row r="119" spans="1:4" x14ac:dyDescent="0.25">
      <c r="A119" s="47" t="s">
        <v>98</v>
      </c>
      <c r="B119" s="86"/>
      <c r="C119" s="86"/>
      <c r="D119" s="82">
        <f>D120+D121-D122+D125</f>
        <v>12284668000.6</v>
      </c>
    </row>
    <row r="120" spans="1:4" x14ac:dyDescent="0.25">
      <c r="A120" s="3" t="s">
        <v>112</v>
      </c>
      <c r="B120" s="83">
        <f>FDA_Proposed!B94</f>
        <v>8908986000</v>
      </c>
      <c r="C120" s="85">
        <v>1.2</v>
      </c>
      <c r="D120" s="83">
        <f>B120*C120</f>
        <v>10690783200</v>
      </c>
    </row>
    <row r="121" spans="1:4" x14ac:dyDescent="0.25">
      <c r="A121" s="3" t="s">
        <v>113</v>
      </c>
      <c r="B121" s="83">
        <f>FDA_Proposed!B100</f>
        <v>243255000</v>
      </c>
      <c r="C121" s="85">
        <v>6.5</v>
      </c>
      <c r="D121" s="83">
        <f>B121*C121</f>
        <v>1581157500</v>
      </c>
    </row>
    <row r="122" spans="1:4" x14ac:dyDescent="0.25">
      <c r="A122" s="3" t="s">
        <v>114</v>
      </c>
      <c r="B122" s="128"/>
      <c r="C122" s="130"/>
      <c r="D122" s="83">
        <f>SUM(D123:D124)</f>
        <v>4867782.8000000007</v>
      </c>
    </row>
    <row r="123" spans="1:4" x14ac:dyDescent="0.25">
      <c r="A123" s="3" t="s">
        <v>116</v>
      </c>
      <c r="B123" s="83">
        <f>SUM(FDA_Proposed!B95,FDA_Proposed!B101)</f>
        <v>14361554</v>
      </c>
      <c r="C123" s="85">
        <v>0.2</v>
      </c>
      <c r="D123" s="83">
        <f>B123*C123</f>
        <v>2872310.8000000003</v>
      </c>
    </row>
    <row r="124" spans="1:4" x14ac:dyDescent="0.25">
      <c r="A124" s="3" t="s">
        <v>117</v>
      </c>
      <c r="B124" s="83">
        <f>SUM(FDA_Proposed!B96,FDA_Proposed!B102)</f>
        <v>997736</v>
      </c>
      <c r="C124" s="85">
        <v>2</v>
      </c>
      <c r="D124" s="83">
        <f>B124*C124</f>
        <v>1995472</v>
      </c>
    </row>
    <row r="125" spans="1:4" x14ac:dyDescent="0.25">
      <c r="A125" s="3" t="s">
        <v>115</v>
      </c>
      <c r="B125" s="128"/>
      <c r="C125" s="130"/>
      <c r="D125" s="83">
        <f>SUM(D126:D127)</f>
        <v>17595083.399999999</v>
      </c>
    </row>
    <row r="126" spans="1:4" x14ac:dyDescent="0.25">
      <c r="A126" s="3" t="s">
        <v>118</v>
      </c>
      <c r="B126" s="83">
        <f>SUM(FDA_Proposed!B97,FDA_Proposed!B103)</f>
        <v>79788847</v>
      </c>
      <c r="C126" s="85">
        <v>0.2</v>
      </c>
      <c r="D126" s="83">
        <f>B126*C126</f>
        <v>15957769.4</v>
      </c>
    </row>
    <row r="127" spans="1:4" x14ac:dyDescent="0.25">
      <c r="A127" s="3" t="s">
        <v>119</v>
      </c>
      <c r="B127" s="83">
        <f>SUM(FDA_Proposed!B98,FDA_Proposed!B104)</f>
        <v>818657</v>
      </c>
      <c r="C127" s="85">
        <v>2</v>
      </c>
      <c r="D127" s="83">
        <f>B127*C127</f>
        <v>1637314</v>
      </c>
    </row>
    <row r="128" spans="1:4" x14ac:dyDescent="0.25">
      <c r="A128" s="16"/>
      <c r="B128" s="16"/>
      <c r="C128" s="16"/>
      <c r="D128" s="16"/>
    </row>
    <row r="129" spans="1:4" x14ac:dyDescent="0.25">
      <c r="A129" s="43" t="s">
        <v>99</v>
      </c>
    </row>
    <row r="130" spans="1:4" x14ac:dyDescent="0.25">
      <c r="A130" s="47" t="s">
        <v>98</v>
      </c>
      <c r="B130" s="87"/>
      <c r="C130" s="88"/>
      <c r="D130" s="82">
        <f>SUM(D131,D139)</f>
        <v>12284668000.6</v>
      </c>
    </row>
    <row r="131" spans="1:4" x14ac:dyDescent="0.25">
      <c r="A131" s="47" t="s">
        <v>2</v>
      </c>
      <c r="B131" s="87"/>
      <c r="C131" s="88"/>
      <c r="D131" s="82">
        <f>D132-D133+D136</f>
        <v>10703802773.200001</v>
      </c>
    </row>
    <row r="132" spans="1:4" x14ac:dyDescent="0.25">
      <c r="A132" s="3" t="s">
        <v>37</v>
      </c>
      <c r="B132" s="83">
        <f>FDA_Proposed!B94</f>
        <v>8908986000</v>
      </c>
      <c r="C132" s="85">
        <v>1.2</v>
      </c>
      <c r="D132" s="83">
        <f>B132*C132</f>
        <v>10690783200</v>
      </c>
    </row>
    <row r="133" spans="1:4" x14ac:dyDescent="0.25">
      <c r="A133" s="3" t="s">
        <v>38</v>
      </c>
      <c r="B133" s="128"/>
      <c r="C133" s="130"/>
      <c r="D133" s="83">
        <f>SUM(D134:D135)</f>
        <v>1556803</v>
      </c>
    </row>
    <row r="134" spans="1:4" x14ac:dyDescent="0.25">
      <c r="A134" s="3" t="s">
        <v>120</v>
      </c>
      <c r="B134" s="83">
        <f>FDA_Proposed!B95</f>
        <v>5334755</v>
      </c>
      <c r="C134" s="85">
        <v>0.2</v>
      </c>
      <c r="D134" s="83">
        <f>B134*C134</f>
        <v>1066951</v>
      </c>
    </row>
    <row r="135" spans="1:4" x14ac:dyDescent="0.25">
      <c r="A135" s="3" t="s">
        <v>121</v>
      </c>
      <c r="B135" s="83">
        <f>FDA_Proposed!B96</f>
        <v>244926</v>
      </c>
      <c r="C135" s="85">
        <v>2</v>
      </c>
      <c r="D135" s="83">
        <f>B135*C135</f>
        <v>489852</v>
      </c>
    </row>
    <row r="136" spans="1:4" x14ac:dyDescent="0.25">
      <c r="A136" s="3" t="s">
        <v>39</v>
      </c>
      <c r="B136" s="128"/>
      <c r="C136" s="130"/>
      <c r="D136" s="83">
        <f>SUM(D137:D138)</f>
        <v>14576376.200000001</v>
      </c>
    </row>
    <row r="137" spans="1:4" x14ac:dyDescent="0.25">
      <c r="A137" s="3" t="s">
        <v>122</v>
      </c>
      <c r="B137" s="83">
        <f>FDA_Proposed!B97</f>
        <v>68295081</v>
      </c>
      <c r="C137" s="85">
        <v>0.2</v>
      </c>
      <c r="D137" s="83">
        <f>B137*C137</f>
        <v>13659016.200000001</v>
      </c>
    </row>
    <row r="138" spans="1:4" x14ac:dyDescent="0.25">
      <c r="A138" s="3" t="s">
        <v>123</v>
      </c>
      <c r="B138" s="83">
        <f>FDA_Proposed!B98</f>
        <v>458680</v>
      </c>
      <c r="C138" s="85">
        <v>2</v>
      </c>
      <c r="D138" s="83">
        <f>B138*C138</f>
        <v>917360</v>
      </c>
    </row>
    <row r="139" spans="1:4" x14ac:dyDescent="0.25">
      <c r="A139" s="47" t="s">
        <v>3</v>
      </c>
      <c r="B139" s="87"/>
      <c r="C139" s="88"/>
      <c r="D139" s="82">
        <f>D140-D141+D144</f>
        <v>1580865227.4000001</v>
      </c>
    </row>
    <row r="140" spans="1:4" x14ac:dyDescent="0.25">
      <c r="A140" s="3" t="s">
        <v>37</v>
      </c>
      <c r="B140" s="83">
        <f>FDA_Proposed!B100</f>
        <v>243255000</v>
      </c>
      <c r="C140" s="85">
        <v>6.5</v>
      </c>
      <c r="D140" s="83">
        <f>B140*C140</f>
        <v>1581157500</v>
      </c>
    </row>
    <row r="141" spans="1:4" x14ac:dyDescent="0.25">
      <c r="A141" s="3" t="s">
        <v>38</v>
      </c>
      <c r="B141" s="128"/>
      <c r="C141" s="130"/>
      <c r="D141" s="83">
        <f>SUM(D142:D143)</f>
        <v>3310979.8</v>
      </c>
    </row>
    <row r="142" spans="1:4" x14ac:dyDescent="0.25">
      <c r="A142" s="3" t="s">
        <v>120</v>
      </c>
      <c r="B142" s="83">
        <f>FDA_Proposed!B101</f>
        <v>9026799</v>
      </c>
      <c r="C142" s="85">
        <v>0.2</v>
      </c>
      <c r="D142" s="83">
        <f>B142*C142</f>
        <v>1805359.8</v>
      </c>
    </row>
    <row r="143" spans="1:4" x14ac:dyDescent="0.25">
      <c r="A143" s="3" t="s">
        <v>121</v>
      </c>
      <c r="B143" s="83">
        <f>FDA_Proposed!B102</f>
        <v>752810</v>
      </c>
      <c r="C143" s="85">
        <v>2</v>
      </c>
      <c r="D143" s="83">
        <f>B143*C143</f>
        <v>1505620</v>
      </c>
    </row>
    <row r="144" spans="1:4" x14ac:dyDescent="0.25">
      <c r="A144" s="3" t="s">
        <v>39</v>
      </c>
      <c r="B144" s="128"/>
      <c r="C144" s="130"/>
      <c r="D144" s="83">
        <f>SUM(D145:D146)</f>
        <v>3018707.2</v>
      </c>
    </row>
    <row r="145" spans="1:4" x14ac:dyDescent="0.25">
      <c r="A145" s="3" t="s">
        <v>122</v>
      </c>
      <c r="B145" s="83">
        <f>FDA_Proposed!B103</f>
        <v>11493766</v>
      </c>
      <c r="C145" s="85">
        <v>0.2</v>
      </c>
      <c r="D145" s="83">
        <f>B145*C145</f>
        <v>2298753.2000000002</v>
      </c>
    </row>
    <row r="146" spans="1:4" x14ac:dyDescent="0.25">
      <c r="A146" s="3" t="s">
        <v>123</v>
      </c>
      <c r="B146" s="83">
        <f>FDA_Proposed!B104</f>
        <v>359977</v>
      </c>
      <c r="C146" s="85">
        <v>2</v>
      </c>
      <c r="D146" s="83">
        <f>B146*C146</f>
        <v>719954</v>
      </c>
    </row>
  </sheetData>
  <mergeCells count="27">
    <mergeCell ref="B1:D1"/>
    <mergeCell ref="B3:C3"/>
    <mergeCell ref="B13:C13"/>
    <mergeCell ref="B83:C83"/>
    <mergeCell ref="B22:C22"/>
    <mergeCell ref="B25:C25"/>
    <mergeCell ref="B44:C44"/>
    <mergeCell ref="B41:C41"/>
    <mergeCell ref="B33:C33"/>
    <mergeCell ref="B36:C36"/>
    <mergeCell ref="B51:D51"/>
    <mergeCell ref="B53:C53"/>
    <mergeCell ref="B63:C63"/>
    <mergeCell ref="B72:C72"/>
    <mergeCell ref="B75:C75"/>
    <mergeCell ref="B144:C144"/>
    <mergeCell ref="B86:C86"/>
    <mergeCell ref="B91:C91"/>
    <mergeCell ref="B94:C94"/>
    <mergeCell ref="B101:D101"/>
    <mergeCell ref="B103:C103"/>
    <mergeCell ref="B113:C113"/>
    <mergeCell ref="B122:C122"/>
    <mergeCell ref="B125:C125"/>
    <mergeCell ref="B133:C133"/>
    <mergeCell ref="B136:C136"/>
    <mergeCell ref="B141:C141"/>
  </mergeCells>
  <pageMargins left="0.7" right="0.7" top="0.75" bottom="0.75" header="0.3" footer="0.3"/>
  <ignoredErrors>
    <ignoredError sqref="D13:D46 D72 D75 D63:D70 D83:D96 D113:D146" formula="1"/>
    <ignoredError sqref="B15 B65 B115 B8 B58 B10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0824-B73C-4DF0-9B70-0335EEDAF56B}">
  <dimension ref="A1:I96"/>
  <sheetViews>
    <sheetView workbookViewId="0">
      <selection activeCell="D5" sqref="D5"/>
    </sheetView>
  </sheetViews>
  <sheetFormatPr defaultColWidth="9.140625" defaultRowHeight="12" x14ac:dyDescent="0.2"/>
  <cols>
    <col min="1" max="1" width="14.28515625" style="5" bestFit="1" customWidth="1"/>
    <col min="2" max="7" width="50.7109375" style="5" customWidth="1"/>
    <col min="8" max="9" width="32.85546875" style="5" customWidth="1"/>
    <col min="10" max="16384" width="9.140625" style="5"/>
  </cols>
  <sheetData>
    <row r="1" spans="1:7" x14ac:dyDescent="0.2">
      <c r="A1" s="133">
        <v>2018</v>
      </c>
      <c r="B1" s="133"/>
      <c r="C1" s="133"/>
      <c r="D1" s="133"/>
      <c r="E1" s="133"/>
      <c r="F1" s="133"/>
      <c r="G1" s="133"/>
    </row>
    <row r="2" spans="1:7" x14ac:dyDescent="0.2">
      <c r="A2" s="52" t="s">
        <v>4</v>
      </c>
      <c r="B2" s="52" t="s">
        <v>46</v>
      </c>
      <c r="C2" s="52" t="s">
        <v>47</v>
      </c>
      <c r="D2" s="51"/>
      <c r="E2" s="51"/>
      <c r="F2" s="51"/>
      <c r="G2" s="51"/>
    </row>
    <row r="3" spans="1:7" x14ac:dyDescent="0.2">
      <c r="A3" s="53" t="s">
        <v>41</v>
      </c>
      <c r="B3" s="80">
        <v>12219203000</v>
      </c>
      <c r="C3" s="80">
        <v>33703400</v>
      </c>
      <c r="D3" s="51"/>
      <c r="E3" s="51"/>
      <c r="F3" s="51"/>
      <c r="G3" s="51"/>
    </row>
    <row r="4" spans="1:7" x14ac:dyDescent="0.2">
      <c r="A4" s="53" t="s">
        <v>43</v>
      </c>
      <c r="B4" s="80">
        <v>11942965000</v>
      </c>
      <c r="C4" s="80">
        <v>124512300</v>
      </c>
      <c r="D4" s="51"/>
      <c r="E4" s="51"/>
      <c r="F4" s="51"/>
      <c r="G4" s="51"/>
    </row>
    <row r="5" spans="1:7" x14ac:dyDescent="0.2">
      <c r="A5" s="53" t="s">
        <v>42</v>
      </c>
      <c r="B5" s="80">
        <v>19568042000</v>
      </c>
      <c r="C5" s="80">
        <v>9160910000</v>
      </c>
      <c r="D5" s="51"/>
      <c r="E5" s="51"/>
      <c r="F5" s="51"/>
      <c r="G5" s="51"/>
    </row>
    <row r="6" spans="1:7" x14ac:dyDescent="0.2">
      <c r="A6" s="53" t="s">
        <v>44</v>
      </c>
      <c r="B6" s="80">
        <v>2666260000</v>
      </c>
      <c r="C6" s="80">
        <v>236860000</v>
      </c>
      <c r="D6" s="51"/>
      <c r="E6" s="51"/>
      <c r="F6" s="51"/>
      <c r="G6" s="51"/>
    </row>
    <row r="7" spans="1:7" x14ac:dyDescent="0.2">
      <c r="A7" s="51"/>
      <c r="B7" s="51"/>
      <c r="C7" s="51"/>
      <c r="D7" s="51"/>
      <c r="E7" s="51"/>
      <c r="F7" s="51"/>
      <c r="G7" s="51"/>
    </row>
    <row r="8" spans="1:7" x14ac:dyDescent="0.2">
      <c r="A8" s="51"/>
      <c r="B8" s="51"/>
      <c r="C8" s="51"/>
      <c r="D8" s="51"/>
      <c r="E8" s="51"/>
      <c r="F8" s="51"/>
      <c r="G8" s="51"/>
    </row>
    <row r="9" spans="1:7" x14ac:dyDescent="0.2">
      <c r="A9" s="52" t="s">
        <v>5</v>
      </c>
      <c r="B9" s="55" t="s">
        <v>48</v>
      </c>
      <c r="C9" s="52" t="s">
        <v>124</v>
      </c>
      <c r="D9" s="55" t="s">
        <v>125</v>
      </c>
      <c r="E9" s="51"/>
      <c r="F9" s="51"/>
      <c r="G9" s="51"/>
    </row>
    <row r="10" spans="1:7" x14ac:dyDescent="0.2">
      <c r="A10" s="53" t="s">
        <v>50</v>
      </c>
      <c r="B10" s="54">
        <f>B3/C3</f>
        <v>362.55104826219315</v>
      </c>
      <c r="C10" s="54">
        <f>B10/0.54</f>
        <v>671.39083011517243</v>
      </c>
      <c r="D10" s="54">
        <f>C10*1.15</f>
        <v>772.09945463244821</v>
      </c>
      <c r="E10" s="51"/>
      <c r="F10" s="51"/>
      <c r="G10" s="51"/>
    </row>
    <row r="11" spans="1:7" x14ac:dyDescent="0.2">
      <c r="A11" s="51"/>
      <c r="B11" s="51"/>
      <c r="C11" s="51"/>
      <c r="D11" s="51"/>
      <c r="E11" s="51"/>
      <c r="F11" s="51"/>
      <c r="G11" s="51"/>
    </row>
    <row r="12" spans="1:7" x14ac:dyDescent="0.2">
      <c r="A12" s="52" t="s">
        <v>5</v>
      </c>
      <c r="B12" s="52" t="s">
        <v>57</v>
      </c>
      <c r="C12" s="52" t="s">
        <v>49</v>
      </c>
      <c r="D12" s="52" t="s">
        <v>51</v>
      </c>
      <c r="E12" s="52" t="s">
        <v>52</v>
      </c>
      <c r="F12" s="51"/>
      <c r="G12" s="51"/>
    </row>
    <row r="13" spans="1:7" x14ac:dyDescent="0.2">
      <c r="A13" s="53" t="s">
        <v>53</v>
      </c>
      <c r="B13" s="53">
        <v>0.3</v>
      </c>
      <c r="C13" s="54">
        <f>$D$10</f>
        <v>772.09945463244821</v>
      </c>
      <c r="D13" s="53">
        <v>0.4</v>
      </c>
      <c r="E13" s="56">
        <f>B13*C13*D13</f>
        <v>92.651934555893789</v>
      </c>
      <c r="F13" s="51"/>
      <c r="G13" s="51"/>
    </row>
    <row r="14" spans="1:7" x14ac:dyDescent="0.2">
      <c r="A14" s="53" t="s">
        <v>54</v>
      </c>
      <c r="B14" s="53">
        <v>0.3</v>
      </c>
      <c r="C14" s="54">
        <f t="shared" ref="C14:C16" si="0">$D$10</f>
        <v>772.09945463244821</v>
      </c>
      <c r="D14" s="53">
        <v>0.7</v>
      </c>
      <c r="E14" s="56">
        <f>B14*C14*D14</f>
        <v>162.14088547281412</v>
      </c>
      <c r="F14" s="51"/>
      <c r="G14" s="51"/>
    </row>
    <row r="15" spans="1:7" x14ac:dyDescent="0.2">
      <c r="A15" s="53" t="s">
        <v>55</v>
      </c>
      <c r="B15" s="53">
        <v>0.3</v>
      </c>
      <c r="C15" s="54">
        <f t="shared" si="0"/>
        <v>772.09945463244821</v>
      </c>
      <c r="D15" s="53">
        <v>1</v>
      </c>
      <c r="E15" s="56">
        <f>B15*C15*D15</f>
        <v>231.62983638973446</v>
      </c>
      <c r="F15" s="51"/>
      <c r="G15" s="51"/>
    </row>
    <row r="16" spans="1:7" x14ac:dyDescent="0.2">
      <c r="A16" s="53" t="s">
        <v>56</v>
      </c>
      <c r="B16" s="53">
        <v>0.1</v>
      </c>
      <c r="C16" s="54">
        <f t="shared" si="0"/>
        <v>772.09945463244821</v>
      </c>
      <c r="D16" s="53">
        <v>1</v>
      </c>
      <c r="E16" s="56">
        <f>B16*C16*D16</f>
        <v>77.209945463244821</v>
      </c>
      <c r="F16" s="51"/>
      <c r="G16" s="51"/>
    </row>
    <row r="17" spans="1:9" x14ac:dyDescent="0.2">
      <c r="A17" s="53" t="s">
        <v>50</v>
      </c>
      <c r="B17" s="53">
        <v>1</v>
      </c>
      <c r="C17" s="53"/>
      <c r="D17" s="53"/>
      <c r="E17" s="56">
        <f>SUM(E13:E16)</f>
        <v>563.63260188168715</v>
      </c>
      <c r="F17" s="51"/>
      <c r="G17" s="57"/>
      <c r="H17" s="21"/>
      <c r="I17" s="21"/>
    </row>
    <row r="18" spans="1:9" x14ac:dyDescent="0.2">
      <c r="A18" s="51"/>
      <c r="B18" s="51"/>
      <c r="C18" s="51"/>
      <c r="D18" s="51"/>
      <c r="E18" s="51"/>
      <c r="F18" s="51"/>
      <c r="G18" s="57"/>
      <c r="H18" s="21"/>
      <c r="I18" s="21"/>
    </row>
    <row r="19" spans="1:9" x14ac:dyDescent="0.2">
      <c r="A19" s="52" t="s">
        <v>5</v>
      </c>
      <c r="B19" s="52" t="s">
        <v>58</v>
      </c>
      <c r="C19" s="52" t="s">
        <v>178</v>
      </c>
      <c r="D19" s="52" t="s">
        <v>179</v>
      </c>
      <c r="E19" s="52" t="s">
        <v>52</v>
      </c>
      <c r="F19" s="52" t="s">
        <v>10</v>
      </c>
      <c r="G19" s="57"/>
      <c r="H19" s="21"/>
      <c r="I19" s="21"/>
    </row>
    <row r="20" spans="1:9" x14ac:dyDescent="0.2">
      <c r="A20" s="52" t="s">
        <v>50</v>
      </c>
      <c r="B20" s="80">
        <f>94759700</f>
        <v>94759700</v>
      </c>
      <c r="C20" s="80">
        <v>1324317</v>
      </c>
      <c r="D20" s="80">
        <v>244419</v>
      </c>
      <c r="E20" s="56">
        <f>E17</f>
        <v>563.63260188168715</v>
      </c>
      <c r="F20" s="58">
        <f>E20*(B20-C20+D20)</f>
        <v>52800990545.021278</v>
      </c>
      <c r="G20" s="57"/>
      <c r="H20" s="21"/>
      <c r="I20" s="21"/>
    </row>
    <row r="21" spans="1:9" x14ac:dyDescent="0.2">
      <c r="A21" s="51"/>
      <c r="B21" s="51"/>
      <c r="C21" s="51"/>
      <c r="D21" s="51"/>
      <c r="E21" s="51"/>
      <c r="F21" s="51"/>
      <c r="G21" s="57"/>
      <c r="H21" s="21"/>
      <c r="I21" s="21"/>
    </row>
    <row r="22" spans="1:9" x14ac:dyDescent="0.2">
      <c r="A22" s="51"/>
      <c r="B22" s="51"/>
      <c r="C22" s="51"/>
      <c r="D22" s="51"/>
      <c r="E22" s="51"/>
      <c r="F22" s="51"/>
      <c r="G22" s="51"/>
    </row>
    <row r="23" spans="1:9" x14ac:dyDescent="0.2">
      <c r="A23" s="52" t="s">
        <v>5</v>
      </c>
      <c r="B23" s="55" t="s">
        <v>61</v>
      </c>
      <c r="C23" s="52" t="s">
        <v>126</v>
      </c>
      <c r="D23" s="59" t="s">
        <v>58</v>
      </c>
      <c r="E23" s="52" t="s">
        <v>59</v>
      </c>
      <c r="F23" s="52" t="s">
        <v>60</v>
      </c>
      <c r="G23" s="52" t="s">
        <v>10</v>
      </c>
    </row>
    <row r="24" spans="1:9" x14ac:dyDescent="0.2">
      <c r="A24" s="52" t="s">
        <v>1</v>
      </c>
      <c r="B24" s="54">
        <f>B4/C4</f>
        <v>95.917953487326159</v>
      </c>
      <c r="C24" s="54">
        <f>B24/0.78</f>
        <v>122.97173524016173</v>
      </c>
      <c r="D24" s="80">
        <v>74550200</v>
      </c>
      <c r="E24" s="53">
        <v>240</v>
      </c>
      <c r="F24" s="53">
        <v>0.09</v>
      </c>
      <c r="G24" s="58">
        <f>C24*C4+D24*E24*F24</f>
        <v>16921777909.743589</v>
      </c>
    </row>
    <row r="25" spans="1:9" x14ac:dyDescent="0.2">
      <c r="A25" s="51"/>
      <c r="B25" s="51"/>
      <c r="C25" s="51"/>
      <c r="D25" s="51"/>
      <c r="E25" s="51"/>
      <c r="F25" s="51"/>
      <c r="G25" s="51"/>
    </row>
    <row r="26" spans="1:9" x14ac:dyDescent="0.2">
      <c r="A26" s="51"/>
      <c r="B26" s="51"/>
      <c r="C26" s="51"/>
      <c r="D26" s="51"/>
      <c r="E26" s="51"/>
      <c r="F26" s="51"/>
      <c r="G26" s="51"/>
    </row>
    <row r="27" spans="1:9" x14ac:dyDescent="0.2">
      <c r="A27" s="52" t="s">
        <v>5</v>
      </c>
      <c r="B27" s="55" t="s">
        <v>61</v>
      </c>
      <c r="C27" s="52" t="s">
        <v>127</v>
      </c>
      <c r="D27" s="52" t="s">
        <v>10</v>
      </c>
      <c r="E27" s="51"/>
      <c r="F27" s="51"/>
      <c r="G27" s="51"/>
    </row>
    <row r="28" spans="1:9" x14ac:dyDescent="0.2">
      <c r="A28" s="52" t="s">
        <v>2</v>
      </c>
      <c r="B28" s="54">
        <f>B5/C5</f>
        <v>2.1360369220961672</v>
      </c>
      <c r="C28" s="54">
        <f>B28/0.7</f>
        <v>3.0514813172802393</v>
      </c>
      <c r="D28" s="58">
        <f>C28*C5</f>
        <v>27954345714.285717</v>
      </c>
      <c r="E28" s="51"/>
      <c r="F28" s="51"/>
      <c r="G28" s="51"/>
      <c r="I28" s="48"/>
    </row>
    <row r="29" spans="1:9" x14ac:dyDescent="0.2">
      <c r="A29" s="52" t="s">
        <v>3</v>
      </c>
      <c r="B29" s="54">
        <f>B6/C6</f>
        <v>11.256691716625856</v>
      </c>
      <c r="C29" s="54">
        <f>B29/0.7</f>
        <v>16.080988166608368</v>
      </c>
      <c r="D29" s="58">
        <f>C29*C6</f>
        <v>3808942857.142858</v>
      </c>
      <c r="E29" s="51"/>
      <c r="F29" s="51"/>
      <c r="G29" s="51"/>
      <c r="I29" s="49"/>
    </row>
    <row r="31" spans="1:9" x14ac:dyDescent="0.2">
      <c r="F31" s="12"/>
    </row>
    <row r="35" spans="1:7" x14ac:dyDescent="0.2">
      <c r="A35" s="133">
        <v>2017</v>
      </c>
      <c r="B35" s="133"/>
      <c r="C35" s="133"/>
      <c r="D35" s="133"/>
      <c r="E35" s="133"/>
      <c r="F35" s="133"/>
      <c r="G35" s="133"/>
    </row>
    <row r="36" spans="1:7" x14ac:dyDescent="0.2">
      <c r="A36" s="52" t="s">
        <v>4</v>
      </c>
      <c r="B36" s="52" t="s">
        <v>46</v>
      </c>
      <c r="C36" s="52" t="s">
        <v>47</v>
      </c>
      <c r="D36" s="51"/>
      <c r="E36" s="51"/>
      <c r="F36" s="51"/>
      <c r="G36" s="51"/>
    </row>
    <row r="37" spans="1:7" x14ac:dyDescent="0.2">
      <c r="A37" s="53" t="s">
        <v>41</v>
      </c>
      <c r="B37" s="80">
        <v>11907239000</v>
      </c>
      <c r="C37" s="80">
        <v>32817400</v>
      </c>
      <c r="D37" s="51"/>
      <c r="E37" s="51"/>
      <c r="F37" s="51"/>
      <c r="G37" s="51"/>
    </row>
    <row r="38" spans="1:7" x14ac:dyDescent="0.2">
      <c r="A38" s="53" t="s">
        <v>43</v>
      </c>
      <c r="B38" s="80">
        <v>11610981000</v>
      </c>
      <c r="C38" s="80">
        <v>121390200</v>
      </c>
      <c r="D38" s="51"/>
      <c r="E38" s="51"/>
      <c r="F38" s="51"/>
      <c r="G38" s="51"/>
    </row>
    <row r="39" spans="1:7" x14ac:dyDescent="0.2">
      <c r="A39" s="53" t="s">
        <v>42</v>
      </c>
      <c r="B39" s="80">
        <v>19140570000</v>
      </c>
      <c r="C39" s="80">
        <v>9050702000</v>
      </c>
      <c r="D39" s="51"/>
      <c r="E39" s="51"/>
      <c r="F39" s="51"/>
      <c r="G39" s="51"/>
    </row>
    <row r="40" spans="1:7" x14ac:dyDescent="0.2">
      <c r="A40" s="53" t="s">
        <v>44</v>
      </c>
      <c r="B40" s="80">
        <v>2712747000</v>
      </c>
      <c r="C40" s="80">
        <v>241680000</v>
      </c>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52" t="s">
        <v>5</v>
      </c>
      <c r="B43" s="55" t="s">
        <v>48</v>
      </c>
      <c r="C43" s="52" t="s">
        <v>124</v>
      </c>
      <c r="D43" s="55" t="s">
        <v>125</v>
      </c>
      <c r="E43" s="51"/>
      <c r="F43" s="51"/>
      <c r="G43" s="51"/>
    </row>
    <row r="44" spans="1:7" x14ac:dyDescent="0.2">
      <c r="A44" s="53" t="s">
        <v>50</v>
      </c>
      <c r="B44" s="54">
        <f>B37/C37</f>
        <v>362.83310073314766</v>
      </c>
      <c r="C44" s="54">
        <f>B44/0.54</f>
        <v>671.91314950582898</v>
      </c>
      <c r="D44" s="54">
        <f>C44*1.15</f>
        <v>772.70012193170328</v>
      </c>
      <c r="E44" s="51"/>
      <c r="F44" s="51"/>
      <c r="G44" s="51"/>
    </row>
    <row r="45" spans="1:7" x14ac:dyDescent="0.2">
      <c r="A45" s="51"/>
      <c r="B45" s="51"/>
      <c r="C45" s="51"/>
      <c r="D45" s="51"/>
      <c r="E45" s="51"/>
      <c r="F45" s="51"/>
      <c r="G45" s="51"/>
    </row>
    <row r="46" spans="1:7" x14ac:dyDescent="0.2">
      <c r="A46" s="52" t="s">
        <v>5</v>
      </c>
      <c r="B46" s="52" t="s">
        <v>57</v>
      </c>
      <c r="C46" s="52" t="s">
        <v>49</v>
      </c>
      <c r="D46" s="52" t="s">
        <v>51</v>
      </c>
      <c r="E46" s="52" t="s">
        <v>52</v>
      </c>
      <c r="F46" s="51"/>
      <c r="G46" s="51"/>
    </row>
    <row r="47" spans="1:7" x14ac:dyDescent="0.2">
      <c r="A47" s="53" t="s">
        <v>53</v>
      </c>
      <c r="B47" s="53">
        <v>0.3</v>
      </c>
      <c r="C47" s="54">
        <f>$D$44</f>
        <v>772.70012193170328</v>
      </c>
      <c r="D47" s="53">
        <v>0.4</v>
      </c>
      <c r="E47" s="56">
        <f>B47*C47*D47</f>
        <v>92.724014631804394</v>
      </c>
      <c r="F47" s="51"/>
      <c r="G47" s="51"/>
    </row>
    <row r="48" spans="1:7" x14ac:dyDescent="0.2">
      <c r="A48" s="53" t="s">
        <v>54</v>
      </c>
      <c r="B48" s="53">
        <v>0.3</v>
      </c>
      <c r="C48" s="54">
        <f t="shared" ref="C48:C50" si="1">$D$44</f>
        <v>772.70012193170328</v>
      </c>
      <c r="D48" s="53">
        <v>0.7</v>
      </c>
      <c r="E48" s="56">
        <f>B48*C48*D48</f>
        <v>162.26702560565766</v>
      </c>
      <c r="F48" s="51"/>
      <c r="G48" s="51"/>
    </row>
    <row r="49" spans="1:7" x14ac:dyDescent="0.2">
      <c r="A49" s="53" t="s">
        <v>55</v>
      </c>
      <c r="B49" s="53">
        <v>0.3</v>
      </c>
      <c r="C49" s="54">
        <f t="shared" si="1"/>
        <v>772.70012193170328</v>
      </c>
      <c r="D49" s="53">
        <v>1</v>
      </c>
      <c r="E49" s="56">
        <f>B49*C49*D49</f>
        <v>231.81003657951098</v>
      </c>
      <c r="F49" s="51"/>
      <c r="G49" s="51"/>
    </row>
    <row r="50" spans="1:7" x14ac:dyDescent="0.2">
      <c r="A50" s="53" t="s">
        <v>56</v>
      </c>
      <c r="B50" s="53">
        <v>0.1</v>
      </c>
      <c r="C50" s="54">
        <f t="shared" si="1"/>
        <v>772.70012193170328</v>
      </c>
      <c r="D50" s="53">
        <v>1</v>
      </c>
      <c r="E50" s="56">
        <f>B50*C50*D50</f>
        <v>77.270012193170331</v>
      </c>
      <c r="F50" s="51"/>
      <c r="G50" s="51"/>
    </row>
    <row r="51" spans="1:7" x14ac:dyDescent="0.2">
      <c r="A51" s="53" t="s">
        <v>50</v>
      </c>
      <c r="B51" s="53">
        <v>1</v>
      </c>
      <c r="C51" s="53"/>
      <c r="D51" s="53"/>
      <c r="E51" s="56">
        <f>SUM(E47:E50)</f>
        <v>564.0710890101434</v>
      </c>
      <c r="F51" s="51"/>
      <c r="G51" s="57"/>
    </row>
    <row r="52" spans="1:7" x14ac:dyDescent="0.2">
      <c r="A52" s="51"/>
      <c r="B52" s="51"/>
      <c r="C52" s="51"/>
      <c r="D52" s="51"/>
      <c r="E52" s="51"/>
      <c r="F52" s="51"/>
      <c r="G52" s="57"/>
    </row>
    <row r="53" spans="1:7" x14ac:dyDescent="0.2">
      <c r="A53" s="52" t="s">
        <v>5</v>
      </c>
      <c r="B53" s="52" t="s">
        <v>58</v>
      </c>
      <c r="C53" s="52" t="s">
        <v>178</v>
      </c>
      <c r="D53" s="52" t="s">
        <v>179</v>
      </c>
      <c r="E53" s="52" t="s">
        <v>52</v>
      </c>
      <c r="F53" s="52" t="s">
        <v>10</v>
      </c>
      <c r="G53" s="57"/>
    </row>
    <row r="54" spans="1:7" x14ac:dyDescent="0.2">
      <c r="A54" s="52" t="s">
        <v>50</v>
      </c>
      <c r="B54" s="80">
        <v>94399000</v>
      </c>
      <c r="C54" s="80">
        <v>1807191</v>
      </c>
      <c r="D54" s="80">
        <v>193232</v>
      </c>
      <c r="E54" s="56">
        <f>E51</f>
        <v>564.0710890101434</v>
      </c>
      <c r="F54" s="58">
        <f>E54*(B54-C54+D54)</f>
        <v>52337359120.720802</v>
      </c>
      <c r="G54" s="57"/>
    </row>
    <row r="55" spans="1:7" x14ac:dyDescent="0.2">
      <c r="A55" s="51"/>
      <c r="B55" s="51"/>
      <c r="C55" s="51"/>
      <c r="D55" s="51"/>
      <c r="E55" s="51"/>
      <c r="F55" s="51"/>
      <c r="G55" s="57"/>
    </row>
    <row r="56" spans="1:7" x14ac:dyDescent="0.2">
      <c r="A56" s="51"/>
      <c r="B56" s="51"/>
      <c r="C56" s="51"/>
      <c r="D56" s="51"/>
      <c r="E56" s="51"/>
      <c r="F56" s="51"/>
      <c r="G56" s="51"/>
    </row>
    <row r="57" spans="1:7" x14ac:dyDescent="0.2">
      <c r="A57" s="52" t="s">
        <v>5</v>
      </c>
      <c r="B57" s="55" t="s">
        <v>61</v>
      </c>
      <c r="C57" s="52" t="s">
        <v>126</v>
      </c>
      <c r="D57" s="59" t="s">
        <v>58</v>
      </c>
      <c r="E57" s="52" t="s">
        <v>59</v>
      </c>
      <c r="F57" s="52" t="s">
        <v>60</v>
      </c>
      <c r="G57" s="52" t="s">
        <v>10</v>
      </c>
    </row>
    <row r="58" spans="1:7" x14ac:dyDescent="0.2">
      <c r="A58" s="52" t="s">
        <v>1</v>
      </c>
      <c r="B58" s="54">
        <f>B38/C38</f>
        <v>95.650068951200339</v>
      </c>
      <c r="C58" s="54">
        <f>B58/0.78</f>
        <v>122.62829352717992</v>
      </c>
      <c r="D58" s="80">
        <v>73229900</v>
      </c>
      <c r="E58" s="53">
        <v>240</v>
      </c>
      <c r="F58" s="53">
        <v>0.09</v>
      </c>
      <c r="G58" s="58">
        <f>C58*C38+D58*E58*F58</f>
        <v>16467638916.923077</v>
      </c>
    </row>
    <row r="59" spans="1:7" x14ac:dyDescent="0.2">
      <c r="A59" s="51"/>
      <c r="B59" s="51"/>
      <c r="C59" s="51"/>
      <c r="D59" s="51"/>
      <c r="E59" s="51"/>
      <c r="F59" s="51"/>
      <c r="G59" s="51"/>
    </row>
    <row r="60" spans="1:7" x14ac:dyDescent="0.2">
      <c r="A60" s="51"/>
      <c r="B60" s="51"/>
      <c r="C60" s="51"/>
      <c r="D60" s="51"/>
      <c r="E60" s="51"/>
      <c r="F60" s="51"/>
      <c r="G60" s="51"/>
    </row>
    <row r="61" spans="1:7" x14ac:dyDescent="0.2">
      <c r="A61" s="52" t="s">
        <v>5</v>
      </c>
      <c r="B61" s="55" t="s">
        <v>61</v>
      </c>
      <c r="C61" s="52" t="s">
        <v>127</v>
      </c>
      <c r="D61" s="52" t="s">
        <v>10</v>
      </c>
      <c r="E61" s="51"/>
      <c r="F61" s="51"/>
      <c r="G61" s="51"/>
    </row>
    <row r="62" spans="1:7" x14ac:dyDescent="0.2">
      <c r="A62" s="52" t="s">
        <v>2</v>
      </c>
      <c r="B62" s="54">
        <f>B39/C39</f>
        <v>2.1148160662012736</v>
      </c>
      <c r="C62" s="54">
        <f>B62/0.7</f>
        <v>3.0211658088589624</v>
      </c>
      <c r="D62" s="58">
        <f>C62*C39</f>
        <v>27343671428.571426</v>
      </c>
      <c r="E62" s="51"/>
      <c r="F62" s="51"/>
      <c r="G62" s="51"/>
    </row>
    <row r="63" spans="1:7" x14ac:dyDescent="0.2">
      <c r="A63" s="52" t="s">
        <v>3</v>
      </c>
      <c r="B63" s="54">
        <f>B40/C40</f>
        <v>11.224540714995035</v>
      </c>
      <c r="C63" s="54">
        <f>B63/0.7</f>
        <v>16.035058164278624</v>
      </c>
      <c r="D63" s="58">
        <f>C63*C40</f>
        <v>3875352857.142858</v>
      </c>
      <c r="E63" s="51"/>
      <c r="F63" s="51"/>
      <c r="G63" s="51"/>
    </row>
    <row r="68" spans="1:7" x14ac:dyDescent="0.2">
      <c r="A68" s="133">
        <v>2016</v>
      </c>
      <c r="B68" s="133"/>
      <c r="C68" s="133"/>
      <c r="D68" s="133"/>
      <c r="E68" s="133"/>
      <c r="F68" s="133"/>
      <c r="G68" s="133"/>
    </row>
    <row r="69" spans="1:7" x14ac:dyDescent="0.2">
      <c r="A69" s="52" t="s">
        <v>4</v>
      </c>
      <c r="B69" s="52" t="s">
        <v>46</v>
      </c>
      <c r="C69" s="52" t="s">
        <v>47</v>
      </c>
      <c r="D69" s="51"/>
      <c r="E69" s="51"/>
      <c r="F69" s="51"/>
      <c r="G69" s="51"/>
    </row>
    <row r="70" spans="1:7" x14ac:dyDescent="0.2">
      <c r="A70" s="53" t="s">
        <v>41</v>
      </c>
      <c r="B70" s="80">
        <v>11470607000</v>
      </c>
      <c r="C70" s="80">
        <v>31188800</v>
      </c>
      <c r="D70" s="51"/>
      <c r="E70" s="51"/>
      <c r="F70" s="51"/>
      <c r="G70" s="51"/>
    </row>
    <row r="71" spans="1:7" x14ac:dyDescent="0.2">
      <c r="A71" s="53" t="s">
        <v>43</v>
      </c>
      <c r="B71" s="80">
        <v>11320182000</v>
      </c>
      <c r="C71" s="80">
        <v>118303900</v>
      </c>
      <c r="D71" s="51"/>
      <c r="E71" s="51"/>
      <c r="F71" s="51"/>
      <c r="G71" s="51"/>
    </row>
    <row r="72" spans="1:7" x14ac:dyDescent="0.2">
      <c r="A72" s="53" t="s">
        <v>42</v>
      </c>
      <c r="B72" s="80">
        <v>18708465000</v>
      </c>
      <c r="C72" s="80">
        <v>8908986000</v>
      </c>
      <c r="D72" s="51"/>
      <c r="E72" s="51"/>
      <c r="F72" s="51"/>
      <c r="G72" s="51"/>
    </row>
    <row r="73" spans="1:7" x14ac:dyDescent="0.2">
      <c r="A73" s="53" t="s">
        <v>44</v>
      </c>
      <c r="B73" s="80">
        <v>2713010000</v>
      </c>
      <c r="C73" s="80">
        <v>243255000</v>
      </c>
      <c r="D73" s="51"/>
      <c r="E73" s="51"/>
      <c r="F73" s="51"/>
      <c r="G73" s="51"/>
    </row>
    <row r="74" spans="1:7" x14ac:dyDescent="0.2">
      <c r="A74" s="51"/>
      <c r="B74" s="51"/>
      <c r="C74" s="51"/>
      <c r="D74" s="51"/>
      <c r="E74" s="51"/>
      <c r="F74" s="51"/>
      <c r="G74" s="51"/>
    </row>
    <row r="75" spans="1:7" x14ac:dyDescent="0.2">
      <c r="A75" s="51"/>
      <c r="B75" s="51"/>
      <c r="C75" s="51"/>
      <c r="D75" s="51"/>
      <c r="E75" s="51"/>
      <c r="F75" s="51"/>
      <c r="G75" s="51"/>
    </row>
    <row r="76" spans="1:7" x14ac:dyDescent="0.2">
      <c r="A76" s="52" t="s">
        <v>5</v>
      </c>
      <c r="B76" s="55" t="s">
        <v>48</v>
      </c>
      <c r="C76" s="52" t="s">
        <v>124</v>
      </c>
      <c r="D76" s="55" t="s">
        <v>125</v>
      </c>
      <c r="E76" s="51"/>
      <c r="F76" s="51"/>
      <c r="G76" s="51"/>
    </row>
    <row r="77" spans="1:7" x14ac:dyDescent="0.2">
      <c r="A77" s="53" t="s">
        <v>50</v>
      </c>
      <c r="B77" s="54">
        <f>B70/C70</f>
        <v>367.77968373262195</v>
      </c>
      <c r="C77" s="54">
        <f>B77/0.54</f>
        <v>681.07348839374436</v>
      </c>
      <c r="D77" s="54">
        <f>C77*1.15</f>
        <v>783.23451165280596</v>
      </c>
      <c r="E77" s="51"/>
      <c r="F77" s="51"/>
      <c r="G77" s="51"/>
    </row>
    <row r="78" spans="1:7" x14ac:dyDescent="0.2">
      <c r="A78" s="51"/>
      <c r="B78" s="51"/>
      <c r="C78" s="51"/>
      <c r="D78" s="51"/>
      <c r="E78" s="51"/>
      <c r="F78" s="51"/>
      <c r="G78" s="51"/>
    </row>
    <row r="79" spans="1:7" x14ac:dyDescent="0.2">
      <c r="A79" s="52" t="s">
        <v>5</v>
      </c>
      <c r="B79" s="52" t="s">
        <v>57</v>
      </c>
      <c r="C79" s="52" t="s">
        <v>49</v>
      </c>
      <c r="D79" s="52" t="s">
        <v>51</v>
      </c>
      <c r="E79" s="52" t="s">
        <v>52</v>
      </c>
      <c r="F79" s="51"/>
      <c r="G79" s="51"/>
    </row>
    <row r="80" spans="1:7" x14ac:dyDescent="0.2">
      <c r="A80" s="53" t="s">
        <v>53</v>
      </c>
      <c r="B80" s="53">
        <v>0.3</v>
      </c>
      <c r="C80" s="54">
        <f>$D$77</f>
        <v>783.23451165280596</v>
      </c>
      <c r="D80" s="53">
        <v>0.4</v>
      </c>
      <c r="E80" s="56">
        <f>B80*C80*D80</f>
        <v>93.988141398336722</v>
      </c>
      <c r="F80" s="51"/>
      <c r="G80" s="51"/>
    </row>
    <row r="81" spans="1:7" x14ac:dyDescent="0.2">
      <c r="A81" s="53" t="s">
        <v>54</v>
      </c>
      <c r="B81" s="53">
        <v>0.3</v>
      </c>
      <c r="C81" s="54">
        <f t="shared" ref="C81:C83" si="2">$D$77</f>
        <v>783.23451165280596</v>
      </c>
      <c r="D81" s="53">
        <v>0.7</v>
      </c>
      <c r="E81" s="56">
        <f>B81*C81*D81</f>
        <v>164.47924744708922</v>
      </c>
      <c r="F81" s="51"/>
      <c r="G81" s="51"/>
    </row>
    <row r="82" spans="1:7" x14ac:dyDescent="0.2">
      <c r="A82" s="53" t="s">
        <v>55</v>
      </c>
      <c r="B82" s="53">
        <v>0.3</v>
      </c>
      <c r="C82" s="54">
        <f t="shared" si="2"/>
        <v>783.23451165280596</v>
      </c>
      <c r="D82" s="53">
        <v>1</v>
      </c>
      <c r="E82" s="56">
        <f>B82*C82*D82</f>
        <v>234.97035349584178</v>
      </c>
      <c r="F82" s="51"/>
      <c r="G82" s="51"/>
    </row>
    <row r="83" spans="1:7" x14ac:dyDescent="0.2">
      <c r="A83" s="53" t="s">
        <v>56</v>
      </c>
      <c r="B83" s="53">
        <v>0.1</v>
      </c>
      <c r="C83" s="54">
        <f t="shared" si="2"/>
        <v>783.23451165280596</v>
      </c>
      <c r="D83" s="53">
        <v>1</v>
      </c>
      <c r="E83" s="56">
        <f>B83*C83*D83</f>
        <v>78.323451165280602</v>
      </c>
      <c r="F83" s="51"/>
      <c r="G83" s="51"/>
    </row>
    <row r="84" spans="1:7" x14ac:dyDescent="0.2">
      <c r="A84" s="53" t="s">
        <v>50</v>
      </c>
      <c r="B84" s="53">
        <v>1</v>
      </c>
      <c r="C84" s="53"/>
      <c r="D84" s="53"/>
      <c r="E84" s="56">
        <f>SUM(E80:E83)</f>
        <v>571.76119350654835</v>
      </c>
      <c r="F84" s="51"/>
      <c r="G84" s="57"/>
    </row>
    <row r="85" spans="1:7" x14ac:dyDescent="0.2">
      <c r="A85" s="51"/>
      <c r="B85" s="51"/>
      <c r="C85" s="51"/>
      <c r="D85" s="51"/>
      <c r="E85" s="51"/>
      <c r="F85" s="51"/>
      <c r="G85" s="57"/>
    </row>
    <row r="86" spans="1:7" x14ac:dyDescent="0.2">
      <c r="A86" s="52" t="s">
        <v>5</v>
      </c>
      <c r="B86" s="52" t="s">
        <v>58</v>
      </c>
      <c r="C86" s="52" t="s">
        <v>178</v>
      </c>
      <c r="D86" s="52" t="s">
        <v>179</v>
      </c>
      <c r="E86" s="52" t="s">
        <v>52</v>
      </c>
      <c r="F86" s="52" t="s">
        <v>10</v>
      </c>
      <c r="G86" s="57"/>
    </row>
    <row r="87" spans="1:7" x14ac:dyDescent="0.2">
      <c r="A87" s="52" t="s">
        <v>50</v>
      </c>
      <c r="B87" s="80">
        <v>91988000</v>
      </c>
      <c r="C87" s="80">
        <v>1708174</v>
      </c>
      <c r="D87" s="80">
        <v>69559</v>
      </c>
      <c r="E87" s="56">
        <f>E84</f>
        <v>571.76119350654835</v>
      </c>
      <c r="F87" s="58">
        <f>E87*(B87-C87+D87)</f>
        <v>51658272200.18264</v>
      </c>
      <c r="G87" s="57"/>
    </row>
    <row r="88" spans="1:7" x14ac:dyDescent="0.2">
      <c r="A88" s="51"/>
      <c r="B88" s="51"/>
      <c r="C88" s="51"/>
      <c r="D88" s="51"/>
      <c r="E88" s="51"/>
      <c r="F88" s="51"/>
      <c r="G88" s="57"/>
    </row>
    <row r="89" spans="1:7" x14ac:dyDescent="0.2">
      <c r="A89" s="51"/>
      <c r="B89" s="51"/>
      <c r="C89" s="51"/>
      <c r="D89" s="51"/>
      <c r="E89" s="51"/>
      <c r="F89" s="51"/>
      <c r="G89" s="51"/>
    </row>
    <row r="90" spans="1:7" x14ac:dyDescent="0.2">
      <c r="A90" s="52" t="s">
        <v>5</v>
      </c>
      <c r="B90" s="55" t="s">
        <v>61</v>
      </c>
      <c r="C90" s="52" t="s">
        <v>126</v>
      </c>
      <c r="D90" s="59" t="s">
        <v>58</v>
      </c>
      <c r="E90" s="52" t="s">
        <v>59</v>
      </c>
      <c r="F90" s="52" t="s">
        <v>60</v>
      </c>
      <c r="G90" s="52" t="s">
        <v>10</v>
      </c>
    </row>
    <row r="91" spans="1:7" x14ac:dyDescent="0.2">
      <c r="A91" s="52" t="s">
        <v>1</v>
      </c>
      <c r="B91" s="54">
        <f>B71/C71</f>
        <v>95.687310392979441</v>
      </c>
      <c r="C91" s="54">
        <f>B91/0.78</f>
        <v>122.67603896535826</v>
      </c>
      <c r="D91" s="80">
        <v>68299300</v>
      </c>
      <c r="E91" s="53">
        <v>240</v>
      </c>
      <c r="F91" s="53">
        <v>0.09</v>
      </c>
      <c r="G91" s="58">
        <f>C91*C71+D91*E91*F91</f>
        <v>15988318726.153847</v>
      </c>
    </row>
    <row r="92" spans="1:7" x14ac:dyDescent="0.2">
      <c r="A92" s="51"/>
      <c r="B92" s="51"/>
      <c r="C92" s="51"/>
      <c r="D92" s="51"/>
      <c r="E92" s="51"/>
      <c r="F92" s="51"/>
      <c r="G92" s="51"/>
    </row>
    <row r="93" spans="1:7" x14ac:dyDescent="0.2">
      <c r="A93" s="51"/>
      <c r="B93" s="51"/>
      <c r="C93" s="51"/>
      <c r="D93" s="51"/>
      <c r="E93" s="51"/>
      <c r="F93" s="51"/>
      <c r="G93" s="51"/>
    </row>
    <row r="94" spans="1:7" x14ac:dyDescent="0.2">
      <c r="A94" s="52" t="s">
        <v>5</v>
      </c>
      <c r="B94" s="55" t="s">
        <v>61</v>
      </c>
      <c r="C94" s="52" t="s">
        <v>127</v>
      </c>
      <c r="D94" s="52" t="s">
        <v>10</v>
      </c>
      <c r="E94" s="51"/>
      <c r="F94" s="51"/>
      <c r="G94" s="51"/>
    </row>
    <row r="95" spans="1:7" x14ac:dyDescent="0.2">
      <c r="A95" s="52" t="s">
        <v>2</v>
      </c>
      <c r="B95" s="54">
        <f>B72/C72</f>
        <v>2.0999544729332835</v>
      </c>
      <c r="C95" s="54">
        <f>B95/0.7</f>
        <v>2.9999349613332624</v>
      </c>
      <c r="D95" s="58">
        <f>C95*C72</f>
        <v>26726378571.428577</v>
      </c>
      <c r="E95" s="51"/>
      <c r="F95" s="51"/>
      <c r="G95" s="51"/>
    </row>
    <row r="96" spans="1:7" x14ac:dyDescent="0.2">
      <c r="A96" s="52" t="s">
        <v>3</v>
      </c>
      <c r="B96" s="54">
        <f>B73/C73</f>
        <v>11.152946496474893</v>
      </c>
      <c r="C96" s="54">
        <f>B96/0.7</f>
        <v>15.932780709249849</v>
      </c>
      <c r="D96" s="58">
        <f>C96*C73</f>
        <v>3875728571.4285722</v>
      </c>
      <c r="E96" s="51"/>
      <c r="F96" s="51"/>
      <c r="G96" s="51"/>
    </row>
  </sheetData>
  <mergeCells count="3">
    <mergeCell ref="A1:G1"/>
    <mergeCell ref="A35:G35"/>
    <mergeCell ref="A68:G68"/>
  </mergeCells>
  <dataValidations xWindow="651" yWindow="541" count="2">
    <dataValidation allowBlank="1" showInputMessage="1" showErrorMessage="1" promptTitle="Weight and number of sp slaughtd" prompt="Please go to &quot;Instructions&quot; sheet to fill these cells." sqref="B3:C6" xr:uid="{B6A13597-5C32-4583-8AB4-9B4209CD536F}"/>
    <dataValidation allowBlank="1" showInputMessage="1" showErrorMessage="1" promptTitle="Census population" prompt="Please go to &quot;Instructions&quot; sheet to fill these cells." sqref="B20:D20 D24" xr:uid="{7735A0E9-A710-4B7B-90CF-AE2BDF11A5E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Instructions</vt:lpstr>
      <vt:lpstr>Results</vt:lpstr>
      <vt:lpstr>Total antimicrobial sales</vt:lpstr>
      <vt:lpstr>FDA_Proposed</vt:lpstr>
      <vt:lpstr>ESVAC</vt:lpstr>
      <vt:lpstr> PHAC</vt:lpstr>
      <vt:lpstr>OIE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Bulut</dc:creator>
  <cp:lastModifiedBy>Ece Bulut</cp:lastModifiedBy>
  <dcterms:created xsi:type="dcterms:W3CDTF">2020-08-04T19:20:34Z</dcterms:created>
  <dcterms:modified xsi:type="dcterms:W3CDTF">2021-01-22T04:38:46Z</dcterms:modified>
</cp:coreProperties>
</file>