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8479\Desktop\Research\Ivanek\HPAI Dairy QRA\"/>
    </mc:Choice>
  </mc:AlternateContent>
  <xr:revisionPtr revIDLastSave="0" documentId="13_ncr:1_{287F2835-AA27-4F7F-8D55-0BD4CCF1B8C0}" xr6:coauthVersionLast="47" xr6:coauthVersionMax="47" xr10:uidLastSave="{00000000-0000-0000-0000-000000000000}"/>
  <bookViews>
    <workbookView xWindow="-28920" yWindow="-6885" windowWidth="29040" windowHeight="15720" firstSheet="4" activeTab="4" xr2:uid="{046E909E-5AFA-4B82-BD87-FF54887FFFD3}"/>
  </bookViews>
  <sheets>
    <sheet name="stressInfo" sheetId="126" state="hidden" r:id="rId1"/>
    <sheet name="_StressInfo_" sheetId="127" state="hidden" r:id="rId2"/>
    <sheet name="_@RISKFitInformation" sheetId="263" state="hidden" r:id="rId3"/>
    <sheet name="RiskSerializationData8" sheetId="462" state="hidden" r:id="rId4"/>
    <sheet name="model" sheetId="1" r:id="rId5"/>
    <sheet name="inf_herds1" sheetId="135" r:id="rId6"/>
  </sheets>
  <definedNames>
    <definedName name="_AtRisk_FitDataRange_FIT_4255E_8ECEA" hidden="1">#REF!</definedName>
    <definedName name="_AtRisk_FitDataRange_FIT_6FAF8_E0F09" hidden="1">inf_herds1!$J$10:$J$54</definedName>
    <definedName name="_AtRisk_FitDataRange_FIT_C101A_1260F" hidden="1">#REF!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10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3">RiskSerializationData8!$6:$29</definedName>
    <definedName name="DistributionRecords" localSheetId="3">RiskSerializationData8!$32:$52</definedName>
    <definedName name="Pal_Workbook_GUID" hidden="1">"RCRR8J3HIYMY2RD57TFF6M27"</definedName>
    <definedName name="RiskAfterRecalcMacro" hidden="1">""</definedName>
    <definedName name="RiskAfterSimMacro" hidden="1">""</definedName>
    <definedName name="riskATSTbaselineRequested" hidden="1">TRUE</definedName>
    <definedName name="riskATSTboxGraph" hidden="1">TRUE</definedName>
    <definedName name="riskATSTcomparisonGraph" hidden="1">TRUE</definedName>
    <definedName name="riskATSThistogramGraph" hidden="1">FALSE</definedName>
    <definedName name="riskATSToutputStatistic" hidden="1">4</definedName>
    <definedName name="riskATSTprintReport" hidden="1">FALSE</definedName>
    <definedName name="riskATSTreportsInActiveBook" hidden="1">FALSE</definedName>
    <definedName name="riskATSTsequentialStress" hidden="1">TRUE</definedName>
    <definedName name="riskATSTsummaryReport" hidden="1">TRUE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11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erializationHeader" localSheetId="3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" i="462" l="1"/>
  <c r="A36" i="462"/>
  <c r="A35" i="462"/>
  <c r="P29" i="462"/>
  <c r="L29" i="462"/>
  <c r="A29" i="462"/>
  <c r="L28" i="462"/>
  <c r="A28" i="462"/>
  <c r="L27" i="462"/>
  <c r="A27" i="462"/>
  <c r="L26" i="462"/>
  <c r="A26" i="462"/>
  <c r="L25" i="462"/>
  <c r="A25" i="462"/>
  <c r="L24" i="462"/>
  <c r="A24" i="462"/>
  <c r="L23" i="462"/>
  <c r="A23" i="462"/>
  <c r="L22" i="462"/>
  <c r="A22" i="462"/>
  <c r="P21" i="462"/>
  <c r="L21" i="462"/>
  <c r="A21" i="462"/>
  <c r="P20" i="462"/>
  <c r="A20" i="462"/>
  <c r="A19" i="462"/>
  <c r="A18" i="462"/>
  <c r="L17" i="462"/>
  <c r="A17" i="462"/>
  <c r="P16" i="462"/>
  <c r="L16" i="462"/>
  <c r="A16" i="462"/>
  <c r="P15" i="462"/>
  <c r="L15" i="462"/>
  <c r="A15" i="462"/>
  <c r="L14" i="462"/>
  <c r="A14" i="462"/>
  <c r="L13" i="462"/>
  <c r="A13" i="462"/>
  <c r="A12" i="462"/>
  <c r="L11" i="462"/>
  <c r="A11" i="462"/>
  <c r="L10" i="462"/>
  <c r="A10" i="462"/>
  <c r="L9" i="462"/>
  <c r="A9" i="462"/>
  <c r="L8" i="462"/>
  <c r="A8" i="462"/>
  <c r="L7" i="462"/>
  <c r="A7" i="462"/>
  <c r="L6" i="462"/>
  <c r="A6" i="462"/>
  <c r="C11" i="263"/>
  <c r="D33" i="1" l="1"/>
  <c r="D88" i="1"/>
  <c r="D32" i="1"/>
  <c r="D31" i="1"/>
  <c r="D30" i="1"/>
  <c r="D25" i="1"/>
  <c r="D26" i="1"/>
  <c r="D78" i="1" s="1"/>
  <c r="D20" i="1"/>
  <c r="D12" i="1"/>
  <c r="G4" i="135"/>
  <c r="D91" i="1"/>
  <c r="D92" i="1"/>
  <c r="D15" i="1" a="1"/>
  <c r="D71" i="1" a="1"/>
  <c r="D56" i="1" a="1"/>
  <c r="D14" i="1" a="1"/>
  <c r="D8" i="1" a="1"/>
  <c r="D57" i="1" a="1"/>
  <c r="D35" i="1" a="1"/>
  <c r="D67" i="1" a="1"/>
  <c r="D73" i="1" a="1"/>
  <c r="I3" i="135" a="1"/>
  <c r="D9" i="1" a="1"/>
  <c r="D70" i="1" a="1"/>
  <c r="D77" i="1" a="1"/>
  <c r="D76" i="1" a="1"/>
  <c r="D74" i="1" a="1"/>
  <c r="D68" i="1" a="1"/>
  <c r="D68" i="1" l="1"/>
  <c r="D63" i="1" s="1"/>
  <c r="D74" i="1"/>
  <c r="D65" i="1" s="1"/>
  <c r="D76" i="1"/>
  <c r="A38" i="462" s="1"/>
  <c r="D77" i="1"/>
  <c r="A33" i="462" s="1"/>
  <c r="D70" i="1"/>
  <c r="A42" i="462" s="1"/>
  <c r="D9" i="1"/>
  <c r="A49" i="462" s="1"/>
  <c r="I3" i="135"/>
  <c r="G5" i="135" s="1"/>
  <c r="A32" i="462" s="1"/>
  <c r="D73" i="1"/>
  <c r="A41" i="462" s="1"/>
  <c r="D67" i="1"/>
  <c r="A43" i="462" s="1"/>
  <c r="D35" i="1"/>
  <c r="A52" i="462" s="1"/>
  <c r="D57" i="1"/>
  <c r="D62" i="1" s="1"/>
  <c r="A37" i="462" s="1"/>
  <c r="D8" i="1"/>
  <c r="A50" i="462" s="1"/>
  <c r="D14" i="1"/>
  <c r="A48" i="462" s="1"/>
  <c r="D56" i="1"/>
  <c r="A44" i="462" s="1"/>
  <c r="D71" i="1"/>
  <c r="A34" i="462" s="1"/>
  <c r="D15" i="1"/>
  <c r="A47" i="462" s="1"/>
  <c r="D16" i="1" l="1"/>
  <c r="D36" i="1"/>
  <c r="D66" i="1"/>
  <c r="D64" i="1"/>
  <c r="B89" i="135"/>
  <c r="B12" i="135"/>
  <c r="B18" i="135"/>
  <c r="B91" i="135"/>
  <c r="B13" i="135"/>
  <c r="B14" i="135"/>
  <c r="B51" i="135"/>
  <c r="B83" i="135"/>
  <c r="B2" i="135"/>
  <c r="D89" i="1" s="1"/>
  <c r="B78" i="135"/>
  <c r="B76" i="135"/>
  <c r="B30" i="135"/>
  <c r="B81" i="135"/>
  <c r="B99" i="135"/>
  <c r="B68" i="135"/>
  <c r="B19" i="135"/>
  <c r="B65" i="135"/>
  <c r="B46" i="135"/>
  <c r="B26" i="135"/>
  <c r="B47" i="135"/>
  <c r="B57" i="135"/>
  <c r="B20" i="135"/>
  <c r="B97" i="135"/>
  <c r="B32" i="135"/>
  <c r="B61" i="135"/>
  <c r="B88" i="135"/>
  <c r="B54" i="135"/>
  <c r="B50" i="135"/>
  <c r="B53" i="135"/>
  <c r="B8" i="135"/>
  <c r="B84" i="135"/>
  <c r="B5" i="135"/>
  <c r="B98" i="135"/>
  <c r="B44" i="135"/>
  <c r="B100" i="135"/>
  <c r="B75" i="135"/>
  <c r="B67" i="135"/>
  <c r="B34" i="135"/>
  <c r="B52" i="135"/>
  <c r="B28" i="135"/>
  <c r="B6" i="135"/>
  <c r="B63" i="135"/>
  <c r="B42" i="135"/>
  <c r="B7" i="135"/>
  <c r="B36" i="135"/>
  <c r="B72" i="135"/>
  <c r="B49" i="135"/>
  <c r="B4" i="135"/>
  <c r="B95" i="135"/>
  <c r="B43" i="135"/>
  <c r="B45" i="135"/>
  <c r="B66" i="135"/>
  <c r="B40" i="135"/>
  <c r="B9" i="135"/>
  <c r="B17" i="135"/>
  <c r="B59" i="135"/>
  <c r="B101" i="135"/>
  <c r="B103" i="135"/>
  <c r="B31" i="135"/>
  <c r="B55" i="135"/>
  <c r="B69" i="135"/>
  <c r="B37" i="135"/>
  <c r="B27" i="135"/>
  <c r="B48" i="135"/>
  <c r="B73" i="135"/>
  <c r="B70" i="135"/>
  <c r="B104" i="135"/>
  <c r="B96" i="135"/>
  <c r="B64" i="135"/>
  <c r="B87" i="135"/>
  <c r="B23" i="135"/>
  <c r="B16" i="135"/>
  <c r="B11" i="135"/>
  <c r="B60" i="135"/>
  <c r="B80" i="135"/>
  <c r="B82" i="135"/>
  <c r="B39" i="135"/>
  <c r="B25" i="135"/>
  <c r="B38" i="135"/>
  <c r="B21" i="135"/>
  <c r="B102" i="135"/>
  <c r="B56" i="135"/>
  <c r="B92" i="135"/>
  <c r="B71" i="135"/>
  <c r="B33" i="135"/>
  <c r="B24" i="135"/>
  <c r="B29" i="135"/>
  <c r="B90" i="135"/>
  <c r="B35" i="135"/>
  <c r="B62" i="135"/>
  <c r="B10" i="135"/>
  <c r="B3" i="135"/>
  <c r="B15" i="135"/>
  <c r="B41" i="135"/>
  <c r="B85" i="135"/>
  <c r="B58" i="135"/>
  <c r="B93" i="135"/>
  <c r="B94" i="135"/>
  <c r="B74" i="135"/>
  <c r="B77" i="135"/>
  <c r="B22" i="135"/>
  <c r="B86" i="135"/>
  <c r="B79" i="135"/>
  <c r="C21" i="135" l="1"/>
  <c r="C3" i="135"/>
  <c r="C101" i="135"/>
  <c r="C36" i="135"/>
  <c r="C64" i="135"/>
  <c r="C98" i="135"/>
  <c r="C57" i="135"/>
  <c r="C79" i="135"/>
  <c r="C22" i="135"/>
  <c r="C10" i="135"/>
  <c r="C38" i="135"/>
  <c r="C96" i="135"/>
  <c r="C59" i="135"/>
  <c r="C7" i="135"/>
  <c r="C63" i="135"/>
  <c r="C77" i="135"/>
  <c r="C82" i="135"/>
  <c r="C39" i="135"/>
  <c r="C70" i="135"/>
  <c r="C9" i="135"/>
  <c r="C86" i="135"/>
  <c r="C62" i="135"/>
  <c r="C25" i="135"/>
  <c r="C104" i="135"/>
  <c r="C17" i="135"/>
  <c r="C42" i="135"/>
  <c r="C84" i="135"/>
  <c r="C26" i="135"/>
  <c r="C51" i="135"/>
  <c r="C35" i="135"/>
  <c r="C90" i="135"/>
  <c r="C45" i="135"/>
  <c r="C60" i="135"/>
  <c r="C37" i="135"/>
  <c r="C43" i="135"/>
  <c r="C34" i="135"/>
  <c r="C94" i="135"/>
  <c r="C52" i="135"/>
  <c r="C33" i="135"/>
  <c r="C24" i="135"/>
  <c r="C18" i="135"/>
  <c r="C80" i="135"/>
  <c r="C54" i="135"/>
  <c r="C93" i="135"/>
  <c r="C41" i="135"/>
  <c r="C56" i="135"/>
  <c r="C23" i="135"/>
  <c r="C31" i="135"/>
  <c r="C49" i="135"/>
  <c r="C100" i="135"/>
  <c r="C97" i="135"/>
  <c r="C27" i="135"/>
  <c r="C68" i="135"/>
  <c r="C15" i="135"/>
  <c r="C102" i="135"/>
  <c r="C87" i="135"/>
  <c r="C103" i="135"/>
  <c r="C72" i="135"/>
  <c r="C44" i="135"/>
  <c r="C20" i="135"/>
  <c r="C73" i="135"/>
  <c r="C40" i="135"/>
  <c r="C74" i="135"/>
  <c r="C29" i="135"/>
  <c r="C48" i="135"/>
  <c r="C66" i="135"/>
  <c r="C28" i="135"/>
  <c r="C50" i="135"/>
  <c r="C19" i="135"/>
  <c r="C91" i="135"/>
  <c r="C12" i="135"/>
  <c r="C99" i="135"/>
  <c r="C71" i="135"/>
  <c r="C11" i="135"/>
  <c r="C69" i="135"/>
  <c r="C95" i="135"/>
  <c r="C67" i="135"/>
  <c r="C61" i="135"/>
  <c r="C81" i="135"/>
  <c r="C89" i="135"/>
  <c r="C88" i="135"/>
  <c r="C58" i="135"/>
  <c r="C85" i="135"/>
  <c r="C92" i="135"/>
  <c r="C16" i="135"/>
  <c r="C55" i="135"/>
  <c r="C4" i="135"/>
  <c r="C75" i="135"/>
  <c r="C32" i="135"/>
  <c r="C30" i="135"/>
  <c r="C76" i="135"/>
  <c r="C78" i="135"/>
  <c r="C5" i="135"/>
  <c r="C47" i="135"/>
  <c r="C83" i="135"/>
  <c r="C8" i="135"/>
  <c r="C46" i="135"/>
  <c r="C14" i="135"/>
  <c r="C6" i="135"/>
  <c r="C53" i="135"/>
  <c r="C65" i="135"/>
  <c r="C13" i="135"/>
  <c r="D6" i="1" a="1"/>
  <c r="D6" i="1" l="1"/>
  <c r="A51" i="462" s="1"/>
  <c r="D7" i="1" l="1"/>
  <c r="D10" i="1" s="1"/>
  <c r="D18" i="1" s="1"/>
  <c r="D11" i="1"/>
  <c r="D13" i="1" s="1"/>
  <c r="D19" i="1" s="1"/>
  <c r="D22" i="1" s="1"/>
  <c r="D17" i="1" l="1"/>
  <c r="D21" i="1" l="1"/>
  <c r="D39" i="1" s="1"/>
  <c r="D37" i="1"/>
  <c r="D40" i="1" l="1"/>
  <c r="D44" i="1"/>
  <c r="D45" i="1" s="1"/>
  <c r="D43" i="1"/>
  <c r="D42" i="1"/>
  <c r="D38" i="1"/>
  <c r="D48" i="1" s="1"/>
  <c r="D50" i="1" s="1"/>
  <c r="D51" i="1" s="1"/>
  <c r="D46" i="1"/>
  <c r="A46" i="462" l="1"/>
  <c r="D47" i="1"/>
  <c r="D41" i="1"/>
  <c r="D55" i="1"/>
  <c r="D93" i="1" s="1"/>
  <c r="C2" i="127"/>
  <c r="D52" i="1"/>
  <c r="A45" i="462" l="1"/>
  <c r="D53" i="1"/>
  <c r="D58" i="1" s="1"/>
  <c r="D69" i="1" s="1"/>
  <c r="D95" i="1"/>
  <c r="D101" i="1"/>
  <c r="D72" i="1" l="1"/>
  <c r="D75" i="1" s="1"/>
  <c r="D79" i="1" s="1"/>
  <c r="D80" i="1" s="1"/>
  <c r="D81" i="1"/>
  <c r="D102" i="1" a="1"/>
  <c r="A40" i="462" l="1"/>
  <c r="D102" i="1"/>
  <c r="D87" i="1"/>
  <c r="D82" i="1"/>
  <c r="D94" i="1" s="1"/>
  <c r="D96" i="1" a="1"/>
  <c r="D96" i="1" l="1"/>
  <c r="D99" i="1"/>
  <c r="D100" i="1" s="1" a="1"/>
  <c r="D10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<sst xmlns="http://schemas.openxmlformats.org/spreadsheetml/2006/main" count="513" uniqueCount="389">
  <si>
    <t>RecommendedVersion</t>
  </si>
  <si>
    <t>RequiredVersion</t>
  </si>
  <si>
    <t>CellToMonitor</t>
  </si>
  <si>
    <t>StressSimultaneously</t>
  </si>
  <si>
    <t>IncludedReports</t>
  </si>
  <si>
    <t>ReportDestination</t>
  </si>
  <si>
    <t>NumGroups</t>
  </si>
  <si>
    <t>NumInputs</t>
  </si>
  <si>
    <t>8.3.0</t>
  </si>
  <si>
    <t>VariationMethod</t>
  </si>
  <si>
    <t>LowerPercentile</t>
  </si>
  <si>
    <t>UpperPercentile</t>
  </si>
  <si>
    <t>UseIndividualSubstitutionFunctions</t>
  </si>
  <si>
    <t>SubstitutionFunction</t>
  </si>
  <si>
    <t>RangesCount</t>
  </si>
  <si>
    <t>Ranges</t>
  </si>
  <si>
    <t>GroupIndex</t>
  </si>
  <si>
    <t>Cell</t>
  </si>
  <si>
    <t>DistributionPosition</t>
  </si>
  <si>
    <t>Enabled</t>
  </si>
  <si>
    <t>SubstitutionFunctionIndividual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</si>
  <si>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</si>
  <si>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</si>
  <si>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</si>
  <si>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</si>
  <si>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</si>
  <si>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</si>
  <si>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</si>
  <si>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</si>
  <si>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</si>
  <si>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</si>
  <si>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</si>
  <si>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</si>
  <si>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</si>
  <si>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</si>
  <si>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</si>
  <si>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</si>
  <si>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</si>
  <si>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</si>
  <si>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</si>
  <si>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</si>
  <si>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</si>
  <si>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GF1_rK0qDwEAEwDJAAwjACcAPABQAGQAZQBzAIEApADFAL8AKwD//wAAAAAAAAEEAAAAAAdHZW5lcmFsAAAAAQ4xLWV4cCgtZG9zZSpyKQEAAQEQAAIAAQpTdGF0aXN0aWNzAwEBAP8BAQEBAQABAQEABAAAAAEBAQEBAAEBAQAEAAAAAYUAAhsADjEtZXhwKC1kb3NlKnIpAAAA/9wUPAEAAAIAAgCsALYAAQEDAZqZmZmZmak/AABb5gh0gSbtPgEFAAEBAQABAQEA</t>
  </si>
  <si>
    <t>GF1_rK0qDwEAEwAbAQwjACcAOQB4AIwAjQCbAKkA9wAXAREBKwD//wAAAAAAAAEEAAAAAAQwLjAwAAAAATlRdWFudGl0eSBvZiB2aXJ1cyBpbiBwYXN0ZXVyaXplZCBtaWxrIHRhbmssIGNvdW50IC8gVmFsdWUBAAEBEAACAAEKU3RhdGlzdGljcwMBAQD/AQEBAQEAAQEBAAQAAAABAQEBAQABAQEABAAAAAGtAAJGADlRdWFudGl0eSBvZiB2aXJ1cyBpbiBwYXN0ZXVyaXplZCBtaWxrIHRhbmssIGNvdW50IC8gVmFsdWUAAAD/3BQ8AQAAAgACAP8ACAEBAQMBAAAAAAAA8P8BAAAAAAAAAAABBQABAQEAAQEBAA==</t>
  </si>
  <si>
    <t>GF1_rK0qDwEAEwDqAAwjACcAPABhAHUAdgCEAJIAxgDmAOAAKwD//wAAAAAAAAEEAAAAAAdHZW5lcmFsAAAAAR9BbGlxdW90IGFib3ZlIExvRCAoMC8xKSAvIFZhbHVlAQABARAAAgABClN0YXRpc3RpY3MDAQEA/wEBAQEBAAEBAQAEAAAAAQEBAQEAAQEBAAQAAAABlgACLAAfQWxpcXVvdCBhYm92ZSBMb0QgKDAvMSkgLyBWYWx1ZQAAAP/cFDwBAAACAAIAzgDXAAEBAwEAAAAAAADw/wHLzMzMzMzcPwEFAAEBAQABAQEA</t>
  </si>
  <si>
    <t>GF1_rK0qDwEAEwABAQwjACcAPABsAIAAgQCPAJ0A3AD9APcAKwD//wAAAAAAAAEEAAAAAAdHZW5lcmFsAAAAASpyYXdfdmlyYWxfY29uY2VudHJhdGlvbl90YW5rX2NvdW50IC8gVmFsdWUBAAEBEAACAAEKU3RhdGlzdGljcwMBAQD/AQEBAQEAAQEBAAQAAAABAQEBAQABAQEABAAAAAGhAAI3ACpyYXdfdmlyYWxfY29uY2VudHJhdGlvbl90YW5rX2NvdW50IC8gVmFsdWUAAAD/3BQ8AQAAAgACAOQA7gABAQMBmpmZmZmZqT8AAAAAAAAAAPD/AQUAAQEBAAEBAQA=</t>
  </si>
  <si>
    <t>0,10,2,.95,5,16,FALSE,0,TRUE,TRUE,TRUE</t>
  </si>
  <si>
    <t>GF1_jYW3AgEAEwCsAQwjAAAAOQC2AMYAxwDlAPMAAAAAAAAAJwD//wAAAQQAAAAAASUHR2VuZXJhbAAAAUVQcm9iYWJpbGl0eSBvZiBpbmZlY3Rpb24gZnJvbSBkcmlua2luZyBhIGN1cCBvZiBtaWxrIC8gMS1leHAoLWRvc2UqcikBMkNoYW5nZSBpbiBPdXRwdXQgTWVhbiBBY3Jvc3MgUmFuZ2Ugb2YgSW5wdXQgVmFsdWVzAQEMAAEAAQZMZWdlbmQDAAEA/wEBAQEBEElucHV0IFBlcmNlbnRpbGUBAQEABAAAAAEBAQEBAAEBAQAEAAAAChIBB1sBB2QBB20BB3YBB38BB4gBB5EBB5oBB6MBB0kAQFF1YW50aXR5IG9mIHZpcnVzIGluIHBhc3RldXJpemVkIHNlcnZpbmcsIGNvdW50IC8gMS1leHAoLWRvc2UqcikAAC8BAAAJAAAAASUBAAAJAAAAAk8BAAAJAAAAA4wBAAAJAAAABEwBAAAJAAAABTkBAAAJAAAABk4BAAAJAAAAByMBAAAJAAAACCkBAAAJAAAACWABAAA=</t>
  </si>
  <si>
    <t>Distribution Record</t>
  </si>
  <si>
    <t>Reserved</t>
  </si>
  <si>
    <t>Record Count</t>
  </si>
  <si>
    <t>Inputs</t>
  </si>
  <si>
    <t>Parameter</t>
  </si>
  <si>
    <t>ID</t>
  </si>
  <si>
    <t>Value</t>
  </si>
  <si>
    <t>Units</t>
  </si>
  <si>
    <t>Source</t>
  </si>
  <si>
    <t>Comment</t>
  </si>
  <si>
    <t>Herd dynamics</t>
  </si>
  <si>
    <t>herds</t>
  </si>
  <si>
    <t>%, x100</t>
  </si>
  <si>
    <t>Healthy herds in tank</t>
  </si>
  <si>
    <t>head</t>
  </si>
  <si>
    <t>Heatlhy cows milked</t>
  </si>
  <si>
    <t>Infected cows milked</t>
  </si>
  <si>
    <t>Healthy cows diverted</t>
  </si>
  <si>
    <t>Infected cows diverted</t>
  </si>
  <si>
    <t>gal/head</t>
  </si>
  <si>
    <t>Infected cow daily milk yield</t>
  </si>
  <si>
    <t>Infected milk in tank</t>
  </si>
  <si>
    <t>gal</t>
  </si>
  <si>
    <t>Healthy milk in tank</t>
  </si>
  <si>
    <t>Infected milk diverted</t>
  </si>
  <si>
    <t>Healthy milk diverted</t>
  </si>
  <si>
    <t>Total daily milk in tank</t>
  </si>
  <si>
    <t>Total daily milk diverted</t>
  </si>
  <si>
    <t>Constants referenced</t>
  </si>
  <si>
    <t>mL per gallon</t>
  </si>
  <si>
    <t>mL/gal</t>
  </si>
  <si>
    <t>mL per cup</t>
  </si>
  <si>
    <t>mL/cup</t>
  </si>
  <si>
    <t>Cups per gallon</t>
  </si>
  <si>
    <t>cup/gal</t>
  </si>
  <si>
    <t>logTCID50/0.1mL</t>
  </si>
  <si>
    <t>PCR aliquot size</t>
  </si>
  <si>
    <t>mL</t>
  </si>
  <si>
    <t>servings/year</t>
  </si>
  <si>
    <t>Number of fluid milk processors in US</t>
  </si>
  <si>
    <t>https://www.agproud.com/articles/36693-significant-change-in-ownership-of-fluid-milk-processing-plants-in-the-works</t>
  </si>
  <si>
    <t>Number of dairy herds in US</t>
  </si>
  <si>
    <t>Processing I - Pasteurization</t>
  </si>
  <si>
    <t>log TCID50/mL</t>
  </si>
  <si>
    <t>Shedding level of infected cows, count</t>
  </si>
  <si>
    <t>TCID50/mL</t>
  </si>
  <si>
    <t>Quantity of virus in raw milk tank, count</t>
  </si>
  <si>
    <t>TCID50</t>
  </si>
  <si>
    <t>Quantity of virus in raw milk tank, log</t>
  </si>
  <si>
    <t>logTCID50</t>
  </si>
  <si>
    <t>mL per tank</t>
  </si>
  <si>
    <t>Gallons per tank</t>
  </si>
  <si>
    <t>Proportion of virus from tank in a gallon</t>
  </si>
  <si>
    <t>unitless</t>
  </si>
  <si>
    <t>Concentration of virus in raw milk tank at arrival, count</t>
  </si>
  <si>
    <t>Proportion of virus from tank in an aliquot</t>
  </si>
  <si>
    <t>Aliquots per tank</t>
  </si>
  <si>
    <t>0.1mL aliquots</t>
  </si>
  <si>
    <t>Probability of 0 cells in aliquot</t>
  </si>
  <si>
    <t>Quantity of virus in an aliquot, count</t>
  </si>
  <si>
    <t>Aliquot above LoD (0/1)</t>
  </si>
  <si>
    <t>Quantity of virus in raw milk tank after 1d lag time, logarithmic</t>
  </si>
  <si>
    <t>Processing II- Packaging</t>
  </si>
  <si>
    <t>Quantity of virus in milk tank before packaging, logarithmic</t>
  </si>
  <si>
    <t>Quantity of virus in milk tank before packaging, count</t>
  </si>
  <si>
    <t>Quantity of virus in milk gallon after packaging, count</t>
  </si>
  <si>
    <t xml:space="preserve">clustering </t>
  </si>
  <si>
    <t>Quantity of virus in milk gallon after storage at plant, logarithmic</t>
  </si>
  <si>
    <t>Consumption and infection</t>
  </si>
  <si>
    <t>Dose response curve</t>
  </si>
  <si>
    <t>1-exp(-dose*r)</t>
  </si>
  <si>
    <t>Quantity of virus in milk gallon after arrival at retail, logarithmic</t>
  </si>
  <si>
    <t>Quantity of virus in milk gallon at time of purchase, logarithmic</t>
  </si>
  <si>
    <t>Quantity of virus in milk gallon at arrival at residence, logarithmic</t>
  </si>
  <si>
    <t>Proportion of virus from gallon in a cup</t>
  </si>
  <si>
    <t>Quantity of virus in pasteurized milk gallon at consumption, log</t>
  </si>
  <si>
    <t>Quantity of virus in pasteurized milk gallon at consumption, count</t>
  </si>
  <si>
    <t>Intervention</t>
  </si>
  <si>
    <t>% (x100)</t>
  </si>
  <si>
    <t>log</t>
  </si>
  <si>
    <t>Outputs - Public Health Risk</t>
  </si>
  <si>
    <t>Probability of infection per 1 pasteurized cup of contaminated milk</t>
  </si>
  <si>
    <t>Probability that a plant receives milk from an infected herd</t>
  </si>
  <si>
    <t>Probability that a PCR aliquot contains virus</t>
  </si>
  <si>
    <t>Probability that a contaminated tank proceeds through processing</t>
  </si>
  <si>
    <t>Probability that a gallon is contaminated</t>
  </si>
  <si>
    <t>Probability that milk cup is contaminated</t>
  </si>
  <si>
    <t>Prevalence of contaminated gallon packages</t>
  </si>
  <si>
    <t>Prevalence of contaminated servings</t>
  </si>
  <si>
    <t>Probability of infection from drinking a cup of milk</t>
  </si>
  <si>
    <t>Projected # infections in US per year</t>
  </si>
  <si>
    <t>cases</t>
  </si>
  <si>
    <t>Concentration of virus in milk gallon at retail, logarithmic</t>
  </si>
  <si>
    <t>logTCID50/mL</t>
  </si>
  <si>
    <t>infected_herds</t>
  </si>
  <si>
    <t>tot_dist</t>
  </si>
  <si>
    <t>rel_dist</t>
  </si>
  <si>
    <t>Distribution parameters</t>
  </si>
  <si>
    <t>N</t>
  </si>
  <si>
    <t>n</t>
  </si>
  <si>
    <t>k</t>
  </si>
  <si>
    <t>Name</t>
  </si>
  <si>
    <t>8.6.1</t>
  </si>
  <si>
    <t>processors</t>
  </si>
  <si>
    <t>GF1_rK0qDwEAEwAyAQwjACcAPABZAG0AbgB8AIoADAEuASgBKwD//wAAAAAAAAEEAAAAAAdHZW5lcmFsAAAAARdEaXN0cmlidXRpb24gQ29tcGFyaXNvbgEAAQEQAAIAAQpTdGF0aXN0aWNzAwEBAP8BAQEBAQABAQEABAAAAAEBAQEBAAEBAQAEAAAAApEAArYAAiEAFHVuaXRsZXNzIC8gUWlhbiAyMDIzAAAA/9wUPAEAAAIAAgBSAElQcm9iYWJpbGl0eSBvZiB6ZXJvIGNlbGxzIGluIGEgcGFzdGV1cml6ZWQgc2VydmluZyAoRWNlKSAvIDEtZXhwKC1kb3NlKnIpAAElAQAAAgACABQBHgEBAQMBmpmZmZmZqT8AAGZmZmZmZu4/AAAFAAEBAQABAQEA</t>
  </si>
  <si>
    <t>GF1_rK0qDwEAEwAhAQwjACcAPABZAG0AbgB8AIoA+wAdARcBKwD//wAAAAAAAAEEAAAAAAdHZW5lcmFsAAAAARdEaXN0cmlidXRpb24gQ29tcGFyaXNvbgEAAQEQAAIAAQpTdGF0aXN0aWNzAwEBAP8BAQEBAQABAQEABAAAAAEBAQEBAAEBAQAEAAAAApEAAr0AAigAG3VuaXRsZXNzIC8gRGllZ28gbWFudXNjcmlwdAAAAP/cFDwBAAACAAIAOgAxUHJvYmFiaWxpdHkgb2YgemVybyBjZWxscyBpbiBnYWxsb24gKEVjZSkgLyBWYWx1ZQABJQEAAAIAAgADAQ0BAQEDAZqZmZmZmak/AABmZmZmZmbuPwAABQABAQEAAQEBAA==</t>
  </si>
  <si>
    <t>GF1_rK0qDwEAEwDkAAwjACcAPABeAHIAcwCBAI8AwADgANoAKwD//wAAAAAAAAEEAAAAAAdHZW5lcmFsAAAAARxpbmZlY3RlZF9jb3dzX21pbGtlZCAvIFZhbHVlAQABARAAAgABClN0YXRpc3RpY3MDAQEA/wEBAQEBAAEBAQAEAAAAAQEBAQEAAQEBAAQAAAABkwACKQAcaW5mZWN0ZWRfY293c19taWxrZWQgLyBWYWx1ZQAAAP/cFDwBAAACAAIAyADRAAEBAwEAAAAAAADw/wEAAAAAAAAAAAEFAAEBAQABAQEA</t>
  </si>
  <si>
    <t>Quantity of virus in milk gallon after packaging, logarithmic</t>
  </si>
  <si>
    <t>PCR TESTING PERFORMED? (0=no,1=yes)</t>
  </si>
  <si>
    <t>Probability of zero cells in gallon</t>
  </si>
  <si>
    <t>Probability of zero cells in a serving</t>
  </si>
  <si>
    <t>2,10,2,.95,5,16,FALSE,0,TRUE,TRUE,TRUE</t>
  </si>
  <si>
    <t>Boolean</t>
  </si>
  <si>
    <t>Created By Version</t>
  </si>
  <si>
    <t>Required Version</t>
  </si>
  <si>
    <t>5.0.0</t>
  </si>
  <si>
    <t>Recommended Version</t>
  </si>
  <si>
    <t>Modified By Version</t>
  </si>
  <si>
    <t>Count</t>
  </si>
  <si>
    <t>GUID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</si>
  <si>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</si>
  <si>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</si>
  <si>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</si>
  <si>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</si>
  <si>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</si>
  <si>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</si>
  <si>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</si>
  <si>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</si>
  <si>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</si>
  <si>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</si>
  <si>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</si>
  <si>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</si>
  <si>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</si>
  <si>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F1	0	0	-1E+300	1E+300	1	0	0	0	0	1	25	BetaGeneral	Binomial	Expon	ExtValue	Gamma	Geomet	IntUniform	InvGauss	Logistic	LogLogistic	Lognorm	NegBin	Normal	Pareto	Pearson5	Pearson6	Pert	Poisson	Triang	Uniform	Weibull	ExtValueMin	Laplace	Levy	Kumaraswamy	0	1	-1	1	0	1	0	0	0</t>
  </si>
  <si>
    <t xml:space="preserve">0	8								</t>
  </si>
  <si>
    <t>F1	FALSE	1000	.95</t>
  </si>
  <si>
    <t>Quantity of virus in serving, count</t>
  </si>
  <si>
    <t>1_x0001_57_x0001_0_x0001_RiskUniform(0,0.99,RiskName("% Diversion"),RiskStatic(0))</t>
  </si>
  <si>
    <t>GF1_rK0qDwEAEwC+AAwjACcAPABNAGEAYgBwAH4AmAC6ALQAKwD//wAAAAAAAAEEAAAAAAdHZW5lcmFsAAAAAQslIERpdmVyc2lvbgEAAQEQAAIAAQpTdGF0aXN0aWNzAwEBAP8BAQEBAQABAQEABAAAAAEBAQEBAAEBAQAEAAAAAYIAABQAB1VuaWZvcm0AAAD/AAD/AQAAAgCgAKoAAQEDAZqZmZmZmak/AABmZmZmZmbuPwAABQABAQEAAQEBAA==</t>
  </si>
  <si>
    <t>11_x0001_62_x0001_0_x0001_RiskBinomial(D75,D73,RiskName("Quantity of Virus in Serving"))</t>
  </si>
  <si>
    <t>GF1_rK0qDwEAEwDQAAwjACcAPABeAHIAcwCBAI8AqgDMAMYAKwD//wAAAAAAAAEEAAAAAAdHZW5lcmFsAAAAARxRdWFudGl0eSBvZiBWaXJ1cyBpbiBTZXJ2aW5nAQABARAAAgABClN0YXRpc3RpY3MDAQEA/wEBAQEBAAEBAQAEAAAAAQEBAQEAAQEBAAQAAAABkwAAFQAIQmlub21pYWwAAAD/AAD/AQAAAgCyALwAAQEDAZqZmZmZmak/AABmZmZmZmbuPwAABQABAQEAAQEBAA==</t>
  </si>
  <si>
    <t>77_x0001_20_x0001_1_x0001_RiskPoisson(D75*D73)</t>
  </si>
  <si>
    <t>1_x0001_93_x0001_0_x0001_RiskNormal(0.042,0.02,RiskTruncate(0.01,0.24),RiskName("Duration of Transport to Residence"))</t>
  </si>
  <si>
    <t>GF1_rK0qDwEAEwDTAAwjACcAPABkAHgAeQCHAJUArgDPAMkAKwD//wAAAAAAAAEEAAAAAAdHZW5lcmFsAAAAASJEdXJhdGlvbiBvZiBUcmFuc3BvcnQgdG8gUmVzaWRlbmNlAQABARAAAgABClN0YXRpc3RpY3MDAQEA/wEBAQEBAAEBAQAEAAAAAQEBAQEAAQEBAAQAAAABmQAAEwAGTm9ybWFsAAAA/wAA/wEAAAIAtgDAAAEBAwGamZmZmZmpPwAAAAAAAAAA8H8BBQABAQEAAQEBAA==</t>
  </si>
  <si>
    <t>1_x0001_85_x0001_0_x0001_RiskNormal(1.82,3.3,RiskTruncate(0.042,10),RiskName("Duration of Storage at Retail"))</t>
  </si>
  <si>
    <t>GF1_rK0qDwEAEwDOAAwjACcAPABfAHMAdACCAJAAqQDKAMQAKwD//wAAAAAAAAEEAAAAAAdHZW5lcmFsAAAAAR1EdXJhdGlvbiBvZiBTdG9yYWdlIGF0IFJldGFpbAEAAQEQAAIAAQpTdGF0aXN0aWNzAwEBAP8BAQEBAQABAQEABAAAAAEBAQEBAAEBAQAEAAAAAZQAABMABk5vcm1hbAAAAP8AAP8BAAACALEAugABAQMBAAAAAAAA8P8BZmZmZmZm7j8AAAUAAQEBAAEBAQA=</t>
  </si>
  <si>
    <t>1_x0001_62_x0001_0_x0001_RiskTriang(1,5,10,RiskName("Duration of Transport to Retail"))</t>
  </si>
  <si>
    <t>GF1_rK0qDwEAEwDRAAwjACcAPABhAHUAdgCEAJIAqwDNAMcAKwD//wAAAAAAAAEEAAAAAAdHZW5lcmFsAAAAAR9EdXJhdGlvbiBvZiBUcmFuc3BvcnQgdG8gUmV0YWlsAQABARAAAgABClN0YXRpc3RpY3MDAQEA/wEBAQEBAAEBAQAEAAAAAQEBAQEAAQEBAAQAAAABlgAAEwAGVHJpYW5nAAAA/wAA/wEAAAIAswC9AAEBAwGamZmZmZmpPwAAZmZmZmZm7j8AAAUAAQEBAAEBAQA=</t>
  </si>
  <si>
    <t>1_x0001_57_x0001_0_x0001_RiskUniform(1,2,RiskName("Duration of Storage at Plant"))</t>
  </si>
  <si>
    <t>GF1_rK0qDwEAEwDPAAwjACcAPABeAHIAcwCBAI8AqQDLAMUAKwD//wAAAAAAAAEEAAAAAAdHZW5lcmFsAAAAARxEdXJhdGlvbiBvZiBTdG9yYWdlIGF0IFBsYW50AQABARAAAgABClN0YXRpc3RpY3MDAQEA/wEBAQEBAAEBAQAEAAAAAQEBAQEAAQEBAAQAAAABkwAAFAAHVW5pZm9ybQAAAP8AAP8BAAACALEAuwABAQMBmpmZmZmZqT8AAGZmZmZmZu4/AAAFAAEBAQABAQEA</t>
  </si>
  <si>
    <t>13_x0001_61_x0001_0_x0001_RiskBinomial(D55,D45,RiskName("Quantity of Virus in Gallon"))</t>
  </si>
  <si>
    <t>GF1_rK0qDwEAEwDJAAwjACcANgBXAGsAbAB6AIgAowDFAL8AKwD//wAAAAAAAAEEAAAAAAEwAAAAARtRdWFudGl0eSBvZiBWaXJ1cyBpbiBHYWxsb24BAAEBEAACAAEKU3RhdGlzdGljcwMBAQD/AQEBAQEAAQEBAAQAAAABAQEBAQABAQEABAAAAAGMAAAVAAhCaW5vbWlhbAAAAP8AAP8BAAACAKsAtQABAQMBmpmZmZmZqT8AAGZmZmZmZu4/AAAFAAEBAQABAQEA</t>
  </si>
  <si>
    <t>78_x0001_20_x0001_1_x0001_RiskPoisson(D55*D45)</t>
  </si>
  <si>
    <t>13_x0001_65_x0001_0_x0001_RiskBinomial(D41,D47,RiskName("Quantity of Virus in an Aliquot"))</t>
  </si>
  <si>
    <t>GF1_rK0qDwEAEwDRAAwjACcAOgBfAHMAdACCAJAAqwDNAMcAKwD//wAAAAAAAAEEAAAAAAUjLCMjMAAAAAEfUXVhbnRpdHkgb2YgVmlydXMgaW4gYW4gQWxpcXVvdAEAAQEQAAIAAQpTdGF0aXN0aWNzAwEBAP8BAQEBAQABAQEABAAAAAEBAQEBAAEBAQAEAAAAAZQAABUACEJpbm9taWFsAAAA/wAA/wEAAAIAswC9AAEBAwGamZmZmZmpPwAAZmZmZmZm7j8AAAUAAQEBAAEBAQA=</t>
  </si>
  <si>
    <t>82_x0001_20_x0001_1_x0001_RiskPoisson(D41*D47)</t>
  </si>
  <si>
    <t>1_x0001_80_x0001_0_x0001_RiskPert(0.5,0.6,1,RiskName("Infected Cow Relative Milk Yield"),RiskStatic(0.6))</t>
  </si>
  <si>
    <t>GF1_rK0qDwEAEwDQAAwjACcAPABiAHYAdwCFAJMAqgDMAMYAKwD//wAAAAAAAAEEAAAAAAdHZW5lcmFsAAAAASBJbmZlY3RlZCBDb3cgUmVsYXRpdmUgTWlsayBZaWVsZAEAAQEQAAIAAQpTdGF0aXN0aWNzAwEBAP8BAQEBAQABAQEABAAAAAEBAQEBAAEBAQAEAAAAAZcAABEABFBlcnQAAAD/AAD/AQAAAgCyALwAAQEDAZqZmZmZmak/AABmZmZmZmbuPwAABQABAQEAAQEBAA==</t>
  </si>
  <si>
    <t>1_x0001_67_x0001_0_x0001_RiskPert(8,9,10,RiskName("Healthy Cow Milk Yield"),RiskStatic(9.2))</t>
  </si>
  <si>
    <t>GF1_rK0qDwEAEwDGAAwjACcAPABYAGwAbQB7AIkAoADCALwAKwD//wAAAAAAAAEEAAAAAAdHZW5lcmFsAAAAARZIZWFsdGh5IENvdyBNaWxrIFlpZWxkAQABARAAAgABClN0YXRpc3RpY3MDAQEA/wEBAQEBAAEBAQAEAAAAAQEBAQEAAQEBAAQAAAABjQAAEQAEUGVydAAAAP8AAP8BAAACAKgAsgABAQMBmpmZmZmZqT8AAGZmZmZmZu4/AAAFAAEBAQABAQEA</t>
  </si>
  <si>
    <t>1_x0001_66_x0001_0_x0001_RiskUniform(0.0342,0.2349,RiskName("Prevalence"),RiskStatic(0.05))</t>
  </si>
  <si>
    <t>GF1_rK0qDwEAEwC9AAwjACcAPABMAGAAYQBvAH0AlwC5ALMAKwD//wAAAAAAAAEEAAAAAAdHZW5lcmFsAAAAAQpQcmV2YWxlbmNlAQABARAAAgABClN0YXRpc3RpY3MDAQEA/wEBAQEBAAEBAQAEAAAAAQEBAQEAAQEBAAQAAAABgQAAFAAHVW5pZm9ybQAAAP8AAP8BAAACAJ8AqQABAQMBmpmZmZmZqT8AAGZmZmZmZu4/AAAFAAEBAQABAQEA</t>
  </si>
  <si>
    <t>5_x0001_70_x0001_0_x0001_RiskTriang(20,350,5000,RiskName("Average Herd Size"),RiskStatic(1000))</t>
  </si>
  <si>
    <t>GF1_rK0qDwEAEwDDAAwjACcAPABTAGcAaAB2AIQAnQC/ALkAKwD//wAAAAAAAAEEAAAAAAdHZW5lcmFsAAAAARFBdmVyYWdlIEhlcmQgU2l6ZQEAAQEQAAIAAQpTdGF0aXN0aWNzAwEBAP8BAQEBAQABAQEABAAAAAEBAQEBAAEBAQAEAAAAAYgAABMABlRyaWFuZwAAAP8AAP8BAAACAKUArwABAQMBmpmZmZmZqT8AAGZmZmZmZu4/AAAFAAEBAQABAQEA</t>
  </si>
  <si>
    <t>1_x0001_262_x0001_0_x0001_RiskDiscrete({1,2,3,4,5,6,7,8,9,10,11,12,13,14,15,16,17,18,19,20,21,22,23,24,25,26,27,28,29,30,31,32,33,34,35,36,37,38,39,40,41,42,43,44,45,46,47,48,49,50,51,52,53,54,55,56,57,58,59,60,61,62,63,64,65,66,67,68,69},inf_herds!C3:C71,RiskName("# of Infected Herds"))</t>
  </si>
  <si>
    <t>GF1_rK0qDwEAEwDFAAwjACcAPABVAGkAagB4AIYAoQDBALsAKwD//wAAAAAAAAEEAAAAAAdHZW5lcmFsAAAAARMjIG9mIEluZmVjdGVkIEhlcmRzAQABARAAAgABClN0YXRpc3RpY3MDAQEA/wEBAQEBAAEBAQAEAAAAAQEBAQEAAQEBAAQAAAABigAAFQAIRGlzY3JldGUAAAD/AAD/AQAAAgCpALIAAQEDAQAAAAAAAPD/ATQzMzMzM+M/AQUAAQEBAAEBAQA=</t>
  </si>
  <si>
    <t>1_x0001_56_x0001_0_x0001_RiskPert(4,6.5,8.8,RiskName("Shedding"),RiskStatic(6.5))</t>
  </si>
  <si>
    <t>GF1_rK0qDwEAEwC4AAwjACcAPABKAF4AXwBtAHsAkgC0AK4AKwD//wAAAAAAAAEEAAAAAAdHZW5lcmFsAAAAAQhTaGVkZGluZwEAAQEQAAIAAQpTdGF0aXN0aWNzAwEBAP8BAQEBAQABAQEABAAAAAEBAQEBAAEBAQAEAAAAAX8AABEABFBlcnQAAAD/AAD/AQAAAgCaAKQAAQEDAZqZmZmZmak/AABmZmZmZmbuPwAABQABAQEAAQEBAA==</t>
  </si>
  <si>
    <t>GF1_rK0qDwEAEwDKAAwjACcAPABQAGQAZQBzAIEApADGAMAAKwD//wAAAQAAAAEEAAAAAAdHZW5lcmFsAAAAAQ4xLWV4cCgtZG9zZSpyKQEAAQEQAAIAAQpTdGF0aXN0aWNzAwEBAP8BAQEBAQABAQEABAAAAAEBAQEBAAEBAQAEAAAAAYUAAhsADjEtZXhwKC1kb3NlKnIpAAAA/9wUPAEAAAIAAgCsALYAAQEDAZqZmZmZmak/AABmZmZmZmbuPwAABQABAQEAAQEBAA==</t>
  </si>
  <si>
    <t>GF1_jYW3AgEAEwDOAQwjAAAAPgDUAOQA5QADAREBAAAAAAAAJwD//wAAAQQAAAAAASUMMC4wMDAwMDAwMDAwAAABJlF1YW50aXR5IG9mIFZpcnVzIGluIFRhbmsgUHJlcGFja2FnaW5nADdRdWFudGl0eSBvZiBWaXJ1cyBpbiBQYXN0ZXVyaXplZCBNaWxrIFRhbmsgYXQgUHJvY2Vzc29yMkNoYW5nZSBpbiBPdXRwdXQgTWVhbiBBY3Jvc3MgUmFuZ2Ugb2YgSW5wdXQgVmFsdWVzAQEMAAEAAQZMZWdlbmQDAAEA/wEBAQEBEElucHV0IFBlcmNlbnRpbGUBAQEABAAAAAEBAQEBAAEBAQAEAAAACjABB0EBB1gBB3IBB4UBB6EBB6oBB7MBB7wBB8UBBxEACFNoZWRkaW5nAAAvAQAAFwAOUGFzdGV1cml6YXRpb24AASUBAAAaABFBdmVyYWdlIEhlcmQgU2l6ZQACTwEAABMAClByZXZhbGVuY2UAA4wBAAAcABMjIG9mIEluZmVjdGVkIEhlcmRzAARMAQAACQAAAAU5AQAACQAAAAZOAQAACQAAAAcjAQAACQAAAAgpAQAACQAAAAlgAQAA</t>
  </si>
  <si>
    <t>1_x0001_77_x0001_0_x0001_RiskTriang(0,7,14,RiskName("Duration of Storage at Residence"),RiskStatic(7))</t>
  </si>
  <si>
    <t>GF1_rK0qDwEAEwDSAAwjACcAPABiAHYAdwCFAJMArADOAMgAKwD//wAAAAAAAAEEAAAAAAdHZW5lcmFsAAAAASBEdXJhdGlvbiBvZiBTdG9yYWdlIGF0IFJlc2lkZW5jZQEAAQEQAAIAAQpTdGF0aXN0aWNzAwEBAP8BAQEBAQABAQEABAAAAAEBAQEBAAEBAQAEAAAAAZcAABMABlRyaWFuZwAAAP8AAP8BAAACALQAvgABAQMBmpmZmZmZqT8AAGZmZmZmZu4/AAAFAAEBAQABAQEA</t>
  </si>
  <si>
    <t>GF1_jYW3AgEAEwD8AQwjAAAAPgDcAOwA7QALARkBAAAAAAAAJwD//wAAAQQAAAAAASUMMC4wMDAwMDAwMDAwAAABL1F1YW50aXR5IG9mIHZpcnVzIGluIHJhdyBtaWxrIHRhbmssIGxvZyAvIFZhbHVlADZRdWFudGl0eSBvZiBWaXJ1cyBpbiBQb29sZWQgUmF3IE1pbGsgVGFuayBhdCBQcm9jZXNzb3IyQ2hhbmdlIGluIE91dHB1dCBNZWFuIEFjcm9zcyBSYW5nZSBvZiBJbnB1dCBWYWx1ZXMBAQwAAQABBkxlZ2VuZAMAAQD/AQEBAQEQSW5wdXQgUGVyY2VudGlsZQEBAQAEAAAAAQEBAQEAAQEBAAQAAAAKOAEHXQEHdwEHigEHpgEHzwEH2AEH4QEH6gEH8wEHJQAcIyBvZiBJbmZlY3RlZCBIZXJkcyB0byBQbGFudAAALwEAABoAEUF2ZXJhZ2UgSGVyZCBTaXplAAElAQAAEwAKUHJldmFsZW5jZQACTwEAABwAEyMgb2YgSW5mZWN0ZWQgSGVyZHMAA4wBAAApACBJbmZlY3RlZCBDb3cgUmVsYXRpdmUgTWlsayBZaWVsZAAETAEAAAkAAAAFOQEAAAkAAAAGTgEAAAkAAAAHIwEAAAkAAAAIKQEAAAkAAAAJYAEAAA==</t>
  </si>
  <si>
    <t>GF1_rK0qDwEAEwAiAQwjACcAPAB7AI8AkACeAKwA/AAeARgBKwD//wAAAAAAAAEEAAAAAAdHZW5lcmFsAAAAARBWaXJhbCBEZWNheSBSYXRlASlDb21wYXJpc29uIHdpdGggUmlza1RyaWFuZygwLjAwMSwwLjEsMC41KQEBEAACAAEKU3RhdGlzdGljcwMBAQD/AQEBAQEAAQEBAAQAAAABAQEBAQABAQEABAAAAAKzAALUAAAdABBWaXJhbCBEZWNheSBSYXRlAAAA/wAA/wEAAAIAAgAmABlSaXNrVHJpYW5nKDAuMDAxLDAuMSwwLjUpAAEA/wAAAAEAAAIABAEOAQEBAwGamZmZmZmpPwAAZmZmZmZm7j8AAAUAAQEBAAEBAQA=</t>
  </si>
  <si>
    <t>GF1_rK0qDwEAEwA0AQwjACcAPACEAJgAmQCnALUADgEwASoBKwD//wAAAAAAAAEEAAAAAAdHZW5lcmFsAAAAASBEdXJhdGlvbiBvZiBTdG9yYWdlIGF0IFJlc2lkZW5jZQEiQ29tcGFyaXNvbiB3aXRoIFJpc2tUcmlhbmcoMCw3LDE0KQEBEAACAAEKU3RhdGlzdGljcwMBAQD/AQEBAQEAAQEBAAQAAAABAQEBAQABAQEABAAAAAK8AALtAAAtACBEdXJhdGlvbiBvZiBTdG9yYWdlIGF0IFJlc2lkZW5jZQAAAP8AAP8BAAACAAIAHwASUmlza1RyaWFuZygwLDcsMTQpAAEA/wAAAAEAAAIAFgEgAQEBAwGamZmZmZmpPwAAZmZmZmZm7j8AAAUAAQEBAAEBAQA=</t>
  </si>
  <si>
    <t>1_x0001_70_x0001_0_x0001_RiskTriang(0.001,0.1,0.5,RiskName("Viral Decay Rate"),RiskStatic(0.1))</t>
  </si>
  <si>
    <t>GF1_rK0qDwEAEwDCAAwjACcAPABSAGYAZwB1AIMAnAC+ALgAKwD//wAAAAAAAAEEAAAAAAdHZW5lcmFsAAAAARBWaXJhbCBEZWNheSBSYXRlAQABARAAAgABClN0YXRpc3RpY3MDAQEA/wEBAQEBAAEBAQAEAAAAAQEBAQEAAQEBAAQAAAABhwAAEwAGVHJpYW5nAAAA/wAA/wEAAAIApACuAAEBAwGamZmZmZmpPwAAZmZmZmZm7j8AAAUAAQEBAAEBAQA=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</si>
  <si>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</si>
  <si>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</si>
  <si>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</si>
  <si>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</si>
  <si>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</si>
  <si>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</si>
  <si>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</si>
  <si>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</si>
  <si>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</si>
  <si>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</si>
  <si>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</si>
  <si>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</si>
  <si>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</si>
  <si>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</si>
  <si>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</si>
  <si>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</si>
  <si>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</si>
  <si>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</si>
  <si>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</si>
  <si>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</si>
  <si>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</si>
  <si>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</si>
  <si>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</si>
  <si>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</si>
  <si>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</si>
  <si>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</si>
  <si>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</si>
  <si>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</si>
  <si>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</si>
  <si>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</si>
  <si>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</si>
  <si>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</si>
  <si>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</si>
  <si>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</si>
  <si>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</si>
  <si>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</si>
  <si>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</si>
  <si>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</si>
  <si>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</si>
  <si>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</si>
  <si>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</si>
  <si>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</si>
  <si>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</si>
  <si>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</si>
  <si>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</si>
  <si>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</si>
  <si>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</si>
  <si>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</si>
  <si>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MI</t>
  </si>
  <si>
    <t>State-Level Data</t>
  </si>
  <si>
    <t>Dairy Farms</t>
  </si>
  <si>
    <t>Dairy Plants</t>
  </si>
  <si>
    <t>Probability that plant is in infected area</t>
  </si>
  <si>
    <t>healthy_milk_yield</t>
  </si>
  <si>
    <t>Quantity of virus in serving</t>
  </si>
  <si>
    <t>GF1_rK0qDwEAEwBEAQwjACcAPACMAKAAoQCvAL0AHgFAAToBKwD//wAAAAAAAAEEAAAAAAdHZW5lcmFsAAAAARlEb3NlLVJlc3BvbnNlIFBhcmFtZXRlciByATFDb21wYXJpc29uIHdpdGggUmlza1RyaWFuZygzLjJFLTA5LDFFLTA4LDMuMkUtMDgpAQEQAAIAAQpTdGF0aXN0aWNzAwEBAP8BAQEBAQABAQEABAAAAAEBAQEBAAEBAQAEAAAAAsQAAu4AACYAGURvc2UtUmVzcG9uc2UgUGFyYW1ldGVyIHIAAAD/AAD/AQAAAgACAC4AIVJpc2tUcmlhbmcoMy4yRS0wOSwxRS0wOCwzLjJFLTA4KQABAP8AAAABAAACACYBMAEBAQMBmpmZmZmZqT8AAGZmZmZmZu4/AAAFAAEBAQABAQEA</t>
  </si>
  <si>
    <t>GF1_4VKXXwEAEwDAAQwjACcANwDFANMA1ADiAPAAAAAAALgBKAD//wAAAQEEAAAAAAUwLjAwMAAAAAE3UXVhbnRpdHkgb2YgVmlydXMgaW4gR2FsbG9uIFBhY2thZ2UgYXQgQ29uc3VtcHRpb24sIGxvZwAqUXVhbnRpdHkgb2YgVmlydXMgaW4gR2FsbG9uIGF0IENvbnN1bXB0aW9uJlNwZWFybWFuIFJhbmsgQ29ycmVsYXRpb24gQ29lZmZpY2llbnRzAQEKAAIAAQROb25lAwABAP8BAQEBAQABAQEABAAAAAEBAQEBAAEBAQAEAAAACg8BCFUBCGABCGsBCHYBCIEBCIwBCJcBCKIBCK0BCEQAN1F1YW50aXR5IG9mIFZpcnVzIGluIEdhbGxvbiBQYWNrYWdlIGF0IENvbnN1bXB0aW9uLCBsb2cAAAD/3BQ8AQAAAgAJAAAAASUBAAACAAkAAAACTwEAAAIACQAAAAOMAQAAAgAJAAAABEwBAAACAAkAAAAFOQEAAAIACQAAAAZOAQAAAgAJAAAAByMBAAACAAkAAAAIKQEAAAIACQAAAAlgAQAAAgAFAAEBAQAAAA==</t>
  </si>
  <si>
    <t>GF1_4VKXXwEAEwCtAQwjACcANwDBAM8A0ADeAO0AAAAAAKUBKAD//wAAAQEEAAAAAAUwLjAwMAAAAAEnUXVhbnRpdHkgb2YgVmlydXMgaW4gUmF3IEJ1bGsgVGFuaywgbG9nADZRdWFudGl0eSBvZiBWaXJ1cyBpbiBQb29sZWQgUmF3IE1pbGsgVGFuayBhdCBQcm9jZXNzb3ImU3BlYXJtYW4gUmFuayBDb3JyZWxhdGlvbiBDb2VmZmljaWVudHMBAQoAAgABBE5vbmUDAAEA/wEBAQEBAAEBAQAEAAAAAQEBAQEAAAABAQAEAAAACgwBCEIBCE0BCFgBCGMBCG4BCHkBCIQBCI8BCJoBCDQAJ1F1YW50aXR5IG9mIFZpcnVzIGluIFJhdyBCdWxrIFRhbmssIGxvZwAAAP/cFDwBAAACAAkAAAABJQEAAAIACQAAAAJPAQAAAgAJAAAAA4wBAAACAAkAAAAETAEAAAIACQAAAAU5AQAAAgAJAAAABk4BAAACAAkAAAAHIwEAAAIACQAAAAgpAQAAAgAJAAAACWABAAACAAUAAQEBAAAA</t>
  </si>
  <si>
    <t>GF1_4VKXXwEAEwC3AQwjACcANwDHANUA1gDkAPIAAAAAAK8BKAD//wAAAQEEAAAAAAUwLjAwMAAAAAEsUXVhbnRpdHkgb2YgVmlydXMgUGFzdGV1cml6ZWQgQnVsayBUYW5rLCBsb2cAN1F1YW50aXR5IG9mIFZpcnVzIGluIFBhc3RldXJpemVkIE1pbGsgVGFuayBhdCBQcm9jZXNzb3ImU3BlYXJtYW4gUmFuayBDb3JyZWxhdGlvbiBDb2VmZmljaWVudHMBAQoAAgABBE5vbmUDAAEA/wEBAQEBAAEBAQAEAAAAAQEBAQEAAQEBAAQAAAAKEQEITAEIVwEIYgEIbQEIeAEIgwEIjgEImQEIpAEIOQAsUXVhbnRpdHkgb2YgVmlydXMgUGFzdGV1cml6ZWQgQnVsayBUYW5rLCBsb2cAAAD/3BQ8AQAAAgAJAAAAASUBAAACAAkAAAACTwEAAAIACQAAAAOMAQAAAgAJAAAABEwBAAACAAkAAAAFOQEAAAIACQAAAAZOAQAAAgAJAAAAByMBAAACAAkAAAAIKQEAAAIACQAAAAlgAQAAAgAFAAEBAQAAAA==</t>
  </si>
  <si>
    <t>GF1_4VKXXwEAEwCWAQwjACcANwCsALoAuwDJANcAAAAAAI4BKAD//wAAAQEEAAAAAAUwLjAwMAAAAAEmUHJldmFsZW5jZSBvZiBWaXJ1cyBpbiBHYWxsb24gUGFja2FnZXMAIlByZXZhbGVuY2Ugb2YgR2FsbG9uIENvbnRhbWluYXRpb24mU3BlYXJtYW4gUmFuayBDb3JyZWxhdGlvbiBDb2VmZmljaWVudHMBAQoAAgABBE5vbmUDAAEA/wEBAQEBAAEBAQAEAAAAAQEBAQEAAQEBAAQAAAAK9gAIKwEINgEIQQEITAEIVwEIYgEIbQEIeAEIgwEIMwAmUHJldmFsZW5jZSBvZiBWaXJ1cyBpbiBHYWxsb24gUGFja2FnZXMAAAD/3BQ8AQAAAgAJAAAAASUBAAACAAkAAAACTwEAAAIACQAAAAOMAQAAAgAJAAAABEwBAAACAAkAAAAFOQEAAAIACQAAAAZOAQAAAgAJAAAAByMBAAACAAkAAAAIKQEAAAIACQAAAAlgAQAAAgAFAAEBAQAAAA==</t>
  </si>
  <si>
    <t>1_x0001_89_x0001_0_x0001_RiskTriang(3.2E-09,1E-08,3.2E-08,RiskName("Dose-Response Parameter r"),RiskStatic(1E-08))</t>
  </si>
  <si>
    <t>GF1_rK0qDwEAEwDLAAwjACcAPABbAG8AcAB+AIwApQDHAMEAKwD//wAAAAAAAAEEAAAAAAdHZW5lcmFsAAAAARlEb3NlLVJlc3BvbnNlIFBhcmFtZXRlciByAQABARAAAgABClN0YXRpc3RpY3MDAQEA/wEBAQEBAAEBAQAEAAAAAQEBAQEAAQEBAAQAAAABkAAAEwAGVHJpYW5nAAAA/wAA/wEAAAIArQC3AAEBAwGamZmZmZmpPwAAZmZmZmZm7j8AAAUAAQEBAAEBAQA=</t>
  </si>
  <si>
    <t>GF1_rK0qDwEAEwAOAQwjACcAPABoAHwAfQCgAK4A6QAKAQQBKwD//wAAAQAAAAEEAAAAAAdHZW5lcmFsAAAAASZQcmV2YWxlbmNlIG9mIFZpcnVzIGluIEdhbGxvbiBQYWNrYWdlcwEAAQEQAAIAAQpTdGF0aXN0aWNzAwEBAP8BAQEBAQABALu919nffNu9mpmZmZmZ2T8BBgAAAAEABAAAAAEBAQEBAAEBAQAEAAAAAbIAAjMAJlByZXZhbGVuY2Ugb2YgVmlydXMgaW4gR2FsbG9uIFBhY2thZ2VzAAAA/9wUPAEAAAIAAgDxAPsAAQEDAZqZmZmZmak/AAAAAAAAAADw/wEFAAEBAQABAQEA</t>
  </si>
  <si>
    <t>GF1_rK0qDwEAEwAyAQwjACcAPACDAJcAmACmALQADAEuASgBKwD//wAAAAAAAAEEAAAAAAdHZW5lcmFsAAAAAR9wYXN0ZXVyaXphdGlvbiAvIDEtZXhwKC1kb3NlKnIpASJDb21wYXJpc29uIHdpdGggUmlza1RyaWFuZyg1LDksMTIpAQEQAAIAAQpTdGF0aXN0aWNzAwEBAP8BAQEBAQABAQEABAAAAAEBAQEBAAEBAQAEAAAAArsAAusAACwAH3Bhc3RldXJpemF0aW9uIC8gMS1leHAoLWRvc2UqcikAAAD/AAD/AQAAAgACAB8AElJpc2tUcmlhbmcoNSw5LDEyKQABAP8AAAABAAACABQBHgEBAQMBmpmZmZmZqT8AAGZmZmZmZu4/AAAFAAEBAQABAQEA</t>
  </si>
  <si>
    <t>GF1_rK0qDwEAEwA+AQwjACcAQQCrAL8AwADOANwAGAE6ATQBKwD//wAAAQAAAAEEAAAAAAwwLjAwMDAwMDAwMDAAAAABJ1F1YW50aXR5IG9mIFZpcnVzIGluIFJhdyBCdWxrIFRhbmssIGxvZwA8UXVhbnRpdHkgb2YgVmlydXMgaW4gUG9vbGVkIFJhdyBNaWxrIFRhbmsgYXQgUHJvY2Vzc29yIChsb2cpAAEBEAACAAEKU3RhdGlzdGljcwMBAQD/AQEBAQEAAQEBAAQAAAABAQEBAQABAQEABAAAAAHgAAI0ACdRdWFudGl0eSBvZiBWaXJ1cyBpbiBSYXcgQnVsayBUYW5rLCBsb2cAAAD/3BQ8AQAAAgACACABKgEBAQMBmpmZmZmZqT8AAGZmZmZmZu4/AAAFAAEBAQABAQEA</t>
  </si>
  <si>
    <t>1_x0001_77_x0001_0_x0001_RiskTriang(6.55,9,12,RiskName("Pasteurization Log Reduction"),RiskStatic(12))</t>
  </si>
  <si>
    <t>GF1_rK0qDwEAEwDOAAwjACcAPABeAHIAcwCBAI8AqADKAMQAKwD//wAAAAAAAAEEAAAAAAdHZW5lcmFsAAAAARxQYXN0ZXVyaXphdGlvbiBMb2cgUmVkdWN0aW9uAQABARAAAgABClN0YXRpc3RpY3MDAQEA/wEBAQEBAAEBAQAEAAAAAQEBAQEAAQEBAAQAAAABkwAAEwAGVHJpYW5nAAAA/wAA/wEAAAIAsAC6AAEBAwGamZmZmZmpPwAAZmZmZmZm7j8AAAUAAQEBAAEBAQA=</t>
  </si>
  <si>
    <t>GF1_4VKXXwEAEwCiAQwjACcANwC6AMgAyQDXAOUAAAAAAJoBKAD//wAAAQEEAAAAAAUwLjAwMAAAAAEkUHJvYmFiaWxpdHkgb2YgSW5mZWN0aW9uIHBlciBTZXJ2aW5nADJQcm9iYWJpbGl0eSBvZiBJbmZlY3Rpb24gcGVyIFNlcnZpbmcgKFBhc3RldXJpemVkKSZTcGVhcm1hbiBSYW5rIENvcnJlbGF0aW9uIENvZWZmaWNpZW50cwEBCgACAAEETm9uZQMAAQD/AQEBAQEAAQEBAAQAAAABAQEBAQABAQEABAAAAAoEAQg3AQhCAQhNAQhYAQhjAQhuAQh5AQiEAQiPAQgxACRQcm9iYWJpbGl0eSBvZiBJbmZlY3Rpb24gcGVyIFNlcnZpbmcAAAD/3BQ8AQAAAgAJAAAAASUBAAACAAkAAAACTwEAAAIACQAAAAOMAQAAAgAJAAAABEwBAAACAAkAAAAFOQEAAAIACQAAAAZOAQAAAgAJAAAAByMBAAACAAkAAAAIKQEAAAIACQAAAAlgAQAAAgAFAAEBAQAAAA==</t>
  </si>
  <si>
    <t>GF1_rK0qDwEAEwACAQwjACcAPABsAIAAgQCPAJ0A3AD+APgAKwD//wAAAQAAAAEEAAAAAAdHZW5lcmFsAAAAASpDb25jZW50cmF0aW9uIG9mIFZpcnVzIGluIEdhbGxvbiBhdCBSZXRhaWwBAAEBEAACAAEKU3RhdGlzdGljcwMBAQD/AQEBAQEAAQEBAAQAAAABAQEBAQABAQEABAAAAAGhAAI3ACpDb25jZW50cmF0aW9uIG9mIFZpcnVzIGluIEdhbGxvbiBhdCBSZXRhaWwAAAD/3BQ8AQAAAgACAOQA7gABAQMBmpmZmZmZqT8AAGZmZmZmZu4/AAAFAAEBAQABAQEA</t>
  </si>
  <si>
    <t>GF1_rK0qDwEAEwA6AQwjACcAPACXAKsArADPAN0AFgE2ATABKwD//wAAAQAAAAEEAAAAAAdHZW5lcmFsAAAAASRQcm9iYWJpbGl0eSBvZiBJbmZlY3Rpb24gcGVyIFNlcnZpbmcAMFByb2JhYmlsaXR5IG9mIEluZmVjdGlvbiBmcm9tIFNpbmdsZSBDdXAgU2VydmluZwABARAAAgABClN0YXRpc3RpY3MDAQEA/wEBAQEBAAEAAAAAAAAAAAA6jDDijnlVPgELAOwDAQAEAAAAAQEBAQEAAQEBAAQAAAAB4QACMQAkUHJvYmFiaWxpdHkgb2YgSW5mZWN0aW9uIHBlciBTZXJ2aW5nAAAA/9wUPAEAAAIAAgAeAScBAQEDAQAAAAAAAPD/AYgW6R5K1kc+AQUAAQEBAAEBAQA=</t>
  </si>
  <si>
    <t>prevalence_virus_serving</t>
  </si>
  <si>
    <t>p_infection_serving</t>
  </si>
  <si>
    <t>projected_infections</t>
  </si>
  <si>
    <t>concentration_virus_gallon_retail</t>
  </si>
  <si>
    <t>quant_virus_serving_log</t>
  </si>
  <si>
    <t>infected_herds_plant</t>
  </si>
  <si>
    <t>avg_herd_size</t>
  </si>
  <si>
    <t>prevalence</t>
  </si>
  <si>
    <t>infected_cow_rel_yield</t>
  </si>
  <si>
    <t>milk_titer</t>
  </si>
  <si>
    <t>duration_storage_plant</t>
  </si>
  <si>
    <t>dose_response_r</t>
  </si>
  <si>
    <t>duration_transport_retail</t>
  </si>
  <si>
    <t>duration_storage_retail</t>
  </si>
  <si>
    <t>duration_transport_residence</t>
  </si>
  <si>
    <t>duration_storage_residence</t>
  </si>
  <si>
    <t>num_infect_herds</t>
  </si>
  <si>
    <t>Number of herds per plant (n)</t>
  </si>
  <si>
    <t>H5N1 prevalence (p)</t>
  </si>
  <si>
    <t>Number of affected herds to plant (k)</t>
  </si>
  <si>
    <t>Average herd size (H)</t>
  </si>
  <si>
    <t>Healthy cow milk yield (YH)</t>
  </si>
  <si>
    <t>Infected cow relative milk yield (YI)</t>
  </si>
  <si>
    <t>Viral titer in infected cow milk (VM)</t>
  </si>
  <si>
    <t>Dose-response parameter r (r )</t>
  </si>
  <si>
    <t>Infected cow diversion (D)</t>
  </si>
  <si>
    <t>Pasteurization log reduction (L)</t>
  </si>
  <si>
    <t>PCR sensitivity (Se)</t>
  </si>
  <si>
    <t>PCR specificity (Sp)</t>
  </si>
  <si>
    <t>PCR limit of detection (LoD)</t>
  </si>
  <si>
    <t>Probability that a gallon is not discarded (1-Pdisc-gal)</t>
  </si>
  <si>
    <t>Probability that a serving is not discarded (1-Pdisc-serv)</t>
  </si>
  <si>
    <t>Number of 8 oz fluid milk servings consumed per year in US (F)</t>
  </si>
  <si>
    <t>Temperature of transport to retail</t>
  </si>
  <si>
    <t>Viral decay rate during transfer to retail</t>
  </si>
  <si>
    <t>Viral decay rate during storage at retail</t>
  </si>
  <si>
    <t>Viral decay rate during transfer to residence</t>
  </si>
  <si>
    <t>Viral decay rate during storage at residence</t>
  </si>
  <si>
    <t>Viral decay rate during storage at plant</t>
  </si>
  <si>
    <t>Temperature of storage at retail</t>
  </si>
  <si>
    <t>Temperature of transport to consumer residence</t>
  </si>
  <si>
    <t>Temperature of storage at consumer residence</t>
  </si>
  <si>
    <t>1_x0001_42_x0001_0_x0001_RiskLaplace(4.06,2.31,RiskTruncate(-1,15))</t>
  </si>
  <si>
    <t>GF1_rK0qDwEAEwDwAAwjACcAPAB/AJMAlACiALAAygDsAOYAKwD//wAAAAAAAAEEAAAAAAdHZW5lcmFsAAAAAT1UZW1wZXJhdHVyZSBvZiBzdG9yYWdlIGF0IGNvbnN1bWVyIHJlc2lkZW5jZSAvIDEtZXhwKC1kb3NlKnIpAQABARAAAgABClN0YXRpc3RpY3MDAQEA/wEBAQEBAAEBAQAEAAAAAQEBAQEAAQEBAAQAAAABtAAAFAAHTGFwbGFjZQAAAP8AAP8BAAACANIA3AABAQMBmpmZmZmZqT8AAGZmZmZmZu4/AAAFAAEBAQABAQEA</t>
  </si>
  <si>
    <t>1_x0001_42_x0001_0_x0001_RiskNormal(2.3,1.8,RiskTruncate(-1.4,5.4))</t>
  </si>
  <si>
    <t>GF1_rK0qDwEAEwDjAAwjACcAPABzAIcAiACWAKQAvQDfANkAKwD//wAAAAAAAAEEAAAAAAdHZW5lcmFsAAAAATFUZW1wZXJhdHVyZSBvZiBzdG9yYWdlIGF0IHJldGFpbCAvIDEtZXhwKC1kb3NlKnIpAQABARAAAgABClN0YXRpc3RpY3MDAQEA/wEBAQEBAAEBAQAEAAAAAQEBAQEAAQEBAAQAAAABqAAAEwAGTm9ybWFsAAAA/wAA/wEAAAIAxQDPAAEBAwGamZmZmZmpPwAAZmZmZmZm7j8AAAUAAQEBAAEBAQA=</t>
  </si>
  <si>
    <t>1_x0001_38_x0001_0_x0001_RiskTriang(51,102,153,RiskStatic(102))</t>
  </si>
  <si>
    <t>GF1_rK0qDwEAEwCzAAwjACcAPABDAFcAWABmAHQAjQCvAKkAKwD//wAAAAAAAAEEAAAAAAdHZW5lcmFsAAAAAQFrAQABARAAAgABClN0YXRpc3RpY3MDAQEA/wEBAQEBAAEBAQAEAAAAAQEBAQEAAQEBAAQAAAABeAAAEwAGVHJpYW5nAAAA/wAA/wEAAAIAlQCfAAEBAwGamZmZmZmpPwAAZmZmZmZm7j8AAAUAAQEBAAEBAQA=</t>
  </si>
  <si>
    <t>Nonzero Period Prevalences</t>
  </si>
  <si>
    <t>Period Prevalences</t>
  </si>
  <si>
    <t>FIT_6FAF8_E0F09</t>
  </si>
  <si>
    <t>us_prevalence</t>
  </si>
  <si>
    <t>GF1_rK0qDwEAEwB7AQwjACcANQCCAJYAlwClALMAVQF3AXEBKwD//wAAAAAAAAEEAAAAAAAAAAABIEZpdCBDb21wYXJpc29uIGZvciB1c19wcmV2YWxlbmNlASdSaXNrUGVydCgwLjAwMDgwMzIxLDAuMDAwODAzMjEsMC4yMzYyMykBARAAAgABClN0YXRpc3RpY3MDAQEA/wEBAQEBAAEBAQAEAAAAAQEBAQEAAQEBAAQAAAAK0gAB5gAA+QAACAEAEwEAHgEAKQEANAEAPwEASgEAEgAFSW5wdXQAAAD/AAD/AQEAAgARAARQZXJ0AAEA/9wUPAEAAAIADQAEUGVydAACTwEAAAIACQAAAAOMAQAAAgAJAAAABEwBAAACAAkAAAAFOQEAAAIACQAAAAZOAQAAAgAJAAAAByMBAAACAAkAAAAIKQEAAAIACQAAAAlgAQAAAgBdAWcBAQEDAZqZmZmZmak/AABmZmZmZmbuPwAABQABAQEAAQEBAA==</t>
  </si>
  <si>
    <t>GF1_rK0qDwEAEwD2AAwjACcAOQB4AIwAjQCbAKkA0gDyAOwAKwD//wAAAQAAAAEEAAAAAAQwLjAwAAAAARRwcm9qZWN0ZWRfaW5mZWN0aW9ucwAkUHJvamVjdGVkICMgb2YgSHVtYW4gSDVOMSBJbmZlY3Rpb25zAAEBEAACAAEKU3RhdGlzdGljcwMBAQD/AQEBAQEAAQEBAAQAAAABAQEBAQABAQEABAAAAAGtAAIhABRwcm9qZWN0ZWRfaW5mZWN0aW9ucwAAAP/cFDwBAAACAAIA2gDjAAEBAwFG4XoUrkfRPwGAFK5H4XqkvwEFAAEBAQABAQEA</t>
  </si>
  <si>
    <t>Herd data updated 11/05</t>
  </si>
  <si>
    <t>GF1_rK0qDwEAEwDeAAwjACcAPABaAG4AbwB9AIsAuADaANQAKwD//wAAAQAAAAEEAAAAAAdHZW5lcmFsAAAAARhwcmV2YWxlbmNlX3ZpcnVzX3NlcnZpbmcBAAEBEAACAAEKU3RhdGlzdGljcwMBAQD/AQEBAQEAAQEBAAQAAAABAQEBAQABAQEABAAAAAGPAAIlABhwcmV2YWxlbmNlX3ZpcnVzX3NlcnZpbmcAAAD/3BQ8AQAAAgACAMAAygABAQMBmpmZmZmZqT8AAGZmZmZmZu4/AAAFAAEBAQABAQEA</t>
  </si>
  <si>
    <t>GF1_rK0qDwEAEwDaAAwjACcAPABZAG0AbgB8AIoAtgDWANAAKwD//wAAAQAAAAEEAAAAAAdHZW5lcmFsAAAAARdxdWFudF92aXJ1c19zZXJ2aW5nX2xvZwEAAQEQAAIAAQpTdGF0aXN0aWNzAwEBAP8BAQEBAQABAQEABAAAAAEBAQEBAAEBAQAEAAAAAY4AAiQAF3F1YW50X3ZpcnVzX3NlcnZpbmdfbG9nAAAA/9wUPAEAAAIAAgC+AMcAAQEDAROuR+F6FL4/AczMzMzMzNQ/AQUAAQEBAAEBAQA=</t>
  </si>
  <si>
    <t>Last edit: 11/18/24</t>
  </si>
  <si>
    <t>temp_storage_plant</t>
  </si>
  <si>
    <t>temp_transport_retail</t>
  </si>
  <si>
    <t>temp_storage_retail</t>
  </si>
  <si>
    <t>temp_transport_residence</t>
  </si>
  <si>
    <t>temp_storage_residence</t>
  </si>
  <si>
    <t>Assumption</t>
  </si>
  <si>
    <t>ThermoFisher</t>
  </si>
  <si>
    <t>d</t>
  </si>
  <si>
    <t>C</t>
  </si>
  <si>
    <t>logTCID50/d</t>
  </si>
  <si>
    <t>Duration of transport to retail</t>
  </si>
  <si>
    <t>Duration of storage at retail</t>
  </si>
  <si>
    <t>Duration of transport to consumer residence</t>
  </si>
  <si>
    <t>Duration of storage at consumer residence</t>
  </si>
  <si>
    <t>GF1_rK0qDwEAEwAiAQwjACcAPAB7AI8AkACeAKwA/AAeARgBKwD//wAAAAAAAAEEAAAAAAdHZW5lcmFsAAAAARZpbmZlY3RlZF9jb3dfcmVsX3lpZWxkASNDb21wYXJpc29uIHdpdGggUmlza1BlcnQoMC41LDAuNiwxKQEBEAACAAEKU3RhdGlzdGljcwMBAQD/AQEBAQEAAQEBAAQAAAABAQEBAQABAQEABAAAAAKzAALaAAAjABZpbmZlY3RlZF9jb3dfcmVsX3lpZWxkAAAA/wAA/wEAAAIAAgAgABNSaXNrUGVydCgwLjUsMC42LDEpAAEA/wAAAAEAAAIABAEOAQEBAwGamZmZmZmpPwAAZmZmZmZm7j8AAAUAAQEBAAEBAQA=</t>
  </si>
  <si>
    <t>Dr. Katherine Koebel | kjk239@cornell.edu</t>
  </si>
  <si>
    <t>Duration of storage at plant (UP)</t>
  </si>
  <si>
    <t>Temperature of storage at plant (TP)</t>
  </si>
  <si>
    <t>(calculated externally using USDA APHIS detections)</t>
  </si>
  <si>
    <t>USDA Ag Census, 2022</t>
  </si>
  <si>
    <t>Caserta et al, 2024</t>
  </si>
  <si>
    <t>USDA NASS, 2024</t>
  </si>
  <si>
    <t>Durst, 2024</t>
  </si>
  <si>
    <t>Laconi et al, 2020</t>
  </si>
  <si>
    <t>FDA, 2003</t>
  </si>
  <si>
    <t>Nauta, 2005</t>
  </si>
  <si>
    <t>Qian et al, 2023</t>
  </si>
  <si>
    <t>Nooruzzaman et al, 2024</t>
  </si>
  <si>
    <t>Nooruzzaman et al, 2025</t>
  </si>
  <si>
    <t>Nooruzzaman et al, 2026</t>
  </si>
  <si>
    <t>Nooruzzaman et al, 2027</t>
  </si>
  <si>
    <t>Nooruzzaman et al, 2028</t>
  </si>
  <si>
    <t>Spackman et al, 2024</t>
  </si>
  <si>
    <t>Lipatov et al, 2009</t>
  </si>
  <si>
    <t>Buzby et al, 2014</t>
  </si>
  <si>
    <t>Validation with Spackman et al,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</si>
</sst>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"/>
    <numFmt numFmtId="166" formatCode="0.000000000000000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1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4" fillId="0" borderId="0" xfId="0" applyNumberFormat="1" applyFont="1"/>
    <xf numFmtId="1" fontId="3" fillId="0" borderId="0" xfId="0" applyNumberFormat="1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166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1" applyFill="1"/>
    <xf numFmtId="0" fontId="3" fillId="0" borderId="0" xfId="0" applyFont="1" applyFill="1"/>
    <xf numFmtId="0" fontId="4" fillId="0" borderId="0" xfId="0" applyFont="1" applyFill="1"/>
    <xf numFmtId="0" fontId="0" fillId="5" borderId="0" xfId="0" applyFill="1"/>
    <xf numFmtId="11" fontId="0" fillId="5" borderId="0" xfId="0" applyNumberFormat="1" applyFill="1"/>
  </cellXfs>
  <cellStyles count="2">
    <cellStyle name="Hyperlink" xfId="1" builtinId="8"/>
    <cellStyle name="Normal" xfId="0" builtinId="0"/>
  </cellStyles>
  <dxfs count="18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008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proud.com/articles/36693-significant-change-in-ownership-of-fluid-milk-processing-plants-in-the-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64C0-14E1-45A2-A937-4B57383CDB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D4F7-31EC-44BF-B109-65AD4AD5AC00}">
  <dimension ref="A1:H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s="5">
        <f ca="1">model!$D$51</f>
        <v>2</v>
      </c>
      <c r="D2" t="b">
        <v>0</v>
      </c>
      <c r="E2">
        <v>11</v>
      </c>
      <c r="F2">
        <v>2</v>
      </c>
      <c r="G2">
        <v>0</v>
      </c>
      <c r="H2">
        <v>0</v>
      </c>
    </row>
    <row r="4" spans="1:8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6" spans="1:8" x14ac:dyDescent="0.35">
      <c r="A6" t="s">
        <v>16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19F-BEB0-4621-990E-633BC6EB7446}">
  <dimension ref="A1:P11"/>
  <sheetViews>
    <sheetView workbookViewId="0"/>
  </sheetViews>
  <sheetFormatPr defaultColWidth="25.6328125" defaultRowHeight="14.5" x14ac:dyDescent="0.35"/>
  <sheetData>
    <row r="1" spans="1:16" x14ac:dyDescent="0.35">
      <c r="A1" t="s">
        <v>161</v>
      </c>
      <c r="B1" t="s">
        <v>150</v>
      </c>
    </row>
    <row r="2" spans="1:16" x14ac:dyDescent="0.35">
      <c r="A2" t="s">
        <v>162</v>
      </c>
      <c r="B2" t="s">
        <v>163</v>
      </c>
    </row>
    <row r="3" spans="1:16" x14ac:dyDescent="0.35">
      <c r="A3" t="s">
        <v>164</v>
      </c>
      <c r="B3" t="s">
        <v>163</v>
      </c>
    </row>
    <row r="4" spans="1:16" x14ac:dyDescent="0.35">
      <c r="A4" t="s">
        <v>165</v>
      </c>
      <c r="B4" t="s">
        <v>150</v>
      </c>
    </row>
    <row r="9" spans="1:16" x14ac:dyDescent="0.35">
      <c r="A9" t="s">
        <v>166</v>
      </c>
      <c r="B9">
        <v>1</v>
      </c>
    </row>
    <row r="10" spans="1:16" x14ac:dyDescent="0.35">
      <c r="A10" t="s">
        <v>167</v>
      </c>
      <c r="B10" t="s">
        <v>149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</row>
    <row r="11" spans="1:16" x14ac:dyDescent="0.35">
      <c r="A11" t="s">
        <v>345</v>
      </c>
      <c r="B11" s="17" t="s">
        <v>346</v>
      </c>
      <c r="C11">
        <f>inf_herds1!$J$10:$J$54</f>
        <v>4.5054945054945054E-2</v>
      </c>
      <c r="D11">
        <v>0</v>
      </c>
      <c r="E11" t="s">
        <v>181</v>
      </c>
      <c r="F11" t="s">
        <v>347</v>
      </c>
      <c r="J11" t="s">
        <v>182</v>
      </c>
      <c r="K11" t="s">
        <v>183</v>
      </c>
      <c r="O11">
        <v>4</v>
      </c>
      <c r="P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C760-BC9C-47BC-8DEE-5BF787D44E84}">
  <dimension ref="A1:AC52"/>
  <sheetViews>
    <sheetView workbookViewId="0"/>
  </sheetViews>
  <sheetFormatPr defaultColWidth="25.6328125" defaultRowHeight="14.5" x14ac:dyDescent="0.35"/>
  <sheetData>
    <row r="1" spans="1:24" x14ac:dyDescent="0.35">
      <c r="A1" t="s">
        <v>21</v>
      </c>
      <c r="B1" t="s">
        <v>150</v>
      </c>
    </row>
    <row r="2" spans="1:24" x14ac:dyDescent="0.35">
      <c r="A2" t="s">
        <v>22</v>
      </c>
      <c r="B2">
        <v>4</v>
      </c>
    </row>
    <row r="3" spans="1:24" x14ac:dyDescent="0.35">
      <c r="A3" t="s">
        <v>23</v>
      </c>
      <c r="B3">
        <v>0</v>
      </c>
    </row>
    <row r="5" spans="1:24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J5" t="s">
        <v>30</v>
      </c>
      <c r="K5" t="s">
        <v>31</v>
      </c>
      <c r="L5" t="s">
        <v>32</v>
      </c>
      <c r="N5" t="s">
        <v>33</v>
      </c>
      <c r="O5" t="s">
        <v>34</v>
      </c>
      <c r="P5" t="s">
        <v>35</v>
      </c>
      <c r="R5" t="s">
        <v>36</v>
      </c>
      <c r="S5" t="s">
        <v>37</v>
      </c>
      <c r="T5" t="s">
        <v>38</v>
      </c>
      <c r="V5" t="s">
        <v>39</v>
      </c>
      <c r="W5" t="s">
        <v>40</v>
      </c>
      <c r="X5" t="s">
        <v>41</v>
      </c>
    </row>
    <row r="6" spans="1:24" x14ac:dyDescent="0.35">
      <c r="A6" t="e">
        <f ca="1">ModelRef(model!$D$15,2,0,0)</f>
        <v>#NAME?</v>
      </c>
      <c r="B6">
        <v>0</v>
      </c>
      <c r="C6">
        <v>3</v>
      </c>
      <c r="F6">
        <v>0</v>
      </c>
      <c r="J6" t="b">
        <v>1</v>
      </c>
      <c r="K6" t="s">
        <v>367</v>
      </c>
      <c r="L6" t="e">
        <f ca="1">ModelRef(model!$D$15,2,0,0)+ModelRef(model!$D$15,3,0,-1)</f>
        <v>#NAME?</v>
      </c>
    </row>
    <row r="7" spans="1:24" x14ac:dyDescent="0.35">
      <c r="A7" t="e">
        <f ca="1">ModelRef(model!$D$101,1,0,0)</f>
        <v>#NAME?</v>
      </c>
      <c r="B7">
        <v>0</v>
      </c>
      <c r="C7">
        <v>2</v>
      </c>
      <c r="D7" t="s">
        <v>159</v>
      </c>
      <c r="F7">
        <v>0</v>
      </c>
      <c r="J7" t="b">
        <v>1</v>
      </c>
      <c r="K7" t="s">
        <v>293</v>
      </c>
      <c r="L7" t="e">
        <f ca="1">ModelRef(model!$D$101,1,0,0)</f>
        <v>#NAME?</v>
      </c>
    </row>
    <row r="8" spans="1:24" x14ac:dyDescent="0.35">
      <c r="A8" t="e">
        <f ca="1">ModelRef(model!$D$61,2,0,0)</f>
        <v>#NAME?</v>
      </c>
      <c r="B8">
        <v>0</v>
      </c>
      <c r="C8">
        <v>3</v>
      </c>
      <c r="F8">
        <v>0</v>
      </c>
      <c r="J8" t="b">
        <v>1</v>
      </c>
      <c r="K8" t="s">
        <v>280</v>
      </c>
      <c r="L8" t="e">
        <f ca="1">ModelRef(model!$D$61,2,0,0)+ModelRef(model!$D$61,3,0,-1)</f>
        <v>#NAME?</v>
      </c>
    </row>
    <row r="9" spans="1:24" x14ac:dyDescent="0.35">
      <c r="A9" t="e">
        <f ca="1">ModelRef(model!$D$102,1,0,0)</f>
        <v>#NAME?</v>
      </c>
      <c r="B9">
        <v>0</v>
      </c>
      <c r="C9">
        <v>2</v>
      </c>
      <c r="D9" t="s">
        <v>159</v>
      </c>
      <c r="F9">
        <v>0</v>
      </c>
      <c r="J9" t="b">
        <v>1</v>
      </c>
      <c r="K9" t="s">
        <v>351</v>
      </c>
      <c r="L9" t="e">
        <f ca="1">ModelRef(model!$D$102,1,0,0)</f>
        <v>#NAME?</v>
      </c>
    </row>
    <row r="10" spans="1:24" x14ac:dyDescent="0.35">
      <c r="A10" t="e">
        <f ca="1">ModelRef(model!$D$100,1,0,0)</f>
        <v>#NAME?</v>
      </c>
      <c r="B10">
        <v>0</v>
      </c>
      <c r="C10">
        <v>2</v>
      </c>
      <c r="D10" t="s">
        <v>159</v>
      </c>
      <c r="F10">
        <v>0</v>
      </c>
      <c r="J10" t="b">
        <v>1</v>
      </c>
      <c r="K10" t="s">
        <v>348</v>
      </c>
      <c r="L10" t="e">
        <f ca="1">ModelRef(model!$D$100,1,0,0)</f>
        <v>#NAME?</v>
      </c>
    </row>
    <row r="11" spans="1:24" x14ac:dyDescent="0.35">
      <c r="A11" t="e">
        <f ca="1">ModelRef(model!$D$85,2,0,0)</f>
        <v>#NAME?</v>
      </c>
      <c r="B11">
        <v>0</v>
      </c>
      <c r="C11">
        <v>3</v>
      </c>
      <c r="F11">
        <v>0</v>
      </c>
      <c r="J11" t="b">
        <v>1</v>
      </c>
      <c r="K11" t="s">
        <v>288</v>
      </c>
      <c r="L11" t="e">
        <f ca="1">ModelRef(model!$D$85,2,0,0)+ModelRef(model!$D$85,3,0,-1)</f>
        <v>#NAME?</v>
      </c>
    </row>
    <row r="12" spans="1:24" x14ac:dyDescent="0.35">
      <c r="A12" t="e">
        <f ca="1">ModelRef(model!$D$81,1,0,0)</f>
        <v>#NAME?</v>
      </c>
      <c r="B12">
        <v>1</v>
      </c>
      <c r="C12">
        <v>2</v>
      </c>
      <c r="D12" t="s">
        <v>159</v>
      </c>
      <c r="F12">
        <v>0</v>
      </c>
    </row>
    <row r="13" spans="1:24" x14ac:dyDescent="0.35">
      <c r="A13" t="e">
        <f ca="1">ModelRef(model!$D$62,2,0,0)</f>
        <v>#NAME?</v>
      </c>
      <c r="B13">
        <v>0</v>
      </c>
      <c r="C13">
        <v>3</v>
      </c>
      <c r="F13">
        <v>0</v>
      </c>
      <c r="J13" t="b">
        <v>1</v>
      </c>
      <c r="K13" t="s">
        <v>221</v>
      </c>
      <c r="L13" t="e">
        <f ca="1">ModelRef(model!$D$62,2,0,0)+ModelRef(model!$D$62,3,0,-1)</f>
        <v>#NAME?</v>
      </c>
    </row>
    <row r="14" spans="1:24" x14ac:dyDescent="0.35">
      <c r="A14" t="e">
        <f ca="1">ModelRef(model!$D$76,2,0,0)</f>
        <v>#NAME?</v>
      </c>
      <c r="B14">
        <v>0</v>
      </c>
      <c r="C14">
        <v>3</v>
      </c>
      <c r="F14">
        <v>0</v>
      </c>
      <c r="J14" t="b">
        <v>1</v>
      </c>
      <c r="K14" t="s">
        <v>222</v>
      </c>
      <c r="L14" t="e">
        <f ca="1">ModelRef(model!$D$76,2,0,0)+ModelRef(model!$D$76,3,0,-1)</f>
        <v>#NAME?</v>
      </c>
    </row>
    <row r="15" spans="1:24" x14ac:dyDescent="0.35">
      <c r="A15" t="e">
        <f ca="1">ModelRef(model!$D$79,1,0,0)</f>
        <v>#NAME?</v>
      </c>
      <c r="B15">
        <v>1</v>
      </c>
      <c r="C15">
        <v>2</v>
      </c>
      <c r="D15" t="s">
        <v>159</v>
      </c>
      <c r="F15">
        <v>0</v>
      </c>
      <c r="J15" t="b">
        <v>1</v>
      </c>
      <c r="K15" t="s">
        <v>216</v>
      </c>
      <c r="L15" t="e">
        <f ca="1">ModelRef(model!$D$79,1,0,0)</f>
        <v>#NAME?</v>
      </c>
      <c r="N15" t="s">
        <v>159</v>
      </c>
      <c r="O15" t="s">
        <v>281</v>
      </c>
      <c r="P15" t="e">
        <f ca="1">ModelRef(model!$D$79,1,0,0)</f>
        <v>#NAME?</v>
      </c>
    </row>
    <row r="16" spans="1:24" x14ac:dyDescent="0.35">
      <c r="A16" t="e">
        <f ca="1">ModelRef(model!$D$38,1,0,0)</f>
        <v>#NAME?</v>
      </c>
      <c r="B16">
        <v>0</v>
      </c>
      <c r="C16">
        <v>2</v>
      </c>
      <c r="D16" t="s">
        <v>159</v>
      </c>
      <c r="F16">
        <v>0</v>
      </c>
      <c r="J16" t="b">
        <v>1</v>
      </c>
      <c r="K16" t="s">
        <v>289</v>
      </c>
      <c r="L16" t="e">
        <f ca="1">ModelRef(model!$D$38,1,0,0)</f>
        <v>#NAME?</v>
      </c>
      <c r="N16" t="s">
        <v>159</v>
      </c>
      <c r="O16" t="s">
        <v>282</v>
      </c>
      <c r="P16" t="e">
        <f ca="1">ModelRef(model!$D$38,1,0,0)</f>
        <v>#NAME?</v>
      </c>
      <c r="V16" t="s">
        <v>159</v>
      </c>
      <c r="W16" t="s">
        <v>220</v>
      </c>
    </row>
    <row r="17" spans="1:23" x14ac:dyDescent="0.35">
      <c r="A17" t="e">
        <f ca="1">ModelRef(model!$D$96,1,0,0)</f>
        <v>#NAME?</v>
      </c>
      <c r="B17">
        <v>0</v>
      </c>
      <c r="C17">
        <v>2</v>
      </c>
      <c r="D17" t="s">
        <v>159</v>
      </c>
      <c r="F17">
        <v>0</v>
      </c>
      <c r="J17" t="b">
        <v>1</v>
      </c>
      <c r="K17" t="s">
        <v>350</v>
      </c>
      <c r="L17" t="e">
        <f ca="1">ModelRef(model!$D$96,1,0,0)</f>
        <v>#NAME?</v>
      </c>
    </row>
    <row r="18" spans="1:23" x14ac:dyDescent="0.35">
      <c r="A18" t="e">
        <f ca="1">ModelRef(model!$D$48,1,0,0)</f>
        <v>#NAME?</v>
      </c>
      <c r="B18">
        <v>1</v>
      </c>
      <c r="C18">
        <v>5</v>
      </c>
      <c r="D18" t="s">
        <v>159</v>
      </c>
      <c r="F18">
        <v>0</v>
      </c>
    </row>
    <row r="19" spans="1:23" x14ac:dyDescent="0.35">
      <c r="A19" t="e">
        <f ca="1">ModelRef(model!$D$37,1,0,0)</f>
        <v>#NAME?</v>
      </c>
      <c r="B19">
        <v>1</v>
      </c>
      <c r="C19">
        <v>5</v>
      </c>
      <c r="D19" t="s">
        <v>159</v>
      </c>
      <c r="F19">
        <v>0</v>
      </c>
    </row>
    <row r="20" spans="1:23" x14ac:dyDescent="0.35">
      <c r="A20" t="e">
        <f ca="1">ModelRef(model!$D$50,1,0,0)</f>
        <v>#NAME?</v>
      </c>
      <c r="B20">
        <v>1</v>
      </c>
      <c r="C20">
        <v>2</v>
      </c>
      <c r="D20" t="s">
        <v>159</v>
      </c>
      <c r="F20">
        <v>0</v>
      </c>
      <c r="N20" t="s">
        <v>159</v>
      </c>
      <c r="O20" t="s">
        <v>283</v>
      </c>
      <c r="P20" t="e">
        <f ca="1">ModelRef(model!$D$50,1,0,0)</f>
        <v>#NAME?</v>
      </c>
      <c r="V20" t="s">
        <v>159</v>
      </c>
      <c r="W20" t="s">
        <v>217</v>
      </c>
    </row>
    <row r="21" spans="1:23" x14ac:dyDescent="0.35">
      <c r="A21" t="e">
        <f ca="1">ModelRef(model!$D$95,1,0,0)</f>
        <v>#NAME?</v>
      </c>
      <c r="B21">
        <v>0</v>
      </c>
      <c r="C21">
        <v>2</v>
      </c>
      <c r="D21" t="s">
        <v>159</v>
      </c>
      <c r="F21">
        <v>0</v>
      </c>
      <c r="J21" t="b">
        <v>1</v>
      </c>
      <c r="K21" t="s">
        <v>287</v>
      </c>
      <c r="L21" t="e">
        <f ca="1">ModelRef(model!$D$95,1,0,0)</f>
        <v>#NAME?</v>
      </c>
      <c r="N21" t="s">
        <v>159</v>
      </c>
      <c r="O21" t="s">
        <v>284</v>
      </c>
      <c r="P21" t="e">
        <f ca="1">ModelRef(model!$D$95,1,0,0)</f>
        <v>#NAME?</v>
      </c>
    </row>
    <row r="22" spans="1:23" x14ac:dyDescent="0.35">
      <c r="A22" t="e">
        <f ca="1">ModelRef(model!$F$82,1,0,0)</f>
        <v>#NAME?</v>
      </c>
      <c r="B22">
        <v>0</v>
      </c>
      <c r="C22">
        <v>3</v>
      </c>
      <c r="F22">
        <v>0</v>
      </c>
      <c r="J22" t="b">
        <v>1</v>
      </c>
      <c r="K22" t="s">
        <v>152</v>
      </c>
      <c r="L22" t="e">
        <f ca="1">ModelRef(model!$F$82,1,0,0)+ModelRef(model!$D$82,1,0,-1)</f>
        <v>#NAME?</v>
      </c>
    </row>
    <row r="23" spans="1:23" x14ac:dyDescent="0.35">
      <c r="A23" t="e">
        <f ca="1">ModelRef(model!$F$55,1,0,0)</f>
        <v>#NAME?</v>
      </c>
      <c r="B23">
        <v>0</v>
      </c>
      <c r="C23">
        <v>3</v>
      </c>
      <c r="F23">
        <v>0</v>
      </c>
      <c r="J23" t="b">
        <v>1</v>
      </c>
      <c r="K23" t="s">
        <v>153</v>
      </c>
      <c r="L23" t="e">
        <f ca="1">ModelRef(model!$F$55,1,0,0)+ModelRef(model!$D$55,1,0,-1)</f>
        <v>#NAME?</v>
      </c>
    </row>
    <row r="24" spans="1:23" x14ac:dyDescent="0.35">
      <c r="A24" t="e">
        <f ca="1">ModelRef(model!$D$87,1,0,0)</f>
        <v>#NAME?</v>
      </c>
      <c r="B24">
        <v>0</v>
      </c>
      <c r="C24">
        <v>3</v>
      </c>
      <c r="F24">
        <v>0</v>
      </c>
      <c r="J24" t="b">
        <v>1</v>
      </c>
      <c r="K24" t="s">
        <v>42</v>
      </c>
      <c r="L24" t="e">
        <f ca="1">ModelRef(model!$D$87,1,0,0)</f>
        <v>#NAME?</v>
      </c>
    </row>
    <row r="25" spans="1:23" x14ac:dyDescent="0.35">
      <c r="A25" t="e">
        <f ca="1">ModelRef(model!$D$51,1,0,0)</f>
        <v>#NAME?</v>
      </c>
      <c r="B25">
        <v>0</v>
      </c>
      <c r="C25">
        <v>3</v>
      </c>
      <c r="F25">
        <v>0</v>
      </c>
      <c r="J25" t="b">
        <v>1</v>
      </c>
      <c r="K25" t="s">
        <v>43</v>
      </c>
      <c r="L25" t="e">
        <f ca="1">ModelRef(model!$D$51,1,0,0)</f>
        <v>#NAME?</v>
      </c>
    </row>
    <row r="26" spans="1:23" x14ac:dyDescent="0.35">
      <c r="A26" t="e">
        <f ca="1">ModelRef(model!$D$47,1,0,0)</f>
        <v>#NAME?</v>
      </c>
      <c r="B26">
        <v>0</v>
      </c>
      <c r="C26">
        <v>3</v>
      </c>
      <c r="F26">
        <v>0</v>
      </c>
      <c r="J26" t="b">
        <v>1</v>
      </c>
      <c r="K26" t="s">
        <v>44</v>
      </c>
      <c r="L26" t="e">
        <f ca="1">ModelRef(model!$D$47,1,0,0)</f>
        <v>#NAME?</v>
      </c>
    </row>
    <row r="27" spans="1:23" x14ac:dyDescent="0.35">
      <c r="A27" t="e">
        <f ca="1">ModelRef(model!$D$11,1,0,0)</f>
        <v>#NAME?</v>
      </c>
      <c r="B27">
        <v>0</v>
      </c>
      <c r="C27">
        <v>3</v>
      </c>
      <c r="F27">
        <v>0</v>
      </c>
      <c r="J27" t="b">
        <v>1</v>
      </c>
      <c r="K27" t="s">
        <v>154</v>
      </c>
      <c r="L27" t="e">
        <f ca="1">ModelRef(model!$D$11,1,0,0)</f>
        <v>#NAME?</v>
      </c>
    </row>
    <row r="28" spans="1:23" x14ac:dyDescent="0.35">
      <c r="A28" t="e">
        <f ca="1">ModelRef(model!$D$42,1,0,0)</f>
        <v>#NAME?</v>
      </c>
      <c r="B28">
        <v>0</v>
      </c>
      <c r="C28">
        <v>3</v>
      </c>
      <c r="F28">
        <v>0</v>
      </c>
      <c r="J28" t="b">
        <v>1</v>
      </c>
      <c r="K28" t="s">
        <v>45</v>
      </c>
      <c r="L28" t="e">
        <f ca="1">ModelRef(model!$D$42,1,0,0)</f>
        <v>#NAME?</v>
      </c>
    </row>
    <row r="29" spans="1:23" x14ac:dyDescent="0.35">
      <c r="A29" t="e">
        <f ca="1">ModelRef(model!$D$99,1,0,0)</f>
        <v>#NAME?</v>
      </c>
      <c r="B29">
        <v>1</v>
      </c>
      <c r="C29">
        <v>2</v>
      </c>
      <c r="D29" t="s">
        <v>159</v>
      </c>
      <c r="F29">
        <v>0</v>
      </c>
      <c r="J29" t="b">
        <v>1</v>
      </c>
      <c r="K29" t="s">
        <v>294</v>
      </c>
      <c r="L29" t="e">
        <f ca="1">ModelRef(model!$D$99,1,0,0)</f>
        <v>#NAME?</v>
      </c>
      <c r="N29" t="s">
        <v>159</v>
      </c>
      <c r="O29" t="s">
        <v>292</v>
      </c>
      <c r="P29" t="e">
        <f ca="1">ModelRef(model!$D$99,1,0,0)</f>
        <v>#NAME?</v>
      </c>
      <c r="V29" t="s">
        <v>46</v>
      </c>
      <c r="W29" t="s">
        <v>47</v>
      </c>
    </row>
    <row r="31" spans="1:23" x14ac:dyDescent="0.35">
      <c r="A31" t="s">
        <v>48</v>
      </c>
      <c r="C31" t="s">
        <v>49</v>
      </c>
      <c r="D31" t="s">
        <v>50</v>
      </c>
      <c r="E31" t="s">
        <v>51</v>
      </c>
    </row>
    <row r="32" spans="1:23" x14ac:dyDescent="0.35">
      <c r="A32">
        <f ca="1">inf_herds1!$G$5</f>
        <v>434.04325118615799</v>
      </c>
      <c r="D32">
        <v>1</v>
      </c>
      <c r="E32" t="s">
        <v>341</v>
      </c>
      <c r="F32">
        <v>0</v>
      </c>
      <c r="G32" t="s">
        <v>342</v>
      </c>
      <c r="H32" t="s">
        <v>49</v>
      </c>
      <c r="I32">
        <v>0</v>
      </c>
    </row>
    <row r="33" spans="1:29" x14ac:dyDescent="0.35">
      <c r="A33">
        <f ca="1">model!$D$77</f>
        <v>3.1005084945289751</v>
      </c>
      <c r="D33">
        <v>1</v>
      </c>
      <c r="E33" t="s">
        <v>337</v>
      </c>
      <c r="F33">
        <v>0</v>
      </c>
      <c r="G33" t="s">
        <v>338</v>
      </c>
      <c r="H33" t="s">
        <v>49</v>
      </c>
      <c r="I33">
        <v>0</v>
      </c>
    </row>
    <row r="34" spans="1:29" x14ac:dyDescent="0.35">
      <c r="A34">
        <f ca="1">model!$D$71</f>
        <v>3.7992869284122772</v>
      </c>
      <c r="D34">
        <v>1</v>
      </c>
      <c r="E34" t="s">
        <v>339</v>
      </c>
      <c r="F34">
        <v>0</v>
      </c>
      <c r="G34" t="s">
        <v>340</v>
      </c>
      <c r="H34" t="s">
        <v>49</v>
      </c>
      <c r="I34">
        <v>0</v>
      </c>
    </row>
    <row r="35" spans="1:29" x14ac:dyDescent="0.35">
      <c r="A35" s="6">
        <f>model!$D$61</f>
        <v>1E-8</v>
      </c>
      <c r="D35">
        <v>1</v>
      </c>
      <c r="E35" t="s">
        <v>285</v>
      </c>
      <c r="F35">
        <v>0</v>
      </c>
      <c r="G35" t="s">
        <v>286</v>
      </c>
      <c r="H35" t="s">
        <v>49</v>
      </c>
      <c r="I35">
        <v>0</v>
      </c>
    </row>
    <row r="36" spans="1:29" x14ac:dyDescent="0.35">
      <c r="A36">
        <f>model!$D$85</f>
        <v>12</v>
      </c>
      <c r="D36">
        <v>1</v>
      </c>
      <c r="E36" t="s">
        <v>290</v>
      </c>
      <c r="F36">
        <v>0</v>
      </c>
      <c r="G36" t="s">
        <v>291</v>
      </c>
      <c r="H36" t="s">
        <v>49</v>
      </c>
      <c r="I36">
        <v>0</v>
      </c>
    </row>
    <row r="37" spans="1:29" x14ac:dyDescent="0.35">
      <c r="A37">
        <f ca="1">model!$D$62</f>
        <v>8.4686154622461901E-2</v>
      </c>
      <c r="D37">
        <v>1</v>
      </c>
      <c r="E37" t="s">
        <v>223</v>
      </c>
      <c r="F37">
        <v>0</v>
      </c>
      <c r="G37" t="s">
        <v>224</v>
      </c>
      <c r="H37" t="s">
        <v>49</v>
      </c>
      <c r="I37">
        <v>0</v>
      </c>
    </row>
    <row r="38" spans="1:29" x14ac:dyDescent="0.35">
      <c r="A38">
        <f ca="1">model!$D$76</f>
        <v>17.55770379066189</v>
      </c>
      <c r="D38">
        <v>1</v>
      </c>
      <c r="E38" t="s">
        <v>218</v>
      </c>
      <c r="F38">
        <v>0</v>
      </c>
      <c r="G38" t="s">
        <v>219</v>
      </c>
      <c r="H38" t="s">
        <v>49</v>
      </c>
      <c r="I38">
        <v>0</v>
      </c>
    </row>
    <row r="39" spans="1:29" x14ac:dyDescent="0.35">
      <c r="A39">
        <f>model!$D$84</f>
        <v>0.25</v>
      </c>
      <c r="D39">
        <v>1</v>
      </c>
      <c r="E39" t="s">
        <v>185</v>
      </c>
      <c r="F39">
        <v>0</v>
      </c>
      <c r="G39" t="s">
        <v>186</v>
      </c>
      <c r="H39" t="s">
        <v>49</v>
      </c>
      <c r="I39">
        <v>0</v>
      </c>
    </row>
    <row r="40" spans="1:29" x14ac:dyDescent="0.35">
      <c r="A40">
        <f ca="1">model!$D$81</f>
        <v>1</v>
      </c>
      <c r="D40">
        <v>2</v>
      </c>
      <c r="E40" t="s">
        <v>187</v>
      </c>
      <c r="F40">
        <v>0</v>
      </c>
      <c r="G40" t="s">
        <v>188</v>
      </c>
      <c r="H40" t="s">
        <v>49</v>
      </c>
      <c r="I40">
        <v>0</v>
      </c>
      <c r="Y40" t="s">
        <v>189</v>
      </c>
      <c r="Z40">
        <v>0</v>
      </c>
      <c r="AB40" t="s">
        <v>49</v>
      </c>
      <c r="AC40">
        <v>0</v>
      </c>
    </row>
    <row r="41" spans="1:29" x14ac:dyDescent="0.35">
      <c r="A41">
        <f ca="1">model!$D$73</f>
        <v>8.5643251078963881E-2</v>
      </c>
      <c r="D41">
        <v>1</v>
      </c>
      <c r="E41" t="s">
        <v>190</v>
      </c>
      <c r="F41">
        <v>0</v>
      </c>
      <c r="G41" t="s">
        <v>191</v>
      </c>
      <c r="H41" t="s">
        <v>49</v>
      </c>
      <c r="I41">
        <v>0</v>
      </c>
    </row>
    <row r="42" spans="1:29" x14ac:dyDescent="0.35">
      <c r="A42">
        <f ca="1">model!$D$70</f>
        <v>1.724658703502006</v>
      </c>
      <c r="D42">
        <v>1</v>
      </c>
      <c r="E42" t="s">
        <v>192</v>
      </c>
      <c r="F42">
        <v>0</v>
      </c>
      <c r="G42" t="s">
        <v>193</v>
      </c>
      <c r="H42" t="s">
        <v>49</v>
      </c>
      <c r="I42">
        <v>0</v>
      </c>
    </row>
    <row r="43" spans="1:29" x14ac:dyDescent="0.35">
      <c r="A43">
        <f ca="1">model!$D$67</f>
        <v>4.7903037902762531</v>
      </c>
      <c r="D43">
        <v>1</v>
      </c>
      <c r="E43" t="s">
        <v>194</v>
      </c>
      <c r="F43">
        <v>0</v>
      </c>
      <c r="G43" t="s">
        <v>195</v>
      </c>
      <c r="H43" t="s">
        <v>49</v>
      </c>
      <c r="I43">
        <v>0</v>
      </c>
    </row>
    <row r="44" spans="1:29" x14ac:dyDescent="0.35">
      <c r="A44">
        <f ca="1">model!$D$56</f>
        <v>1.5766632624112091</v>
      </c>
      <c r="D44">
        <v>1</v>
      </c>
      <c r="E44" t="s">
        <v>196</v>
      </c>
      <c r="F44">
        <v>0</v>
      </c>
      <c r="G44" t="s">
        <v>197</v>
      </c>
      <c r="H44" t="s">
        <v>49</v>
      </c>
      <c r="I44">
        <v>0</v>
      </c>
    </row>
    <row r="45" spans="1:29" x14ac:dyDescent="0.35">
      <c r="A45" s="5">
        <f ca="1">model!$D$52</f>
        <v>1</v>
      </c>
      <c r="D45">
        <v>2</v>
      </c>
      <c r="E45" t="s">
        <v>198</v>
      </c>
      <c r="F45">
        <v>0</v>
      </c>
      <c r="G45" t="s">
        <v>199</v>
      </c>
      <c r="H45" t="s">
        <v>49</v>
      </c>
      <c r="I45">
        <v>0</v>
      </c>
      <c r="Y45" t="s">
        <v>200</v>
      </c>
      <c r="Z45">
        <v>0</v>
      </c>
      <c r="AB45" t="s">
        <v>49</v>
      </c>
      <c r="AC45">
        <v>0</v>
      </c>
    </row>
    <row r="46" spans="1:29" x14ac:dyDescent="0.35">
      <c r="A46" s="12">
        <f ca="1">model!$D$46</f>
        <v>21</v>
      </c>
      <c r="D46">
        <v>2</v>
      </c>
      <c r="E46" t="s">
        <v>201</v>
      </c>
      <c r="F46">
        <v>0</v>
      </c>
      <c r="G46" t="s">
        <v>202</v>
      </c>
      <c r="H46" t="s">
        <v>49</v>
      </c>
      <c r="I46">
        <v>0</v>
      </c>
      <c r="Y46" t="s">
        <v>203</v>
      </c>
      <c r="Z46">
        <v>0</v>
      </c>
      <c r="AB46" t="s">
        <v>49</v>
      </c>
      <c r="AC46">
        <v>0</v>
      </c>
    </row>
    <row r="47" spans="1:29" x14ac:dyDescent="0.35">
      <c r="A47">
        <f ca="1">model!$D$15</f>
        <v>0.60282506510251266</v>
      </c>
      <c r="D47">
        <v>1</v>
      </c>
      <c r="E47" t="s">
        <v>204</v>
      </c>
      <c r="F47">
        <v>0</v>
      </c>
      <c r="G47" t="s">
        <v>205</v>
      </c>
      <c r="H47" t="s">
        <v>49</v>
      </c>
      <c r="I47">
        <v>0</v>
      </c>
    </row>
    <row r="48" spans="1:29" x14ac:dyDescent="0.35">
      <c r="A48">
        <f ca="1">model!$D$14</f>
        <v>9.3523474508952553</v>
      </c>
      <c r="D48">
        <v>1</v>
      </c>
      <c r="E48" t="s">
        <v>206</v>
      </c>
      <c r="F48">
        <v>0</v>
      </c>
      <c r="G48" t="s">
        <v>207</v>
      </c>
      <c r="H48" t="s">
        <v>49</v>
      </c>
      <c r="I48">
        <v>0</v>
      </c>
    </row>
    <row r="49" spans="1:9" x14ac:dyDescent="0.35">
      <c r="A49">
        <f ca="1">model!$D$9</f>
        <v>0.13692903087805988</v>
      </c>
      <c r="D49">
        <v>1</v>
      </c>
      <c r="E49" t="s">
        <v>208</v>
      </c>
      <c r="F49">
        <v>0</v>
      </c>
      <c r="G49" t="s">
        <v>209</v>
      </c>
      <c r="H49" t="s">
        <v>49</v>
      </c>
      <c r="I49">
        <v>0</v>
      </c>
    </row>
    <row r="50" spans="1:9" x14ac:dyDescent="0.35">
      <c r="A50">
        <f ca="1">model!$D$8</f>
        <v>3710</v>
      </c>
      <c r="D50">
        <v>1</v>
      </c>
      <c r="E50" t="s">
        <v>210</v>
      </c>
      <c r="F50">
        <v>0</v>
      </c>
      <c r="G50" t="s">
        <v>211</v>
      </c>
      <c r="H50" t="s">
        <v>49</v>
      </c>
      <c r="I50">
        <v>0</v>
      </c>
    </row>
    <row r="51" spans="1:9" x14ac:dyDescent="0.35">
      <c r="A51">
        <f ca="1">model!$D$6</f>
        <v>2</v>
      </c>
      <c r="D51">
        <v>1</v>
      </c>
      <c r="E51" t="s">
        <v>212</v>
      </c>
      <c r="F51">
        <v>0</v>
      </c>
      <c r="G51" t="s">
        <v>213</v>
      </c>
      <c r="H51" t="s">
        <v>49</v>
      </c>
      <c r="I51">
        <v>0</v>
      </c>
    </row>
    <row r="52" spans="1:9" x14ac:dyDescent="0.35">
      <c r="A52">
        <f ca="1">model!$D$35</f>
        <v>5.2288076870387021</v>
      </c>
      <c r="D52">
        <v>1</v>
      </c>
      <c r="E52" t="s">
        <v>214</v>
      </c>
      <c r="F52">
        <v>0</v>
      </c>
      <c r="G52" t="s">
        <v>215</v>
      </c>
      <c r="H52" t="s">
        <v>49</v>
      </c>
      <c r="I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422A-35CF-4031-A088-EC2B459FD1E9}">
  <sheetPr>
    <pageSetUpPr autoPageBreaks="0"/>
  </sheetPr>
  <dimension ref="A1:Y103"/>
  <sheetViews>
    <sheetView tabSelected="1" topLeftCell="A67" zoomScale="90" zoomScaleNormal="90" zoomScaleSheetLayoutView="50" workbookViewId="0">
      <selection activeCell="J94" sqref="J94"/>
    </sheetView>
  </sheetViews>
  <sheetFormatPr defaultRowHeight="14.5" x14ac:dyDescent="0.35"/>
  <cols>
    <col min="1" max="1" width="24.81640625" bestFit="1" customWidth="1"/>
    <col min="2" max="2" width="58.7265625" bestFit="1" customWidth="1"/>
    <col min="3" max="3" width="33.1796875" customWidth="1"/>
    <col min="4" max="4" width="64.81640625" customWidth="1"/>
    <col min="5" max="5" width="19.453125" bestFit="1" customWidth="1"/>
    <col min="6" max="6" width="12.453125" style="21" bestFit="1" customWidth="1"/>
    <col min="7" max="7" width="12.26953125" bestFit="1" customWidth="1"/>
    <col min="13" max="13" width="37.453125" customWidth="1"/>
    <col min="14" max="14" width="16.453125" bestFit="1" customWidth="1"/>
    <col min="15" max="15" width="25.1796875" bestFit="1" customWidth="1"/>
    <col min="16" max="16" width="16.453125" bestFit="1" customWidth="1"/>
    <col min="17" max="17" width="6.453125" bestFit="1" customWidth="1"/>
    <col min="20" max="20" width="24.453125" bestFit="1" customWidth="1"/>
    <col min="21" max="21" width="17.453125" bestFit="1" customWidth="1"/>
    <col min="22" max="22" width="24.453125" bestFit="1" customWidth="1"/>
    <col min="23" max="23" width="17.453125" bestFit="1" customWidth="1"/>
    <col min="24" max="24" width="2.81640625" bestFit="1" customWidth="1"/>
  </cols>
  <sheetData>
    <row r="1" spans="1:8" x14ac:dyDescent="0.35">
      <c r="A1" t="s">
        <v>368</v>
      </c>
      <c r="C1" t="s">
        <v>349</v>
      </c>
    </row>
    <row r="2" spans="1:8" x14ac:dyDescent="0.35">
      <c r="A2" t="s">
        <v>352</v>
      </c>
    </row>
    <row r="4" spans="1:8" x14ac:dyDescent="0.35">
      <c r="B4" s="1" t="s">
        <v>52</v>
      </c>
      <c r="C4" s="1" t="s">
        <v>53</v>
      </c>
      <c r="D4" s="1" t="s">
        <v>54</v>
      </c>
      <c r="E4" s="1" t="s">
        <v>55</v>
      </c>
      <c r="F4" s="22" t="s">
        <v>56</v>
      </c>
      <c r="G4" s="1" t="s">
        <v>57</v>
      </c>
    </row>
    <row r="5" spans="1:8" x14ac:dyDescent="0.35">
      <c r="A5" t="s">
        <v>58</v>
      </c>
      <c r="B5" t="s">
        <v>312</v>
      </c>
      <c r="D5">
        <v>100</v>
      </c>
      <c r="E5" t="s">
        <v>59</v>
      </c>
      <c r="G5" s="1"/>
    </row>
    <row r="6" spans="1:8" x14ac:dyDescent="0.35">
      <c r="B6" s="19" t="s">
        <v>314</v>
      </c>
      <c r="C6" s="19" t="s">
        <v>300</v>
      </c>
      <c r="D6" cm="1">
        <f t="array" aca="1" ref="D6" ca="1">_xll.RiskDiscrete({1,2,3,4,5,6,7,8,9,10,11,12,13,14,15,16,17,18,19,20,21,22,23,24,25,26,27,28,29,30,31,32,33,34,35,36,37,38,39,40,41,42,43,44,45,46,47,48,49,50,51,52,53,54,55,56,57,58,59,60,61,62,63,64,65,66,67,68,69},inf_herds1!C3:C71,_xll.RiskName("infected_herds_plant"),_xll.RiskCollect())</f>
        <v>2</v>
      </c>
      <c r="E6" s="19" t="s">
        <v>59</v>
      </c>
      <c r="F6" s="22"/>
      <c r="G6" s="1"/>
    </row>
    <row r="7" spans="1:8" x14ac:dyDescent="0.35">
      <c r="B7" t="s">
        <v>61</v>
      </c>
      <c r="D7">
        <f ca="1">D5-D6</f>
        <v>98</v>
      </c>
      <c r="E7" t="s">
        <v>59</v>
      </c>
      <c r="F7" s="22"/>
      <c r="G7" s="1"/>
    </row>
    <row r="8" spans="1:8" x14ac:dyDescent="0.35">
      <c r="B8" s="19" t="s">
        <v>315</v>
      </c>
      <c r="C8" s="19" t="s">
        <v>301</v>
      </c>
      <c r="D8" cm="1">
        <f t="array" aca="1" ref="D8" ca="1">INT(_xll.RiskTriang(20,350,5000,_xll.RiskName("avg_herd_size"),_xll.RiskStatic(1790),_xll.RiskCollect()))</f>
        <v>3710</v>
      </c>
      <c r="E8" s="20" t="s">
        <v>62</v>
      </c>
      <c r="F8" s="21" t="s">
        <v>372</v>
      </c>
      <c r="H8" s="13"/>
    </row>
    <row r="9" spans="1:8" x14ac:dyDescent="0.35">
      <c r="B9" s="19" t="s">
        <v>313</v>
      </c>
      <c r="C9" s="19" t="s">
        <v>302</v>
      </c>
      <c r="D9" cm="1">
        <f t="array" aca="1" ref="D9" ca="1">_xll.RiskUniform(0.0342,0.2349,_xll.RiskName("prevalence"),_xll.RiskStatic(0.135),_xll.RiskCollect())</f>
        <v>0.13692903087805988</v>
      </c>
      <c r="E9" s="19" t="s">
        <v>60</v>
      </c>
      <c r="F9" s="21" t="s">
        <v>373</v>
      </c>
      <c r="H9" s="13"/>
    </row>
    <row r="10" spans="1:8" x14ac:dyDescent="0.35">
      <c r="B10" t="s">
        <v>63</v>
      </c>
      <c r="D10">
        <f ca="1">INT((D7*D8)+(D6*D8*(1-D9)))</f>
        <v>369983</v>
      </c>
      <c r="E10" t="s">
        <v>62</v>
      </c>
      <c r="H10" s="13"/>
    </row>
    <row r="11" spans="1:8" x14ac:dyDescent="0.35">
      <c r="B11" t="s">
        <v>64</v>
      </c>
      <c r="D11">
        <f ca="1">INT(MAX(D6*D8*D9,1))</f>
        <v>1016</v>
      </c>
      <c r="E11" t="s">
        <v>62</v>
      </c>
      <c r="H11" s="13"/>
    </row>
    <row r="12" spans="1:8" x14ac:dyDescent="0.35">
      <c r="B12" t="s">
        <v>65</v>
      </c>
      <c r="D12">
        <f>0</f>
        <v>0</v>
      </c>
      <c r="E12" t="s">
        <v>62</v>
      </c>
    </row>
    <row r="13" spans="1:8" x14ac:dyDescent="0.35">
      <c r="B13" t="s">
        <v>66</v>
      </c>
      <c r="D13">
        <f ca="1">INT(D11*D84)</f>
        <v>254</v>
      </c>
      <c r="E13" t="s">
        <v>62</v>
      </c>
      <c r="H13" s="13"/>
    </row>
    <row r="14" spans="1:8" x14ac:dyDescent="0.35">
      <c r="B14" s="19" t="s">
        <v>316</v>
      </c>
      <c r="C14" s="19" t="s">
        <v>278</v>
      </c>
      <c r="D14" cm="1">
        <f t="array" aca="1" ref="D14" ca="1">_xll.RiskPert(8,9,10,_xll.RiskName("healthy_milk_yield"),_xll.RiskStatic(9),_xll.RiskCollect())</f>
        <v>9.3523474508952553</v>
      </c>
      <c r="E14" s="19" t="s">
        <v>67</v>
      </c>
      <c r="F14" s="21" t="s">
        <v>374</v>
      </c>
    </row>
    <row r="15" spans="1:8" x14ac:dyDescent="0.35">
      <c r="B15" s="19" t="s">
        <v>317</v>
      </c>
      <c r="C15" s="19" t="s">
        <v>303</v>
      </c>
      <c r="D15" cm="1">
        <f t="array" aca="1" ref="D15" ca="1">_xll.RiskPert(0.5,0.6,1,_xll.RiskName("infected_cow_rel_yield"),_xll.RiskStatic(0.6),_xll.RiskCollect())</f>
        <v>0.60282506510251266</v>
      </c>
      <c r="E15" s="19" t="s">
        <v>60</v>
      </c>
      <c r="F15" s="21" t="s">
        <v>375</v>
      </c>
      <c r="G15" s="2"/>
    </row>
    <row r="16" spans="1:8" x14ac:dyDescent="0.35">
      <c r="B16" t="s">
        <v>68</v>
      </c>
      <c r="D16">
        <f ca="1">D14*D15</f>
        <v>5.637829460947251</v>
      </c>
      <c r="E16" t="s">
        <v>67</v>
      </c>
    </row>
    <row r="17" spans="1:6" x14ac:dyDescent="0.35">
      <c r="B17" t="s">
        <v>69</v>
      </c>
      <c r="D17">
        <f ca="1">(D11-D13)*D16</f>
        <v>4296.0260492418056</v>
      </c>
      <c r="E17" t="s">
        <v>70</v>
      </c>
    </row>
    <row r="18" spans="1:6" x14ac:dyDescent="0.35">
      <c r="B18" t="s">
        <v>71</v>
      </c>
      <c r="D18">
        <f ca="1">D10*D14</f>
        <v>3460209.5669245794</v>
      </c>
      <c r="E18" t="s">
        <v>70</v>
      </c>
    </row>
    <row r="19" spans="1:6" x14ac:dyDescent="0.35">
      <c r="B19" t="s">
        <v>72</v>
      </c>
      <c r="D19">
        <f ca="1">D13*D16</f>
        <v>1432.0086830806017</v>
      </c>
      <c r="E19" t="s">
        <v>70</v>
      </c>
    </row>
    <row r="20" spans="1:6" x14ac:dyDescent="0.35">
      <c r="B20" t="s">
        <v>73</v>
      </c>
      <c r="D20">
        <f>0</f>
        <v>0</v>
      </c>
      <c r="E20" t="s">
        <v>70</v>
      </c>
    </row>
    <row r="21" spans="1:6" x14ac:dyDescent="0.35">
      <c r="B21" t="s">
        <v>74</v>
      </c>
      <c r="D21">
        <f ca="1">D17+D18</f>
        <v>3464505.5929738213</v>
      </c>
      <c r="E21" t="s">
        <v>70</v>
      </c>
    </row>
    <row r="22" spans="1:6" x14ac:dyDescent="0.35">
      <c r="B22" t="s">
        <v>75</v>
      </c>
      <c r="D22">
        <f ca="1">D19+D20</f>
        <v>1432.0086830806017</v>
      </c>
      <c r="E22" t="s">
        <v>70</v>
      </c>
    </row>
    <row r="24" spans="1:6" x14ac:dyDescent="0.35">
      <c r="A24" t="s">
        <v>76</v>
      </c>
      <c r="B24" t="s">
        <v>77</v>
      </c>
      <c r="D24">
        <v>3785.41</v>
      </c>
      <c r="E24" t="s">
        <v>78</v>
      </c>
    </row>
    <row r="25" spans="1:6" x14ac:dyDescent="0.35">
      <c r="B25" t="s">
        <v>79</v>
      </c>
      <c r="D25">
        <f>240</f>
        <v>240</v>
      </c>
      <c r="E25" t="s">
        <v>80</v>
      </c>
    </row>
    <row r="26" spans="1:6" x14ac:dyDescent="0.35">
      <c r="B26" t="s">
        <v>81</v>
      </c>
      <c r="D26">
        <f>ROUNDUP(D24/D25,0)</f>
        <v>16</v>
      </c>
      <c r="E26" t="s">
        <v>82</v>
      </c>
    </row>
    <row r="27" spans="1:6" x14ac:dyDescent="0.35">
      <c r="B27" t="s">
        <v>322</v>
      </c>
      <c r="D27">
        <v>0.98399999999999999</v>
      </c>
      <c r="E27" t="s">
        <v>60</v>
      </c>
      <c r="F27" s="21" t="s">
        <v>359</v>
      </c>
    </row>
    <row r="28" spans="1:6" x14ac:dyDescent="0.35">
      <c r="B28" t="s">
        <v>323</v>
      </c>
      <c r="D28">
        <v>0.99099999999999999</v>
      </c>
      <c r="E28" t="s">
        <v>60</v>
      </c>
      <c r="F28" s="21" t="s">
        <v>359</v>
      </c>
    </row>
    <row r="29" spans="1:6" x14ac:dyDescent="0.35">
      <c r="B29" t="s">
        <v>324</v>
      </c>
      <c r="D29">
        <v>1.5</v>
      </c>
      <c r="E29" t="s">
        <v>83</v>
      </c>
      <c r="F29" s="21" t="s">
        <v>376</v>
      </c>
    </row>
    <row r="30" spans="1:6" x14ac:dyDescent="0.35">
      <c r="B30" t="s">
        <v>84</v>
      </c>
      <c r="D30">
        <f>0.1</f>
        <v>0.1</v>
      </c>
      <c r="E30" t="s">
        <v>85</v>
      </c>
    </row>
    <row r="31" spans="1:6" x14ac:dyDescent="0.35">
      <c r="B31" t="s">
        <v>327</v>
      </c>
      <c r="D31" s="6">
        <f>87000000000</f>
        <v>87000000000</v>
      </c>
      <c r="E31" t="s">
        <v>86</v>
      </c>
      <c r="F31" s="21" t="s">
        <v>377</v>
      </c>
    </row>
    <row r="32" spans="1:6" x14ac:dyDescent="0.35">
      <c r="B32" t="s">
        <v>87</v>
      </c>
      <c r="D32">
        <f>255</f>
        <v>255</v>
      </c>
      <c r="E32" t="s">
        <v>151</v>
      </c>
      <c r="F32" s="23" t="s">
        <v>88</v>
      </c>
    </row>
    <row r="33" spans="1:25" x14ac:dyDescent="0.35">
      <c r="B33" t="s">
        <v>89</v>
      </c>
      <c r="D33">
        <f>23153</f>
        <v>23153</v>
      </c>
      <c r="E33" t="s">
        <v>59</v>
      </c>
      <c r="F33" s="21" t="s">
        <v>372</v>
      </c>
    </row>
    <row r="35" spans="1:25" x14ac:dyDescent="0.35">
      <c r="A35" t="s">
        <v>90</v>
      </c>
      <c r="B35" s="19" t="s">
        <v>318</v>
      </c>
      <c r="C35" s="19" t="s">
        <v>304</v>
      </c>
      <c r="D35" cm="1">
        <f t="array" aca="1" ref="D35" ca="1">_xll.RiskPert(4,6.5,8.8,_xll.RiskName("milk_titer"),_xll.RiskStatic(6.5),_xll.RiskCollect())</f>
        <v>5.2288076870387021</v>
      </c>
      <c r="E35" s="19" t="s">
        <v>91</v>
      </c>
      <c r="F35" s="21" t="s">
        <v>373</v>
      </c>
    </row>
    <row r="36" spans="1:25" x14ac:dyDescent="0.35">
      <c r="B36" t="s">
        <v>92</v>
      </c>
      <c r="D36">
        <f ca="1">10^(D35)</f>
        <v>169358.76850310966</v>
      </c>
      <c r="E36" t="s">
        <v>93</v>
      </c>
    </row>
    <row r="37" spans="1:25" x14ac:dyDescent="0.35">
      <c r="B37" t="s">
        <v>94</v>
      </c>
      <c r="D37" s="12">
        <f ca="1">D36*D24*D17</f>
        <v>2754149546748.0337</v>
      </c>
      <c r="E37" t="s">
        <v>95</v>
      </c>
    </row>
    <row r="38" spans="1:25" x14ac:dyDescent="0.35">
      <c r="B38" t="s">
        <v>96</v>
      </c>
      <c r="D38" s="9">
        <f ca="1">LOG10(D37)</f>
        <v>12.439987518188206</v>
      </c>
      <c r="E38" t="s">
        <v>97</v>
      </c>
    </row>
    <row r="39" spans="1:25" x14ac:dyDescent="0.35">
      <c r="B39" t="s">
        <v>98</v>
      </c>
      <c r="D39" s="12">
        <f ca="1">D21*D24</f>
        <v>13114574116.699032</v>
      </c>
      <c r="E39" t="s">
        <v>85</v>
      </c>
    </row>
    <row r="40" spans="1:25" x14ac:dyDescent="0.35">
      <c r="B40" t="s">
        <v>99</v>
      </c>
      <c r="D40">
        <f ca="1">ROUNDDOWN(D39/D24,0)</f>
        <v>3464505</v>
      </c>
      <c r="E40" t="s">
        <v>70</v>
      </c>
      <c r="H40" s="13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5"/>
    </row>
    <row r="41" spans="1:25" x14ac:dyDescent="0.35">
      <c r="B41" t="s">
        <v>100</v>
      </c>
      <c r="D41">
        <f ca="1">1/D40</f>
        <v>2.886415231035891E-7</v>
      </c>
      <c r="E41" t="s">
        <v>101</v>
      </c>
      <c r="H41" s="1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5"/>
    </row>
    <row r="42" spans="1:25" x14ac:dyDescent="0.35">
      <c r="B42" t="s">
        <v>102</v>
      </c>
      <c r="C42" s="4"/>
      <c r="D42">
        <f ca="1">MAX(D37/D39,1)</f>
        <v>210.00678498900882</v>
      </c>
      <c r="E42" t="s">
        <v>93</v>
      </c>
      <c r="H42" s="13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5"/>
    </row>
    <row r="43" spans="1:25" x14ac:dyDescent="0.35">
      <c r="B43" t="s">
        <v>103</v>
      </c>
      <c r="D43">
        <f ca="1">1/(D39*10)</f>
        <v>7.6251046438990439E-12</v>
      </c>
      <c r="E43" t="s">
        <v>101</v>
      </c>
      <c r="H43" s="13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5"/>
    </row>
    <row r="44" spans="1:25" x14ac:dyDescent="0.35">
      <c r="B44" t="s">
        <v>104</v>
      </c>
      <c r="D44" s="12">
        <f ca="1">D39*10</f>
        <v>131145741166.99033</v>
      </c>
      <c r="E44" t="s">
        <v>105</v>
      </c>
      <c r="H44" s="13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5"/>
    </row>
    <row r="45" spans="1:25" x14ac:dyDescent="0.35">
      <c r="B45" t="s">
        <v>106</v>
      </c>
      <c r="D45">
        <f ca="1">EXP((GAMMALN(D54*D44/1000000)+GAMMALN(D37/1000000)-GAMMALN((D54*D44/1000000)+D37/1000000))-(GAMMALN(D54*(D44/1000000-1))+GAMMALN(D37/1000000)-GAMMALN((D54*(D44/1000000-1))+D37/1000000)))</f>
        <v>4.5452812970630287E-2</v>
      </c>
      <c r="E45" t="s">
        <v>101</v>
      </c>
      <c r="H45" s="13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5"/>
    </row>
    <row r="46" spans="1:25" x14ac:dyDescent="0.35">
      <c r="B46" t="s">
        <v>107</v>
      </c>
      <c r="D46" s="12">
        <f ca="1">(IFERROR(1+_xll.RiskBinomial(D37,D43,_xll.RiskName("Quantity of Virus in an Aliquot, count")),1+_xll.RiskPoisson(D37*D43)))</f>
        <v>21</v>
      </c>
      <c r="E46" t="s">
        <v>95</v>
      </c>
      <c r="F46" s="24"/>
      <c r="H46" s="13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5"/>
    </row>
    <row r="47" spans="1:25" x14ac:dyDescent="0.35">
      <c r="B47" t="s">
        <v>108</v>
      </c>
      <c r="C47" s="4"/>
      <c r="D47" s="4">
        <f ca="1">IF(D46&gt;(10^D29),1,0)</f>
        <v>0</v>
      </c>
      <c r="E47" t="s">
        <v>101</v>
      </c>
      <c r="H47" s="13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5"/>
    </row>
    <row r="48" spans="1:25" x14ac:dyDescent="0.35">
      <c r="B48" s="4" t="s">
        <v>109</v>
      </c>
      <c r="D48" s="9">
        <f ca="1">MAX(D38-D62,0)</f>
        <v>12.355301363565744</v>
      </c>
      <c r="E48" t="s">
        <v>97</v>
      </c>
      <c r="H48" s="13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5"/>
    </row>
    <row r="49" spans="1:25" x14ac:dyDescent="0.35">
      <c r="H49" s="13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5"/>
    </row>
    <row r="50" spans="1:25" x14ac:dyDescent="0.35">
      <c r="A50" t="s">
        <v>110</v>
      </c>
      <c r="B50" t="s">
        <v>111</v>
      </c>
      <c r="D50" s="9">
        <f ca="1">MAX(D48-D85,0)</f>
        <v>0.3553013635657436</v>
      </c>
      <c r="E50" t="s">
        <v>97</v>
      </c>
      <c r="H50" s="13"/>
    </row>
    <row r="51" spans="1:25" x14ac:dyDescent="0.35">
      <c r="B51" t="s">
        <v>112</v>
      </c>
      <c r="C51" s="4"/>
      <c r="D51" s="10">
        <f ca="1">INT(10^D50)</f>
        <v>2</v>
      </c>
      <c r="E51" t="s">
        <v>95</v>
      </c>
      <c r="H51" s="13"/>
    </row>
    <row r="52" spans="1:25" x14ac:dyDescent="0.35">
      <c r="B52" t="s">
        <v>113</v>
      </c>
      <c r="D52" s="5">
        <f ca="1">(IFERROR(1+_xll.RiskBinomial(D51,D41,_xll.RiskName("Quantity of Virus in Gallon, count")),1+_xll.RiskPoisson(D51*D41)))</f>
        <v>1</v>
      </c>
      <c r="E52" t="s">
        <v>95</v>
      </c>
      <c r="G52" s="11"/>
      <c r="H52" s="13"/>
    </row>
    <row r="53" spans="1:25" x14ac:dyDescent="0.35">
      <c r="B53" t="s">
        <v>155</v>
      </c>
      <c r="D53" s="8">
        <f ca="1">LOG10(D52)</f>
        <v>0</v>
      </c>
      <c r="E53" t="s">
        <v>97</v>
      </c>
      <c r="H53" s="13"/>
    </row>
    <row r="54" spans="1:25" x14ac:dyDescent="0.35">
      <c r="B54" t="s">
        <v>114</v>
      </c>
      <c r="D54">
        <v>1</v>
      </c>
      <c r="E54" t="s">
        <v>101</v>
      </c>
      <c r="F54" s="21" t="s">
        <v>378</v>
      </c>
      <c r="H54" s="13"/>
    </row>
    <row r="55" spans="1:25" x14ac:dyDescent="0.35">
      <c r="B55" t="s">
        <v>157</v>
      </c>
      <c r="D55">
        <f ca="1">EXP((GAMMALN(D54*D40)+GAMMALN(D51)-GAMMALN((D54*D40)+D51))-(GAMMALN(D54*(D40-1))+GAMMALN(D51)-GAMMALN((D54*(D40-1))+D51)))</f>
        <v>0.9999994188548823</v>
      </c>
      <c r="E55" t="s">
        <v>101</v>
      </c>
      <c r="H55" s="13"/>
    </row>
    <row r="56" spans="1:25" x14ac:dyDescent="0.35">
      <c r="B56" s="19" t="s">
        <v>369</v>
      </c>
      <c r="C56" s="19" t="s">
        <v>305</v>
      </c>
      <c r="D56" cm="1">
        <f t="array" aca="1" ref="D56" ca="1">_xll.RiskUniform(1,2,_xll.RiskName("duration_storage_plant"),_xll.RiskStatic(1.5),_xll.RiskCollect())</f>
        <v>1.5766632624112091</v>
      </c>
      <c r="E56" s="19" t="s">
        <v>360</v>
      </c>
      <c r="F56" s="21" t="s">
        <v>379</v>
      </c>
    </row>
    <row r="57" spans="1:25" x14ac:dyDescent="0.35">
      <c r="B57" s="19" t="s">
        <v>370</v>
      </c>
      <c r="C57" s="19" t="s">
        <v>353</v>
      </c>
      <c r="D57" cm="1">
        <f t="array" aca="1" ref="D57" ca="1">_xll.RiskUniform(3.5,4.5,_xll.RiskCollect(),_xll.RiskName("temp_storage_plant"))</f>
        <v>3.5341705281659204</v>
      </c>
      <c r="E57" s="19" t="s">
        <v>361</v>
      </c>
      <c r="F57" s="21" t="s">
        <v>379</v>
      </c>
    </row>
    <row r="58" spans="1:25" x14ac:dyDescent="0.35">
      <c r="B58" t="s">
        <v>115</v>
      </c>
      <c r="D58">
        <f ca="1">MAX(D53-(D56*D62),0)</f>
        <v>0</v>
      </c>
      <c r="E58" t="s">
        <v>97</v>
      </c>
      <c r="H58" s="13"/>
    </row>
    <row r="59" spans="1:25" x14ac:dyDescent="0.35">
      <c r="H59" s="14"/>
    </row>
    <row r="60" spans="1:25" x14ac:dyDescent="0.35">
      <c r="A60" t="s">
        <v>116</v>
      </c>
      <c r="B60" t="s">
        <v>117</v>
      </c>
      <c r="D60" t="s">
        <v>118</v>
      </c>
    </row>
    <row r="61" spans="1:25" x14ac:dyDescent="0.35">
      <c r="B61" s="26" t="s">
        <v>319</v>
      </c>
      <c r="C61" s="26" t="s">
        <v>306</v>
      </c>
      <c r="D61" s="27">
        <v>1E-8</v>
      </c>
      <c r="G61" s="2"/>
    </row>
    <row r="62" spans="1:25" x14ac:dyDescent="0.35">
      <c r="B62" t="s">
        <v>333</v>
      </c>
      <c r="D62">
        <f ca="1">0.0596*EXP(0.0994*D57)</f>
        <v>8.4686154622461901E-2</v>
      </c>
      <c r="E62" t="s">
        <v>362</v>
      </c>
      <c r="F62" s="21" t="s">
        <v>380</v>
      </c>
    </row>
    <row r="63" spans="1:25" x14ac:dyDescent="0.35">
      <c r="B63" t="s">
        <v>329</v>
      </c>
      <c r="D63">
        <f ca="1">0.0596*EXP(0.0994*D68)</f>
        <v>0.15603758695971509</v>
      </c>
      <c r="E63" t="s">
        <v>362</v>
      </c>
      <c r="F63" s="21" t="s">
        <v>381</v>
      </c>
    </row>
    <row r="64" spans="1:25" x14ac:dyDescent="0.35">
      <c r="B64" t="s">
        <v>330</v>
      </c>
      <c r="D64">
        <f ca="1">0.0596*EXP(0.0994*D71)</f>
        <v>8.6947517956830409E-2</v>
      </c>
      <c r="E64" t="s">
        <v>362</v>
      </c>
      <c r="F64" s="21" t="s">
        <v>382</v>
      </c>
    </row>
    <row r="65" spans="2:8" x14ac:dyDescent="0.35">
      <c r="B65" t="s">
        <v>331</v>
      </c>
      <c r="D65">
        <f ca="1">0.0596*EXP(0.0994*D74)</f>
        <v>0.13152926972737586</v>
      </c>
      <c r="E65" t="s">
        <v>362</v>
      </c>
      <c r="F65" s="21" t="s">
        <v>383</v>
      </c>
    </row>
    <row r="66" spans="2:8" x14ac:dyDescent="0.35">
      <c r="B66" t="s">
        <v>332</v>
      </c>
      <c r="D66">
        <f ca="1">0.0596*EXP(0.0994*D77)</f>
        <v>8.1113233137038221E-2</v>
      </c>
      <c r="E66" t="s">
        <v>362</v>
      </c>
      <c r="F66" s="21" t="s">
        <v>384</v>
      </c>
    </row>
    <row r="67" spans="2:8" x14ac:dyDescent="0.35">
      <c r="B67" s="19" t="s">
        <v>363</v>
      </c>
      <c r="C67" s="19" t="s">
        <v>307</v>
      </c>
      <c r="D67" cm="1">
        <f t="array" aca="1" ref="D67" ca="1">_xll.RiskTriang(1,5,10,_xll.RiskName("duration_transport_retail"),_xll.RiskStatic(5.3),_xll.RiskCollect())</f>
        <v>4.7903037902762531</v>
      </c>
      <c r="E67" s="19" t="s">
        <v>360</v>
      </c>
      <c r="F67" s="21" t="s">
        <v>379</v>
      </c>
    </row>
    <row r="68" spans="2:8" x14ac:dyDescent="0.35">
      <c r="B68" s="19" t="s">
        <v>328</v>
      </c>
      <c r="C68" s="19" t="s">
        <v>354</v>
      </c>
      <c r="D68" cm="1">
        <f t="array" aca="1" ref="D68" ca="1">_xll.RiskTriang(1.7,4.4,10,_xll.RiskCollect(),_xll.RiskName("temp_transport_retail"))</f>
        <v>9.6825085131369679</v>
      </c>
      <c r="E68" s="19" t="s">
        <v>361</v>
      </c>
      <c r="F68" s="21" t="s">
        <v>379</v>
      </c>
    </row>
    <row r="69" spans="2:8" x14ac:dyDescent="0.35">
      <c r="B69" t="s">
        <v>119</v>
      </c>
      <c r="D69">
        <f ca="1">MAX(D58-(D67*D63),0)</f>
        <v>0</v>
      </c>
      <c r="E69" t="s">
        <v>97</v>
      </c>
      <c r="H69" s="13"/>
    </row>
    <row r="70" spans="2:8" x14ac:dyDescent="0.35">
      <c r="B70" s="19" t="s">
        <v>364</v>
      </c>
      <c r="C70" s="19" t="s">
        <v>308</v>
      </c>
      <c r="D70" cm="1">
        <f t="array" aca="1" ref="D70" ca="1">_xll.RiskNormal(1.82,3.3,_xll.RiskTruncate(0.042,10),_xll.RiskName("duration_storage_retail"),_xll.RiskStatic(1.82),_xll.RiskCollect())</f>
        <v>1.724658703502006</v>
      </c>
      <c r="E70" s="19" t="s">
        <v>360</v>
      </c>
      <c r="F70" s="21" t="s">
        <v>379</v>
      </c>
    </row>
    <row r="71" spans="2:8" x14ac:dyDescent="0.35">
      <c r="B71" s="19" t="s">
        <v>334</v>
      </c>
      <c r="C71" s="19" t="s">
        <v>355</v>
      </c>
      <c r="D71" cm="1">
        <f t="array" aca="1" ref="D71" ca="1">_xll.RiskNormal(2.3,1.8,_xll.RiskTruncate(-1.4,5.4),_xll.RiskCollect(),_xll.RiskName("temp_storage_retail"))</f>
        <v>3.7992869284122772</v>
      </c>
      <c r="E71" s="19" t="s">
        <v>361</v>
      </c>
      <c r="F71" s="21" t="s">
        <v>379</v>
      </c>
    </row>
    <row r="72" spans="2:8" x14ac:dyDescent="0.35">
      <c r="B72" t="s">
        <v>120</v>
      </c>
      <c r="D72">
        <f ca="1">MAX(D69-(D70*D64),0)</f>
        <v>0</v>
      </c>
      <c r="E72" t="s">
        <v>97</v>
      </c>
      <c r="H72" s="13"/>
    </row>
    <row r="73" spans="2:8" x14ac:dyDescent="0.35">
      <c r="B73" s="19" t="s">
        <v>365</v>
      </c>
      <c r="C73" s="19" t="s">
        <v>309</v>
      </c>
      <c r="D73" cm="1">
        <f t="array" aca="1" ref="D73" ca="1">_xll.RiskNormal(0.042,0.02,_xll.RiskTruncate(0.01,0.24),_xll.RiskName("duration_transport_residence"),_xll.RiskStatic(0.044),_xll.RiskCollect())</f>
        <v>8.5643251078963881E-2</v>
      </c>
      <c r="E73" s="19" t="s">
        <v>360</v>
      </c>
      <c r="F73" s="21" t="s">
        <v>379</v>
      </c>
    </row>
    <row r="74" spans="2:8" x14ac:dyDescent="0.35">
      <c r="B74" s="19" t="s">
        <v>335</v>
      </c>
      <c r="C74" s="19" t="s">
        <v>356</v>
      </c>
      <c r="D74" cm="1">
        <f t="array" aca="1" ref="D74" ca="1">_xll.RiskNormal(8.5,1,_xll.RiskTruncate(0,10),_xll.RiskCollect(),_xll.RiskName("temp_transport_residence"))</f>
        <v>7.9635194794429713</v>
      </c>
      <c r="E74" s="19" t="s">
        <v>361</v>
      </c>
      <c r="F74" s="21" t="s">
        <v>379</v>
      </c>
    </row>
    <row r="75" spans="2:8" x14ac:dyDescent="0.35">
      <c r="B75" t="s">
        <v>121</v>
      </c>
      <c r="D75">
        <f ca="1">MAX(D72-(D73*D65),0)</f>
        <v>0</v>
      </c>
      <c r="E75" t="s">
        <v>97</v>
      </c>
      <c r="H75" s="13"/>
    </row>
    <row r="76" spans="2:8" x14ac:dyDescent="0.35">
      <c r="B76" s="19" t="s">
        <v>366</v>
      </c>
      <c r="C76" s="19" t="s">
        <v>310</v>
      </c>
      <c r="D76" cm="1">
        <f t="array" aca="1" ref="D76" ca="1">_xll.RiskUniform(1,35,_xll.RiskName("duration_storage_residence"),_xll.RiskStatic(7),_xll.RiskCollect())</f>
        <v>17.55770379066189</v>
      </c>
      <c r="E76" s="19" t="s">
        <v>360</v>
      </c>
      <c r="F76" s="21" t="s">
        <v>379</v>
      </c>
    </row>
    <row r="77" spans="2:8" x14ac:dyDescent="0.35">
      <c r="B77" s="19" t="s">
        <v>336</v>
      </c>
      <c r="C77" s="19" t="s">
        <v>357</v>
      </c>
      <c r="D77" cm="1">
        <f t="array" aca="1" ref="D77" ca="1">_xll.RiskLaplace(4.06,2.31,_xll.RiskTruncate(-1,15),_xll.RiskCollect(),_xll.RiskName("temp_storage_residence"))</f>
        <v>3.1005084945289751</v>
      </c>
      <c r="E77" s="19" t="s">
        <v>361</v>
      </c>
      <c r="F77" s="21" t="s">
        <v>379</v>
      </c>
    </row>
    <row r="78" spans="2:8" x14ac:dyDescent="0.35">
      <c r="B78" t="s">
        <v>122</v>
      </c>
      <c r="D78">
        <f>1/D26</f>
        <v>6.25E-2</v>
      </c>
      <c r="E78" t="s">
        <v>101</v>
      </c>
    </row>
    <row r="79" spans="2:8" x14ac:dyDescent="0.35">
      <c r="B79" t="s">
        <v>123</v>
      </c>
      <c r="D79">
        <f ca="1">MAX(D75-(D76*D66),0)</f>
        <v>0</v>
      </c>
      <c r="E79" t="s">
        <v>97</v>
      </c>
      <c r="F79" s="24"/>
      <c r="H79" s="13"/>
    </row>
    <row r="80" spans="2:8" x14ac:dyDescent="0.35">
      <c r="B80" t="s">
        <v>124</v>
      </c>
      <c r="D80">
        <f ca="1">INT(10^D79)</f>
        <v>1</v>
      </c>
      <c r="E80" t="s">
        <v>95</v>
      </c>
    </row>
    <row r="81" spans="1:6" x14ac:dyDescent="0.35">
      <c r="B81" t="s">
        <v>184</v>
      </c>
      <c r="D81">
        <f ca="1">(IFERROR(_xll.RiskBinomial(D80,D78,_xll.RiskName("Quantity of Virus in Serving, count"))+1,_xll.RiskPoisson(D80*D78)+1))</f>
        <v>1</v>
      </c>
      <c r="E81" s="4" t="s">
        <v>95</v>
      </c>
      <c r="F81" s="24"/>
    </row>
    <row r="82" spans="1:6" x14ac:dyDescent="0.35">
      <c r="B82" t="s">
        <v>158</v>
      </c>
      <c r="D82">
        <f ca="1">EXP((GAMMALN(D54*D26)+GAMMALN(D80)-GAMMALN((D54*D26)+D80))-(GAMMALN(D54*(D26-1))+GAMMALN(D80)-GAMMALN((D54*(D26-1))+D80)))</f>
        <v>0.93750000000000011</v>
      </c>
      <c r="E82" t="s">
        <v>101</v>
      </c>
    </row>
    <row r="84" spans="1:6" x14ac:dyDescent="0.35">
      <c r="A84" t="s">
        <v>125</v>
      </c>
      <c r="B84" t="s">
        <v>320</v>
      </c>
      <c r="D84">
        <v>0.25</v>
      </c>
      <c r="E84" t="s">
        <v>126</v>
      </c>
      <c r="F84" s="21" t="s">
        <v>358</v>
      </c>
    </row>
    <row r="85" spans="1:6" x14ac:dyDescent="0.35">
      <c r="B85" s="26" t="s">
        <v>321</v>
      </c>
      <c r="C85" s="26"/>
      <c r="D85" s="26">
        <v>12</v>
      </c>
      <c r="E85" t="s">
        <v>127</v>
      </c>
      <c r="F85" s="21" t="s">
        <v>385</v>
      </c>
    </row>
    <row r="87" spans="1:6" x14ac:dyDescent="0.35">
      <c r="A87" t="s">
        <v>128</v>
      </c>
      <c r="B87" t="s">
        <v>129</v>
      </c>
      <c r="D87">
        <f ca="1">1-EXP(-D81*D61)</f>
        <v>9.9999999392252903E-9</v>
      </c>
      <c r="E87" t="s">
        <v>101</v>
      </c>
      <c r="F87" s="21" t="s">
        <v>386</v>
      </c>
    </row>
    <row r="88" spans="1:6" x14ac:dyDescent="0.35">
      <c r="B88" t="s">
        <v>277</v>
      </c>
      <c r="D88">
        <f>inf_herds1!G3/model!D33</f>
        <v>1</v>
      </c>
      <c r="E88" t="s">
        <v>101</v>
      </c>
    </row>
    <row r="89" spans="1:6" x14ac:dyDescent="0.35">
      <c r="B89" t="s">
        <v>130</v>
      </c>
      <c r="D89">
        <f ca="1">1-inf_herds1!B2</f>
        <v>0.84988810071973853</v>
      </c>
      <c r="E89" s="4" t="s">
        <v>101</v>
      </c>
    </row>
    <row r="90" spans="1:6" x14ac:dyDescent="0.35">
      <c r="B90" t="s">
        <v>156</v>
      </c>
      <c r="D90" s="16">
        <v>0</v>
      </c>
      <c r="E90" s="4" t="s">
        <v>160</v>
      </c>
    </row>
    <row r="91" spans="1:6" x14ac:dyDescent="0.35">
      <c r="B91" t="s">
        <v>131</v>
      </c>
      <c r="D91">
        <f>IF(D90=1,1-D45,1)</f>
        <v>1</v>
      </c>
      <c r="E91" s="4" t="s">
        <v>101</v>
      </c>
    </row>
    <row r="92" spans="1:6" x14ac:dyDescent="0.35">
      <c r="B92" t="s">
        <v>132</v>
      </c>
      <c r="D92" s="4">
        <f>IF(D90=1,(D47*(1-D27))+((1-D47)*D28),1)</f>
        <v>1</v>
      </c>
      <c r="E92" s="4" t="s">
        <v>101</v>
      </c>
    </row>
    <row r="93" spans="1:6" x14ac:dyDescent="0.35">
      <c r="B93" t="s">
        <v>133</v>
      </c>
      <c r="D93">
        <f ca="1">IF(D55&gt;1,1,1-D55)</f>
        <v>5.8114511769513655E-7</v>
      </c>
      <c r="E93" s="4" t="s">
        <v>101</v>
      </c>
    </row>
    <row r="94" spans="1:6" x14ac:dyDescent="0.35">
      <c r="B94" t="s">
        <v>134</v>
      </c>
      <c r="C94" s="3"/>
      <c r="D94">
        <f ca="1">1-D82</f>
        <v>6.2499999999999889E-2</v>
      </c>
      <c r="E94" s="4" t="s">
        <v>101</v>
      </c>
      <c r="F94" s="24"/>
    </row>
    <row r="95" spans="1:6" x14ac:dyDescent="0.35">
      <c r="B95" t="s">
        <v>135</v>
      </c>
      <c r="C95" s="4"/>
      <c r="D95">
        <f ca="1">D88*D89*D91*D92*D93</f>
        <v>4.9390832032046851E-7</v>
      </c>
      <c r="E95" t="s">
        <v>101</v>
      </c>
      <c r="F95" s="24"/>
    </row>
    <row r="96" spans="1:6" x14ac:dyDescent="0.35">
      <c r="B96" s="18" t="s">
        <v>136</v>
      </c>
      <c r="C96" s="4" t="s">
        <v>295</v>
      </c>
      <c r="D96" cm="1">
        <f t="array" aca="1" ref="D96" ca="1">_xll.RiskOutput("prevalence_virus_serving")+D88*D89*D91*D92*D93*D94</f>
        <v>3.0869270020029229E-8</v>
      </c>
      <c r="E96" s="4" t="s">
        <v>101</v>
      </c>
      <c r="F96" s="24"/>
    </row>
    <row r="97" spans="2:9" x14ac:dyDescent="0.35">
      <c r="B97" t="s">
        <v>325</v>
      </c>
      <c r="C97" s="3"/>
      <c r="D97" s="4">
        <v>0.88</v>
      </c>
      <c r="E97" s="4" t="s">
        <v>101</v>
      </c>
      <c r="F97" s="25" t="s">
        <v>387</v>
      </c>
    </row>
    <row r="98" spans="2:9" x14ac:dyDescent="0.35">
      <c r="B98" t="s">
        <v>326</v>
      </c>
      <c r="C98" s="3"/>
      <c r="D98" s="4">
        <v>0.8</v>
      </c>
      <c r="E98" s="4" t="s">
        <v>101</v>
      </c>
      <c r="F98" s="25" t="s">
        <v>387</v>
      </c>
    </row>
    <row r="99" spans="2:9" x14ac:dyDescent="0.35">
      <c r="B99" s="18" t="s">
        <v>137</v>
      </c>
      <c r="C99" s="4" t="s">
        <v>296</v>
      </c>
      <c r="D99" s="4">
        <f ca="1">_xll.RiskOutput("p_infection_serving")+D96*D87*D97*D98</f>
        <v>2.1731965962025184E-16</v>
      </c>
      <c r="E99" s="4" t="s">
        <v>101</v>
      </c>
    </row>
    <row r="100" spans="2:9" x14ac:dyDescent="0.35">
      <c r="B100" t="s">
        <v>138</v>
      </c>
      <c r="C100" s="4" t="s">
        <v>297</v>
      </c>
      <c r="D100" s="7" cm="1">
        <f t="array" aca="1" ref="D100" ca="1">_xll.RiskOutput("projected_infections")+ROUNDDOWN(_xll.RiskPoisson(D99*D31),0)</f>
        <v>0</v>
      </c>
      <c r="E100" s="4" t="s">
        <v>139</v>
      </c>
      <c r="H100" s="13"/>
    </row>
    <row r="101" spans="2:9" x14ac:dyDescent="0.35">
      <c r="B101" t="s">
        <v>140</v>
      </c>
      <c r="C101" s="4" t="s">
        <v>298</v>
      </c>
      <c r="D101">
        <f ca="1">_xll.RiskOutput("concentration_virus_gallon_retail")+LOG10((10^D69)/D24)</f>
        <v>-3.5781129250763293</v>
      </c>
      <c r="E101" t="s">
        <v>141</v>
      </c>
      <c r="F101" s="21" t="s">
        <v>388</v>
      </c>
      <c r="I101" s="14"/>
    </row>
    <row r="102" spans="2:9" x14ac:dyDescent="0.35">
      <c r="B102" s="18" t="s">
        <v>279</v>
      </c>
      <c r="C102" s="4" t="s">
        <v>299</v>
      </c>
      <c r="D102" cm="1">
        <f t="array" aca="1" ref="D102" ca="1">_xll.RiskOutput("quant_virus_serving_log")+LOG10(D81)</f>
        <v>0</v>
      </c>
      <c r="E102" s="4" t="s">
        <v>97</v>
      </c>
      <c r="I102" s="14"/>
    </row>
    <row r="103" spans="2:9" x14ac:dyDescent="0.35">
      <c r="I103" s="13"/>
    </row>
  </sheetData>
  <phoneticPr fontId="7" type="noConversion"/>
  <conditionalFormatting sqref="D6 D8:D9 D14:D15 D35 D46 D52 D56:D57 D67:D68 D70:D71 D73:D74 D76:D77 D81 D96 D99:D102">
    <cfRule type="expression" dxfId="5" priority="1" stopIfTrue="1">
      <formula>RiskColorCellsSimOutput</formula>
    </cfRule>
    <cfRule type="expression" dxfId="4" priority="2" stopIfTrue="1">
      <formula>RiskColorCellsSimInput</formula>
    </cfRule>
    <cfRule type="expression" dxfId="3" priority="3" stopIfTrue="1">
      <formula>RiskColorCellsSimStatistics</formula>
    </cfRule>
  </conditionalFormatting>
  <hyperlinks>
    <hyperlink ref="F32" r:id="rId1" xr:uid="{3734B1FC-320B-4CC2-BDA8-69676B2E53D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E743-5033-4A00-8B27-B975DF34DDC7}">
  <dimension ref="A1:J104"/>
  <sheetViews>
    <sheetView zoomScale="90" zoomScaleNormal="90" workbookViewId="0">
      <selection activeCell="Q11" sqref="Q11"/>
    </sheetView>
  </sheetViews>
  <sheetFormatPr defaultRowHeight="14.5" x14ac:dyDescent="0.35"/>
  <cols>
    <col min="1" max="1" width="12.81640625" bestFit="1" customWidth="1"/>
    <col min="2" max="3" width="11.81640625" bestFit="1" customWidth="1"/>
  </cols>
  <sheetData>
    <row r="1" spans="1:10" x14ac:dyDescent="0.35">
      <c r="A1" t="s">
        <v>142</v>
      </c>
      <c r="B1" t="s">
        <v>143</v>
      </c>
      <c r="C1" t="s">
        <v>144</v>
      </c>
    </row>
    <row r="2" spans="1:10" x14ac:dyDescent="0.35">
      <c r="A2">
        <v>0</v>
      </c>
      <c r="B2">
        <f ca="1">_xlfn.HYPGEOM.DIST(A2,G4,G5,G3,FALSE)</f>
        <v>0.15011189928026145</v>
      </c>
      <c r="F2" t="s">
        <v>145</v>
      </c>
      <c r="I2" t="s">
        <v>344</v>
      </c>
    </row>
    <row r="3" spans="1:10" x14ac:dyDescent="0.35">
      <c r="A3">
        <v>1</v>
      </c>
      <c r="B3">
        <f ca="1">_xlfn.HYPGEOM.DIST(A3,G4,G5,G3,FALSE)</f>
        <v>0.2880131047198653</v>
      </c>
      <c r="C3">
        <f ca="1">B3/(1-B2)</f>
        <v>0.33888355946619059</v>
      </c>
      <c r="F3" t="s">
        <v>146</v>
      </c>
      <c r="G3">
        <v>23153</v>
      </c>
      <c r="I3" cm="1">
        <f t="array" aca="1" ref="I3" ca="1">_xll.RiskPert(0.00080321,0.00080321,0.23623,_xll.RiskName("us_prevalence"),_xll.RiskCollect())</f>
        <v>1.8746739134719387E-2</v>
      </c>
    </row>
    <row r="4" spans="1:10" x14ac:dyDescent="0.35">
      <c r="A4">
        <v>2</v>
      </c>
      <c r="B4">
        <f ca="1">_xlfn.HYPGEOM.DIST(A4,G4,G5,G3,FALSE)</f>
        <v>0.2728937217635482</v>
      </c>
      <c r="C4">
        <f ca="1">B4/(1-B2)</f>
        <v>0.32109370813927701</v>
      </c>
      <c r="F4" t="s">
        <v>147</v>
      </c>
      <c r="G4">
        <f>model!D5</f>
        <v>100</v>
      </c>
    </row>
    <row r="5" spans="1:10" x14ac:dyDescent="0.35">
      <c r="A5">
        <v>3</v>
      </c>
      <c r="B5">
        <f ca="1">_xlfn.HYPGEOM.DIST(A5,G4,G5,G3,FALSE)</f>
        <v>0.1702358854887808</v>
      </c>
      <c r="C5">
        <f ca="1">B5/(1-B2)</f>
        <v>0.20030388158701642</v>
      </c>
      <c r="E5" t="s">
        <v>311</v>
      </c>
      <c r="F5" t="s">
        <v>148</v>
      </c>
      <c r="G5">
        <f ca="1">G3*I3</f>
        <v>434.04325118615799</v>
      </c>
    </row>
    <row r="6" spans="1:10" x14ac:dyDescent="0.35">
      <c r="A6">
        <v>4</v>
      </c>
      <c r="B6">
        <f ca="1">_xlfn.HYPGEOM.DIST(A6,G4,G5,G3,FALSE)</f>
        <v>7.8648407203172038E-2</v>
      </c>
      <c r="C6">
        <f ca="1">B6/(1-B2)</f>
        <v>9.2539720389740288E-2</v>
      </c>
    </row>
    <row r="7" spans="1:10" x14ac:dyDescent="0.35">
      <c r="A7">
        <v>5</v>
      </c>
      <c r="B7">
        <f ca="1">_xlfn.HYPGEOM.DIST(A7,G4,G5,G3,FALSE)</f>
        <v>2.8700550294792654E-2</v>
      </c>
      <c r="C7">
        <f ca="1">B7/(1-B2)</f>
        <v>3.376979895410611E-2</v>
      </c>
    </row>
    <row r="8" spans="1:10" x14ac:dyDescent="0.35">
      <c r="A8">
        <v>6</v>
      </c>
      <c r="B8">
        <f ca="1">_xlfn.HYPGEOM.DIST(A8,G4,G5,G3,FALSE)</f>
        <v>8.6165077514863669E-3</v>
      </c>
      <c r="C8">
        <f ca="1">B8/(1-$B$2)</f>
        <v>1.0138402625227213E-2</v>
      </c>
      <c r="F8" t="s">
        <v>274</v>
      </c>
      <c r="G8" t="s">
        <v>275</v>
      </c>
      <c r="H8" t="s">
        <v>276</v>
      </c>
      <c r="J8" t="s">
        <v>371</v>
      </c>
    </row>
    <row r="9" spans="1:10" x14ac:dyDescent="0.35">
      <c r="A9">
        <v>7</v>
      </c>
      <c r="B9">
        <f ca="1">_xlfn.HYPGEOM.DIST(A9,G4,G5,G3,FALSE)</f>
        <v>2.1887546555656593E-3</v>
      </c>
      <c r="C9">
        <f t="shared" ref="C9:C72" ca="1" si="0">B9/(1-$B$2)</f>
        <v>2.575344511485788E-3</v>
      </c>
      <c r="F9" t="s">
        <v>225</v>
      </c>
      <c r="G9">
        <v>33</v>
      </c>
      <c r="J9" t="s">
        <v>343</v>
      </c>
    </row>
    <row r="10" spans="1:10" x14ac:dyDescent="0.35">
      <c r="A10">
        <v>8</v>
      </c>
      <c r="B10">
        <f ca="1">_xlfn.HYPGEOM.DIST(A10,G4,G5,G3,FALSE)</f>
        <v>4.8016548883616762E-4</v>
      </c>
      <c r="C10">
        <f t="shared" ca="1" si="0"/>
        <v>5.6497495191370887E-4</v>
      </c>
      <c r="F10" t="s">
        <v>226</v>
      </c>
      <c r="G10">
        <v>7</v>
      </c>
      <c r="J10">
        <v>3.2967032967032967E-3</v>
      </c>
    </row>
    <row r="11" spans="1:10" x14ac:dyDescent="0.35">
      <c r="A11">
        <v>9</v>
      </c>
      <c r="B11">
        <f ca="1">_xlfn.HYPGEOM.DIST(A11,G4,G5,G3,FALSE)</f>
        <v>9.2405897503913847E-5</v>
      </c>
      <c r="C11">
        <f t="shared" ca="1" si="0"/>
        <v>1.0872713410819465E-4</v>
      </c>
      <c r="F11" t="s">
        <v>227</v>
      </c>
      <c r="G11">
        <v>68</v>
      </c>
      <c r="J11">
        <v>4.5054945054945054E-2</v>
      </c>
    </row>
    <row r="12" spans="1:10" x14ac:dyDescent="0.35">
      <c r="A12">
        <v>10</v>
      </c>
      <c r="B12">
        <f ca="1">_xlfn.HYPGEOM.DIST(A12,G4,G5,G3,FALSE)</f>
        <v>1.5793000512456942E-5</v>
      </c>
      <c r="C12">
        <f t="shared" ca="1" si="0"/>
        <v>1.8582446911637471E-5</v>
      </c>
      <c r="F12" t="s">
        <v>228</v>
      </c>
      <c r="G12">
        <v>39</v>
      </c>
      <c r="J12">
        <v>0.2</v>
      </c>
    </row>
    <row r="13" spans="1:10" x14ac:dyDescent="0.35">
      <c r="A13">
        <v>11</v>
      </c>
      <c r="B13">
        <f ca="1">_xlfn.HYPGEOM.DIST(A13,G4,G5,G3,FALSE)</f>
        <v>2.4210055017689972E-6</v>
      </c>
      <c r="C13">
        <f t="shared" ca="1" si="0"/>
        <v>2.8486167763953137E-6</v>
      </c>
      <c r="F13" s="16" t="s">
        <v>229</v>
      </c>
      <c r="G13">
        <v>910</v>
      </c>
      <c r="J13">
        <v>5.6179775280898875E-3</v>
      </c>
    </row>
    <row r="14" spans="1:10" x14ac:dyDescent="0.35">
      <c r="A14">
        <v>12</v>
      </c>
      <c r="B14">
        <f ca="1">_xlfn.HYPGEOM.DIST(A14,G4,G5,G3,FALSE)</f>
        <v>3.3561484293335382E-7</v>
      </c>
      <c r="C14">
        <f t="shared" ca="1" si="0"/>
        <v>3.9489297785100665E-7</v>
      </c>
      <c r="F14" s="16" t="s">
        <v>230</v>
      </c>
      <c r="G14">
        <v>178</v>
      </c>
      <c r="J14">
        <v>1.6853932584269662E-2</v>
      </c>
    </row>
    <row r="15" spans="1:10" x14ac:dyDescent="0.35">
      <c r="A15">
        <v>13</v>
      </c>
      <c r="B15">
        <f ca="1">_xlfn.HYPGEOM.DIST(A15,G4,G5,G3,FALSE)</f>
        <v>4.2361369902293396E-8</v>
      </c>
      <c r="C15">
        <f t="shared" ca="1" si="0"/>
        <v>4.9843467471093115E-8</v>
      </c>
      <c r="F15" t="s">
        <v>231</v>
      </c>
      <c r="G15">
        <v>90</v>
      </c>
      <c r="J15">
        <v>0.12359550561797752</v>
      </c>
    </row>
    <row r="16" spans="1:10" x14ac:dyDescent="0.35">
      <c r="A16">
        <v>14</v>
      </c>
      <c r="B16">
        <f ca="1">_xlfn.HYPGEOM.DIST(A16,G4,G5,G3,FALSE)</f>
        <v>4.896673931905E-9</v>
      </c>
      <c r="C16">
        <f t="shared" ca="1" si="0"/>
        <v>5.761551347475261E-9</v>
      </c>
      <c r="F16" t="s">
        <v>232</v>
      </c>
      <c r="G16">
        <v>11</v>
      </c>
      <c r="J16">
        <v>0.14606741573033707</v>
      </c>
    </row>
    <row r="17" spans="1:10" x14ac:dyDescent="0.35">
      <c r="A17">
        <v>15</v>
      </c>
      <c r="B17">
        <f ca="1">_xlfn.HYPGEOM.DIST(A17,G4,G5,G3,FALSE)</f>
        <v>5.209503767795073E-10</v>
      </c>
      <c r="C17">
        <f t="shared" ca="1" si="0"/>
        <v>6.1296349053285234E-10</v>
      </c>
      <c r="F17" t="s">
        <v>233</v>
      </c>
      <c r="G17">
        <v>132</v>
      </c>
      <c r="J17">
        <v>6.741573033707865E-2</v>
      </c>
    </row>
    <row r="18" spans="1:10" x14ac:dyDescent="0.35">
      <c r="A18">
        <v>16</v>
      </c>
      <c r="B18">
        <f ca="1">_xlfn.HYPGEOM.DIST(A18,$G$4,$G$5,$G$3,FALSE)</f>
        <v>5.1230527029495245E-11</v>
      </c>
      <c r="C18">
        <f t="shared" ca="1" si="0"/>
        <v>6.0279143790941443E-11</v>
      </c>
      <c r="F18" t="s">
        <v>234</v>
      </c>
      <c r="G18">
        <v>192</v>
      </c>
      <c r="J18">
        <v>5.9880239520958087E-3</v>
      </c>
    </row>
    <row r="19" spans="1:10" x14ac:dyDescent="0.35">
      <c r="A19">
        <v>17</v>
      </c>
      <c r="B19">
        <f t="shared" ref="B19:B82" ca="1" si="1">_xlfn.HYPGEOM.DIST(A19,$G$4,$G$5,$G$3,FALSE)</f>
        <v>4.6745066813395693E-12</v>
      </c>
      <c r="C19">
        <f t="shared" ca="1" si="0"/>
        <v>5.5001436981890958E-12</v>
      </c>
      <c r="F19" t="s">
        <v>235</v>
      </c>
      <c r="G19">
        <v>13</v>
      </c>
      <c r="J19">
        <v>5.089820359281437E-2</v>
      </c>
    </row>
    <row r="20" spans="1:10" x14ac:dyDescent="0.35">
      <c r="A20">
        <v>18</v>
      </c>
      <c r="B20">
        <f t="shared" ca="1" si="1"/>
        <v>3.970622107067689E-13</v>
      </c>
      <c r="C20">
        <f t="shared" ca="1" si="0"/>
        <v>4.6719351685299714E-13</v>
      </c>
      <c r="F20" s="16" t="s">
        <v>53</v>
      </c>
      <c r="G20">
        <v>334</v>
      </c>
      <c r="J20">
        <v>2.6946107784431138E-2</v>
      </c>
    </row>
    <row r="21" spans="1:10" x14ac:dyDescent="0.35">
      <c r="A21">
        <v>19</v>
      </c>
      <c r="B21">
        <f t="shared" ca="1" si="1"/>
        <v>3.1490103114068328E-14</v>
      </c>
      <c r="C21">
        <f t="shared" ca="1" si="0"/>
        <v>3.7052057897269692E-14</v>
      </c>
      <c r="F21" t="s">
        <v>236</v>
      </c>
      <c r="G21">
        <v>340</v>
      </c>
      <c r="J21">
        <v>5.9880239520958087E-3</v>
      </c>
    </row>
    <row r="22" spans="1:10" x14ac:dyDescent="0.35">
      <c r="A22">
        <v>20</v>
      </c>
      <c r="B22">
        <f t="shared" ca="1" si="1"/>
        <v>2.3378678744189399E-15</v>
      </c>
      <c r="C22">
        <f t="shared" ca="1" si="0"/>
        <v>2.7507949251661327E-15</v>
      </c>
      <c r="F22" t="s">
        <v>237</v>
      </c>
      <c r="G22">
        <v>737</v>
      </c>
      <c r="J22">
        <v>2.9940119760479044E-3</v>
      </c>
    </row>
    <row r="23" spans="1:10" x14ac:dyDescent="0.35">
      <c r="A23">
        <v>21</v>
      </c>
      <c r="B23">
        <f t="shared" ca="1" si="1"/>
        <v>1.6286005384644785E-16</v>
      </c>
      <c r="C23">
        <f t="shared" ca="1" si="0"/>
        <v>1.9162529009234009E-16</v>
      </c>
      <c r="F23" s="16" t="s">
        <v>238</v>
      </c>
      <c r="G23">
        <v>662</v>
      </c>
      <c r="J23">
        <v>8.9820359281437123E-3</v>
      </c>
    </row>
    <row r="24" spans="1:10" x14ac:dyDescent="0.35">
      <c r="A24">
        <v>22</v>
      </c>
      <c r="B24">
        <f t="shared" ca="1" si="1"/>
        <v>1.0667764788834568E-17</v>
      </c>
      <c r="C24">
        <f t="shared" ca="1" si="0"/>
        <v>1.2551963934782045E-17</v>
      </c>
      <c r="F24" s="16" t="s">
        <v>239</v>
      </c>
      <c r="G24">
        <v>174</v>
      </c>
      <c r="J24">
        <v>5.9880239520958087E-3</v>
      </c>
    </row>
    <row r="25" spans="1:10" x14ac:dyDescent="0.35">
      <c r="A25">
        <v>23</v>
      </c>
      <c r="B25">
        <f t="shared" ca="1" si="1"/>
        <v>6.5829814015120887E-19</v>
      </c>
      <c r="C25">
        <f t="shared" ca="1" si="0"/>
        <v>7.7457036943301208E-19</v>
      </c>
      <c r="F25" t="s">
        <v>240</v>
      </c>
      <c r="G25">
        <v>438</v>
      </c>
      <c r="J25">
        <v>1.812688821752266E-2</v>
      </c>
    </row>
    <row r="26" spans="1:10" x14ac:dyDescent="0.35">
      <c r="A26">
        <v>24</v>
      </c>
      <c r="B26">
        <f t="shared" ca="1" si="1"/>
        <v>3.8336279868254624E-20</v>
      </c>
      <c r="C26">
        <f t="shared" ca="1" si="0"/>
        <v>4.5107443951490862E-20</v>
      </c>
      <c r="F26" t="s">
        <v>241</v>
      </c>
      <c r="G26">
        <v>74</v>
      </c>
      <c r="J26">
        <v>1.5105740181268882E-3</v>
      </c>
    </row>
    <row r="27" spans="1:10" x14ac:dyDescent="0.35">
      <c r="A27">
        <v>25</v>
      </c>
      <c r="B27">
        <f t="shared" ca="1" si="1"/>
        <v>2.1101545322289821E-21</v>
      </c>
      <c r="C27">
        <f t="shared" ca="1" si="0"/>
        <v>2.4828616031239536E-21</v>
      </c>
      <c r="F27" t="s">
        <v>242</v>
      </c>
      <c r="G27">
        <v>181</v>
      </c>
      <c r="J27">
        <v>1.1494252873563218E-2</v>
      </c>
    </row>
    <row r="28" spans="1:10" x14ac:dyDescent="0.35">
      <c r="A28">
        <v>26</v>
      </c>
      <c r="B28">
        <f t="shared" ca="1" si="1"/>
        <v>1.0993934860153079E-22</v>
      </c>
      <c r="C28">
        <f t="shared" ca="1" si="0"/>
        <v>1.2935743953636633E-22</v>
      </c>
      <c r="F28" t="s">
        <v>243</v>
      </c>
      <c r="G28">
        <v>250</v>
      </c>
      <c r="J28">
        <v>1.1494252873563218E-2</v>
      </c>
    </row>
    <row r="29" spans="1:10" x14ac:dyDescent="0.35">
      <c r="A29">
        <v>27</v>
      </c>
      <c r="B29">
        <f t="shared" ca="1" si="1"/>
        <v>5.4286241589185177E-24</v>
      </c>
      <c r="C29">
        <f t="shared" ca="1" si="0"/>
        <v>6.387457542141393E-24</v>
      </c>
      <c r="F29" t="s">
        <v>244</v>
      </c>
      <c r="G29">
        <v>91</v>
      </c>
      <c r="J29">
        <v>1.0449320794148381E-3</v>
      </c>
    </row>
    <row r="30" spans="1:10" x14ac:dyDescent="0.35">
      <c r="A30">
        <v>28</v>
      </c>
      <c r="B30">
        <f t="shared" ca="1" si="1"/>
        <v>2.5435386015434026E-25</v>
      </c>
      <c r="C30">
        <f t="shared" ca="1" si="0"/>
        <v>2.9927923445326209E-25</v>
      </c>
      <c r="F30" s="16" t="s">
        <v>273</v>
      </c>
      <c r="G30">
        <v>957</v>
      </c>
      <c r="J30">
        <v>1.0449320794148381E-3</v>
      </c>
    </row>
    <row r="31" spans="1:10" x14ac:dyDescent="0.35">
      <c r="A31">
        <v>29</v>
      </c>
      <c r="B31">
        <f t="shared" ca="1" si="1"/>
        <v>1.1320588618667015E-26</v>
      </c>
      <c r="C31">
        <f t="shared" ca="1" si="0"/>
        <v>1.3320093091172861E-26</v>
      </c>
      <c r="F31" s="16" t="s">
        <v>245</v>
      </c>
      <c r="G31">
        <v>1713</v>
      </c>
      <c r="J31">
        <v>1.8808777429467086E-2</v>
      </c>
    </row>
    <row r="32" spans="1:10" x14ac:dyDescent="0.35">
      <c r="A32">
        <v>30</v>
      </c>
      <c r="B32">
        <f t="shared" ca="1" si="1"/>
        <v>4.7908447132290035E-28</v>
      </c>
      <c r="C32">
        <f t="shared" ca="1" si="0"/>
        <v>5.6370299915622022E-28</v>
      </c>
      <c r="F32" t="s">
        <v>246</v>
      </c>
      <c r="G32">
        <v>32</v>
      </c>
      <c r="J32">
        <v>1.0449320794148381E-3</v>
      </c>
    </row>
    <row r="33" spans="1:10" x14ac:dyDescent="0.35">
      <c r="A33">
        <v>31</v>
      </c>
      <c r="B33">
        <f t="shared" ca="1" si="1"/>
        <v>1.9295747132395302E-29</v>
      </c>
      <c r="C33">
        <f t="shared" ca="1" si="0"/>
        <v>2.2703867857491419E-29</v>
      </c>
      <c r="F33" t="s">
        <v>247</v>
      </c>
      <c r="G33">
        <v>549</v>
      </c>
      <c r="J33">
        <v>2.0898641588296763E-3</v>
      </c>
    </row>
    <row r="34" spans="1:10" x14ac:dyDescent="0.35">
      <c r="A34">
        <v>32</v>
      </c>
      <c r="B34">
        <f t="shared" ca="1" si="1"/>
        <v>7.4024993448209715E-31</v>
      </c>
      <c r="C34">
        <f t="shared" ca="1" si="0"/>
        <v>8.7099693930907744E-31</v>
      </c>
      <c r="F34" t="s">
        <v>248</v>
      </c>
      <c r="G34">
        <v>46</v>
      </c>
      <c r="J34">
        <v>1.0449320794148381E-3</v>
      </c>
    </row>
    <row r="35" spans="1:10" x14ac:dyDescent="0.35">
      <c r="A35">
        <v>33</v>
      </c>
      <c r="B35">
        <f t="shared" ca="1" si="1"/>
        <v>2.7070286400561969E-32</v>
      </c>
      <c r="C35">
        <f t="shared" ca="1" si="0"/>
        <v>3.1851588906395036E-32</v>
      </c>
      <c r="F35" t="s">
        <v>249</v>
      </c>
      <c r="G35">
        <v>89</v>
      </c>
      <c r="J35">
        <v>1.0449320794148381E-3</v>
      </c>
    </row>
    <row r="36" spans="1:10" x14ac:dyDescent="0.35">
      <c r="A36">
        <v>34</v>
      </c>
      <c r="B36">
        <f t="shared" ca="1" si="1"/>
        <v>9.4429433411481991E-34</v>
      </c>
      <c r="C36">
        <f t="shared" ca="1" si="0"/>
        <v>1.1110807802993503E-33</v>
      </c>
      <c r="F36" t="s">
        <v>250</v>
      </c>
      <c r="G36">
        <v>18</v>
      </c>
      <c r="J36">
        <v>3.5026269702276708E-3</v>
      </c>
    </row>
    <row r="37" spans="1:10" x14ac:dyDescent="0.35">
      <c r="A37">
        <v>35</v>
      </c>
      <c r="B37">
        <f t="shared" ca="1" si="1"/>
        <v>3.144114621275507E-35</v>
      </c>
      <c r="C37">
        <f t="shared" ca="1" si="0"/>
        <v>3.6994453959443294E-35</v>
      </c>
      <c r="F37" t="s">
        <v>251</v>
      </c>
      <c r="G37">
        <v>88</v>
      </c>
      <c r="J37">
        <v>1.7513134851138354E-3</v>
      </c>
    </row>
    <row r="38" spans="1:10" x14ac:dyDescent="0.35">
      <c r="A38">
        <v>36</v>
      </c>
      <c r="B38">
        <f t="shared" ca="1" si="1"/>
        <v>9.9981133307313474E-37</v>
      </c>
      <c r="C38">
        <f t="shared" ca="1" si="0"/>
        <v>1.1764034962090089E-36</v>
      </c>
      <c r="F38" t="s">
        <v>252</v>
      </c>
      <c r="G38">
        <v>49</v>
      </c>
      <c r="J38">
        <v>7.2727272727272724E-2</v>
      </c>
    </row>
    <row r="39" spans="1:10" x14ac:dyDescent="0.35">
      <c r="A39">
        <v>37</v>
      </c>
      <c r="B39">
        <f t="shared" ca="1" si="1"/>
        <v>3.0380585628578034E-38</v>
      </c>
      <c r="C39">
        <f t="shared" ca="1" si="0"/>
        <v>3.5746571346098207E-38</v>
      </c>
      <c r="F39" s="16" t="s">
        <v>253</v>
      </c>
      <c r="G39">
        <v>110</v>
      </c>
      <c r="J39">
        <v>9.0909090909090905E-3</v>
      </c>
    </row>
    <row r="40" spans="1:10" x14ac:dyDescent="0.35">
      <c r="A40">
        <v>38</v>
      </c>
      <c r="B40">
        <f t="shared" ca="1" si="1"/>
        <v>8.825538141533725E-40</v>
      </c>
      <c r="C40">
        <f t="shared" ca="1" si="0"/>
        <v>1.0384353109614907E-39</v>
      </c>
      <c r="F40" t="s">
        <v>254</v>
      </c>
      <c r="G40">
        <v>2152</v>
      </c>
      <c r="J40">
        <v>5.8139534883720929E-3</v>
      </c>
    </row>
    <row r="41" spans="1:10" x14ac:dyDescent="0.35">
      <c r="A41">
        <v>39</v>
      </c>
      <c r="B41">
        <f t="shared" ca="1" si="1"/>
        <v>2.4521209744328832E-41</v>
      </c>
      <c r="C41">
        <f t="shared" ca="1" si="0"/>
        <v>2.8852280345568712E-41</v>
      </c>
      <c r="F41" s="16" t="s">
        <v>255</v>
      </c>
      <c r="G41">
        <v>172</v>
      </c>
      <c r="J41">
        <v>8.0321285140562252E-4</v>
      </c>
    </row>
    <row r="42" spans="1:10" x14ac:dyDescent="0.35">
      <c r="A42">
        <v>40</v>
      </c>
      <c r="B42">
        <f t="shared" ca="1" si="1"/>
        <v>6.5188065315062403E-43</v>
      </c>
      <c r="C42">
        <f t="shared" ca="1" si="0"/>
        <v>7.6701939066868993E-43</v>
      </c>
      <c r="F42" t="s">
        <v>256</v>
      </c>
      <c r="G42">
        <v>35</v>
      </c>
      <c r="J42">
        <v>1.3513513513513514E-2</v>
      </c>
    </row>
    <row r="43" spans="1:10" x14ac:dyDescent="0.35">
      <c r="A43">
        <v>41</v>
      </c>
      <c r="B43">
        <f t="shared" ca="1" si="1"/>
        <v>1.6587151142532294E-44</v>
      </c>
      <c r="C43">
        <f t="shared" ca="1" si="0"/>
        <v>1.9516864783122925E-44</v>
      </c>
      <c r="F43" s="16" t="s">
        <v>257</v>
      </c>
      <c r="G43">
        <v>1245</v>
      </c>
      <c r="J43">
        <v>8.5470085470085479E-3</v>
      </c>
    </row>
    <row r="44" spans="1:10" x14ac:dyDescent="0.35">
      <c r="A44">
        <v>42</v>
      </c>
      <c r="B44">
        <f t="shared" ca="1" si="1"/>
        <v>4.0409921129641798E-46</v>
      </c>
      <c r="C44">
        <f t="shared" ca="1" si="0"/>
        <v>4.7547343109545999E-46</v>
      </c>
      <c r="F44" s="16" t="s">
        <v>258</v>
      </c>
      <c r="G44">
        <v>148</v>
      </c>
      <c r="J44">
        <v>3.4188034188034191E-2</v>
      </c>
    </row>
    <row r="45" spans="1:10" x14ac:dyDescent="0.35">
      <c r="A45">
        <v>43</v>
      </c>
      <c r="B45">
        <f t="shared" ca="1" si="1"/>
        <v>9.4283429776257127E-48</v>
      </c>
      <c r="C45">
        <f t="shared" ca="1" si="0"/>
        <v>1.1093628643160435E-47</v>
      </c>
      <c r="F45" t="s">
        <v>259</v>
      </c>
      <c r="G45">
        <v>200</v>
      </c>
      <c r="J45">
        <v>1.7094017094017096E-2</v>
      </c>
    </row>
    <row r="46" spans="1:10" x14ac:dyDescent="0.35">
      <c r="A46">
        <v>44</v>
      </c>
      <c r="B46">
        <f t="shared" ca="1" si="1"/>
        <v>2.107254114058006E-49</v>
      </c>
      <c r="C46">
        <f t="shared" ca="1" si="0"/>
        <v>2.4794488971824068E-49</v>
      </c>
      <c r="F46" t="s">
        <v>260</v>
      </c>
      <c r="G46">
        <v>3115</v>
      </c>
      <c r="J46">
        <v>1.7766497461928935E-2</v>
      </c>
    </row>
    <row r="47" spans="1:10" x14ac:dyDescent="0.35">
      <c r="A47">
        <v>45</v>
      </c>
      <c r="B47">
        <f t="shared" ca="1" si="1"/>
        <v>4.5125338129021803E-51</v>
      </c>
      <c r="C47">
        <f t="shared" ca="1" si="0"/>
        <v>5.3095622930603261E-51</v>
      </c>
      <c r="F47" t="s">
        <v>261</v>
      </c>
      <c r="G47">
        <v>10</v>
      </c>
      <c r="J47">
        <v>1.2690355329949238E-2</v>
      </c>
    </row>
    <row r="48" spans="1:10" x14ac:dyDescent="0.35">
      <c r="A48">
        <v>46</v>
      </c>
      <c r="B48">
        <f t="shared" ca="1" si="1"/>
        <v>9.260175229672499E-53</v>
      </c>
      <c r="C48">
        <f t="shared" ca="1" si="0"/>
        <v>1.0895758184907403E-52</v>
      </c>
      <c r="F48" t="s">
        <v>262</v>
      </c>
      <c r="G48">
        <v>60</v>
      </c>
      <c r="J48">
        <v>1.015228426395939E-2</v>
      </c>
    </row>
    <row r="49" spans="1:10" x14ac:dyDescent="0.35">
      <c r="A49">
        <v>47</v>
      </c>
      <c r="B49">
        <f t="shared" ca="1" si="1"/>
        <v>1.8212599939932478E-54</v>
      </c>
      <c r="C49">
        <f t="shared" ca="1" si="0"/>
        <v>2.1429409265183152E-54</v>
      </c>
      <c r="F49" s="16" t="s">
        <v>263</v>
      </c>
      <c r="G49">
        <v>117</v>
      </c>
      <c r="J49">
        <v>1.2690355329949238E-2</v>
      </c>
    </row>
    <row r="50" spans="1:10" x14ac:dyDescent="0.35">
      <c r="A50">
        <v>48</v>
      </c>
      <c r="B50">
        <f t="shared" ca="1" si="1"/>
        <v>3.4333928670897723E-56</v>
      </c>
      <c r="C50">
        <f t="shared" ca="1" si="0"/>
        <v>4.0398175526662392E-56</v>
      </c>
      <c r="F50" t="s">
        <v>264</v>
      </c>
      <c r="G50">
        <v>224</v>
      </c>
      <c r="J50">
        <v>5.076142131979695E-3</v>
      </c>
    </row>
    <row r="51" spans="1:10" x14ac:dyDescent="0.35">
      <c r="A51">
        <v>49</v>
      </c>
      <c r="B51">
        <f t="shared" ca="1" si="1"/>
        <v>6.2044725125614668E-58</v>
      </c>
      <c r="C51">
        <f t="shared" ca="1" si="0"/>
        <v>7.3003404887150801E-58</v>
      </c>
      <c r="F51" s="16" t="s">
        <v>265</v>
      </c>
      <c r="G51">
        <v>394</v>
      </c>
      <c r="J51">
        <v>2.5380710659898475E-3</v>
      </c>
    </row>
    <row r="52" spans="1:10" x14ac:dyDescent="0.35">
      <c r="A52">
        <v>50</v>
      </c>
      <c r="B52">
        <f t="shared" ca="1" si="1"/>
        <v>1.0748142201610004E-59</v>
      </c>
      <c r="C52">
        <f t="shared" ca="1" si="0"/>
        <v>1.2646538047194451E-59</v>
      </c>
      <c r="F52" s="16" t="s">
        <v>266</v>
      </c>
      <c r="G52">
        <v>162</v>
      </c>
      <c r="J52">
        <v>5.076142131979695E-3</v>
      </c>
    </row>
    <row r="53" spans="1:10" x14ac:dyDescent="0.35">
      <c r="A53">
        <v>51</v>
      </c>
      <c r="B53">
        <f t="shared" ca="1" si="1"/>
        <v>1.7848960816394617E-61</v>
      </c>
      <c r="C53">
        <f t="shared" ca="1" si="0"/>
        <v>2.1001542204531395E-61</v>
      </c>
      <c r="F53" t="s">
        <v>267</v>
      </c>
      <c r="G53">
        <v>441</v>
      </c>
      <c r="J53">
        <v>4.9382716049382713E-2</v>
      </c>
    </row>
    <row r="54" spans="1:10" x14ac:dyDescent="0.35">
      <c r="A54">
        <v>52</v>
      </c>
      <c r="B54">
        <f t="shared" ca="1" si="1"/>
        <v>2.8414091167068463E-63</v>
      </c>
      <c r="C54">
        <f t="shared" ca="1" si="0"/>
        <v>3.3432743843578503E-63</v>
      </c>
      <c r="F54" t="s">
        <v>268</v>
      </c>
      <c r="G54">
        <v>367</v>
      </c>
      <c r="J54">
        <v>3.4482758620689655E-2</v>
      </c>
    </row>
    <row r="55" spans="1:10" x14ac:dyDescent="0.35">
      <c r="A55">
        <v>53</v>
      </c>
      <c r="B55">
        <f t="shared" ca="1" si="1"/>
        <v>4.3358342069294149E-65</v>
      </c>
      <c r="C55">
        <f t="shared" ca="1" si="0"/>
        <v>5.1016530332140886E-65</v>
      </c>
      <c r="F55" t="s">
        <v>269</v>
      </c>
      <c r="G55">
        <v>276</v>
      </c>
    </row>
    <row r="56" spans="1:10" x14ac:dyDescent="0.35">
      <c r="A56">
        <v>54</v>
      </c>
      <c r="B56">
        <f t="shared" ca="1" si="1"/>
        <v>6.3415110437676321E-67</v>
      </c>
      <c r="C56">
        <f t="shared" ca="1" si="0"/>
        <v>7.4615835171680164E-67</v>
      </c>
      <c r="F56" t="s">
        <v>270</v>
      </c>
      <c r="G56">
        <v>82</v>
      </c>
    </row>
    <row r="57" spans="1:10" x14ac:dyDescent="0.35">
      <c r="A57">
        <v>55</v>
      </c>
      <c r="B57">
        <f t="shared" ca="1" si="1"/>
        <v>8.888804401120618E-69</v>
      </c>
      <c r="C57">
        <f t="shared" ca="1" si="0"/>
        <v>1.0458793803081866E-68</v>
      </c>
      <c r="F57" t="s">
        <v>271</v>
      </c>
      <c r="G57">
        <v>5319</v>
      </c>
    </row>
    <row r="58" spans="1:10" x14ac:dyDescent="0.35">
      <c r="A58">
        <v>56</v>
      </c>
      <c r="B58">
        <f t="shared" ca="1" si="1"/>
        <v>1.1938774536235353E-70</v>
      </c>
      <c r="C58">
        <f t="shared" ca="1" si="0"/>
        <v>1.4047466397193761E-70</v>
      </c>
      <c r="F58" s="16" t="s">
        <v>272</v>
      </c>
      <c r="G58">
        <v>29</v>
      </c>
    </row>
    <row r="59" spans="1:10" x14ac:dyDescent="0.35">
      <c r="A59">
        <v>57</v>
      </c>
      <c r="B59">
        <f t="shared" ca="1" si="1"/>
        <v>1.5362536330757817E-72</v>
      </c>
      <c r="C59">
        <f t="shared" ca="1" si="0"/>
        <v>1.8075951784414747E-72</v>
      </c>
    </row>
    <row r="60" spans="1:10" x14ac:dyDescent="0.35">
      <c r="A60">
        <v>58</v>
      </c>
      <c r="B60">
        <f t="shared" ca="1" si="1"/>
        <v>1.893473080410419E-74</v>
      </c>
      <c r="C60">
        <f t="shared" ca="1" si="0"/>
        <v>2.2279086844572919E-74</v>
      </c>
    </row>
    <row r="61" spans="1:10" x14ac:dyDescent="0.35">
      <c r="A61">
        <v>59</v>
      </c>
      <c r="B61">
        <f t="shared" ca="1" si="1"/>
        <v>2.234804349010014E-76</v>
      </c>
      <c r="C61">
        <f t="shared" ca="1" si="0"/>
        <v>2.6295277544390155E-76</v>
      </c>
    </row>
    <row r="62" spans="1:10" x14ac:dyDescent="0.35">
      <c r="A62">
        <v>60</v>
      </c>
      <c r="B62">
        <f t="shared" ca="1" si="1"/>
        <v>2.525105227010994E-78</v>
      </c>
      <c r="C62">
        <f t="shared" ca="1" si="0"/>
        <v>2.9711031662551536E-78</v>
      </c>
    </row>
    <row r="63" spans="1:10" x14ac:dyDescent="0.35">
      <c r="A63">
        <v>61</v>
      </c>
      <c r="B63">
        <f t="shared" ca="1" si="1"/>
        <v>2.7304749035825557E-80</v>
      </c>
      <c r="C63">
        <f t="shared" ca="1" si="0"/>
        <v>3.2127463618683666E-80</v>
      </c>
    </row>
    <row r="64" spans="1:10" x14ac:dyDescent="0.35">
      <c r="A64">
        <v>62</v>
      </c>
      <c r="B64">
        <f t="shared" ca="1" si="1"/>
        <v>2.8246051066201252E-82</v>
      </c>
      <c r="C64">
        <f t="shared" ca="1" si="0"/>
        <v>3.3235023578140138E-82</v>
      </c>
    </row>
    <row r="65" spans="1:3" x14ac:dyDescent="0.35">
      <c r="A65">
        <v>63</v>
      </c>
      <c r="B65">
        <f t="shared" ca="1" si="1"/>
        <v>2.7942314783683827E-84</v>
      </c>
      <c r="C65">
        <f t="shared" ca="1" si="0"/>
        <v>3.2877639726948197E-84</v>
      </c>
    </row>
    <row r="66" spans="1:3" x14ac:dyDescent="0.35">
      <c r="A66">
        <v>64</v>
      </c>
      <c r="B66">
        <f t="shared" ca="1" si="1"/>
        <v>2.6421504749952997E-86</v>
      </c>
      <c r="C66">
        <f t="shared" ca="1" si="0"/>
        <v>3.1088215881099654E-86</v>
      </c>
    </row>
    <row r="67" spans="1:3" x14ac:dyDescent="0.35">
      <c r="A67">
        <v>65</v>
      </c>
      <c r="B67">
        <f t="shared" ca="1" si="1"/>
        <v>2.3868700627305441E-88</v>
      </c>
      <c r="C67">
        <f t="shared" ca="1" si="0"/>
        <v>2.8084521488289961E-88</v>
      </c>
    </row>
    <row r="68" spans="1:3" x14ac:dyDescent="0.35">
      <c r="A68">
        <v>66</v>
      </c>
      <c r="B68">
        <f t="shared" ca="1" si="1"/>
        <v>2.0589247239977127E-90</v>
      </c>
      <c r="C68">
        <f t="shared" ca="1" si="0"/>
        <v>2.4225833050893241E-90</v>
      </c>
    </row>
    <row r="69" spans="1:3" x14ac:dyDescent="0.35">
      <c r="A69">
        <v>67</v>
      </c>
      <c r="B69">
        <f t="shared" ca="1" si="1"/>
        <v>1.6948625127904308E-92</v>
      </c>
      <c r="C69">
        <f t="shared" ca="1" si="0"/>
        <v>1.9942184287026904E-92</v>
      </c>
    </row>
    <row r="70" spans="1:3" x14ac:dyDescent="0.35">
      <c r="A70">
        <v>68</v>
      </c>
      <c r="B70">
        <f t="shared" ca="1" si="1"/>
        <v>1.3305417129532562E-94</v>
      </c>
      <c r="C70">
        <f t="shared" ca="1" si="0"/>
        <v>1.5655492903435994E-94</v>
      </c>
    </row>
    <row r="71" spans="1:3" x14ac:dyDescent="0.35">
      <c r="A71">
        <v>69</v>
      </c>
      <c r="B71">
        <f t="shared" ca="1" si="1"/>
        <v>9.954380878168832E-97</v>
      </c>
      <c r="C71">
        <f t="shared" ca="1" si="0"/>
        <v>1.1712578243816848E-96</v>
      </c>
    </row>
    <row r="72" spans="1:3" x14ac:dyDescent="0.35">
      <c r="A72">
        <v>70</v>
      </c>
      <c r="B72">
        <f t="shared" ca="1" si="1"/>
        <v>7.0917826534244848E-99</v>
      </c>
      <c r="C72">
        <f t="shared" ca="1" si="0"/>
        <v>8.344372214905372E-99</v>
      </c>
    </row>
    <row r="73" spans="1:3" x14ac:dyDescent="0.35">
      <c r="A73">
        <v>71</v>
      </c>
      <c r="B73">
        <f t="shared" ca="1" si="1"/>
        <v>4.8071227366644736E-101</v>
      </c>
      <c r="C73">
        <f t="shared" ref="C73:C102" ca="1" si="2">B73/(1-$B$2)</f>
        <v>5.6561831288066047E-101</v>
      </c>
    </row>
    <row r="74" spans="1:3" x14ac:dyDescent="0.35">
      <c r="A74">
        <v>72</v>
      </c>
      <c r="B74">
        <f t="shared" ca="1" si="1"/>
        <v>3.0974456985435172E-103</v>
      </c>
      <c r="C74">
        <f t="shared" ca="1" si="2"/>
        <v>3.6445335520292681E-103</v>
      </c>
    </row>
    <row r="75" spans="1:3" x14ac:dyDescent="0.35">
      <c r="A75">
        <v>73</v>
      </c>
      <c r="B75">
        <f t="shared" ca="1" si="1"/>
        <v>1.8952856235882213E-105</v>
      </c>
      <c r="C75">
        <f t="shared" ca="1" si="2"/>
        <v>2.2300413689557186E-105</v>
      </c>
    </row>
    <row r="76" spans="1:3" x14ac:dyDescent="0.35">
      <c r="A76">
        <v>74</v>
      </c>
      <c r="B76">
        <f t="shared" ca="1" si="1"/>
        <v>1.1000742563258145E-107</v>
      </c>
      <c r="C76">
        <f t="shared" ca="1" si="2"/>
        <v>1.294375407061474E-107</v>
      </c>
    </row>
    <row r="77" spans="1:3" x14ac:dyDescent="0.35">
      <c r="A77">
        <v>75</v>
      </c>
      <c r="B77">
        <f t="shared" ca="1" si="1"/>
        <v>6.0495843478217229E-110</v>
      </c>
      <c r="C77">
        <f t="shared" ca="1" si="2"/>
        <v>7.1180951265214277E-110</v>
      </c>
    </row>
    <row r="78" spans="1:3" x14ac:dyDescent="0.35">
      <c r="A78">
        <v>76</v>
      </c>
      <c r="B78">
        <f t="shared" ca="1" si="1"/>
        <v>3.1478658365336245E-112</v>
      </c>
      <c r="C78">
        <f t="shared" ca="1" si="2"/>
        <v>3.7038591714224665E-112</v>
      </c>
    </row>
    <row r="79" spans="1:3" x14ac:dyDescent="0.35">
      <c r="A79">
        <v>77</v>
      </c>
      <c r="B79">
        <f t="shared" ca="1" si="1"/>
        <v>1.5476417417507871E-114</v>
      </c>
      <c r="C79">
        <f t="shared" ca="1" si="2"/>
        <v>1.8209947173517866E-114</v>
      </c>
    </row>
    <row r="80" spans="1:3" x14ac:dyDescent="0.35">
      <c r="A80">
        <v>78</v>
      </c>
      <c r="B80">
        <f t="shared" ca="1" si="1"/>
        <v>7.1779995444531943E-117</v>
      </c>
      <c r="C80">
        <f t="shared" ca="1" si="2"/>
        <v>8.4458172062585817E-117</v>
      </c>
    </row>
    <row r="81" spans="1:3" x14ac:dyDescent="0.35">
      <c r="A81">
        <v>79</v>
      </c>
      <c r="B81">
        <f t="shared" ca="1" si="1"/>
        <v>3.1351723640489769E-119</v>
      </c>
      <c r="C81">
        <f t="shared" ca="1" si="2"/>
        <v>3.688923708184544E-119</v>
      </c>
    </row>
    <row r="82" spans="1:3" x14ac:dyDescent="0.35">
      <c r="A82">
        <v>80</v>
      </c>
      <c r="B82">
        <f t="shared" ca="1" si="1"/>
        <v>1.2871002012195677E-121</v>
      </c>
      <c r="C82">
        <f t="shared" ca="1" si="2"/>
        <v>1.5144349004646266E-121</v>
      </c>
    </row>
    <row r="83" spans="1:3" x14ac:dyDescent="0.35">
      <c r="A83">
        <v>81</v>
      </c>
      <c r="B83">
        <f t="shared" ref="B83:B104" ca="1" si="3">_xlfn.HYPGEOM.DIST(A83,$G$4,$G$5,$G$3,FALSE)</f>
        <v>4.9560392802710856E-124</v>
      </c>
      <c r="C83">
        <f t="shared" ca="1" si="2"/>
        <v>5.8314021293791508E-124</v>
      </c>
    </row>
    <row r="84" spans="1:3" x14ac:dyDescent="0.35">
      <c r="A84">
        <v>82</v>
      </c>
      <c r="B84">
        <f t="shared" ca="1" si="3"/>
        <v>1.7856823462583552E-126</v>
      </c>
      <c r="C84">
        <f t="shared" ca="1" si="2"/>
        <v>2.1010793594428811E-126</v>
      </c>
    </row>
    <row r="85" spans="1:3" x14ac:dyDescent="0.35">
      <c r="A85">
        <v>83</v>
      </c>
      <c r="B85">
        <f t="shared" ca="1" si="3"/>
        <v>6.0045043247045542E-129</v>
      </c>
      <c r="C85">
        <f t="shared" ca="1" si="2"/>
        <v>7.0650528223886931E-129</v>
      </c>
    </row>
    <row r="86" spans="1:3" x14ac:dyDescent="0.35">
      <c r="A86">
        <v>84</v>
      </c>
      <c r="B86">
        <f t="shared" ca="1" si="3"/>
        <v>1.8787572287232203E-131</v>
      </c>
      <c r="C86">
        <f t="shared" ca="1" si="2"/>
        <v>2.2105936383062322E-131</v>
      </c>
    </row>
    <row r="87" spans="1:3" x14ac:dyDescent="0.35">
      <c r="A87">
        <v>85</v>
      </c>
      <c r="B87">
        <f t="shared" ca="1" si="3"/>
        <v>5.4517682713852139E-134</v>
      </c>
      <c r="C87">
        <f t="shared" ca="1" si="2"/>
        <v>6.4146894947326773E-134</v>
      </c>
    </row>
    <row r="88" spans="1:3" x14ac:dyDescent="0.35">
      <c r="A88">
        <v>86</v>
      </c>
      <c r="B88">
        <f t="shared" ca="1" si="3"/>
        <v>1.4616187859809724E-136</v>
      </c>
      <c r="C88">
        <f t="shared" ca="1" si="2"/>
        <v>1.7197779151669284E-136</v>
      </c>
    </row>
    <row r="89" spans="1:3" x14ac:dyDescent="0.35">
      <c r="A89">
        <v>87</v>
      </c>
      <c r="B89">
        <f t="shared" ca="1" si="3"/>
        <v>3.6048027840631631E-139</v>
      </c>
      <c r="C89">
        <f t="shared" ca="1" si="2"/>
        <v>4.2415028296200291E-139</v>
      </c>
    </row>
    <row r="90" spans="1:3" x14ac:dyDescent="0.35">
      <c r="A90">
        <v>88</v>
      </c>
      <c r="B90">
        <f t="shared" ca="1" si="3"/>
        <v>8.1378916788320127E-142</v>
      </c>
      <c r="C90">
        <f t="shared" ca="1" si="2"/>
        <v>9.575250755882257E-142</v>
      </c>
    </row>
    <row r="91" spans="1:3" x14ac:dyDescent="0.35">
      <c r="A91">
        <v>89</v>
      </c>
      <c r="B91">
        <f t="shared" ca="1" si="3"/>
        <v>1.6718617331568396E-144</v>
      </c>
      <c r="C91">
        <f t="shared" ca="1" si="2"/>
        <v>1.9671551251758935E-144</v>
      </c>
    </row>
    <row r="92" spans="1:3" x14ac:dyDescent="0.35">
      <c r="A92">
        <v>90</v>
      </c>
      <c r="B92">
        <f t="shared" ca="1" si="3"/>
        <v>3.1043567050415769E-147</v>
      </c>
      <c r="C92">
        <f t="shared" ca="1" si="2"/>
        <v>3.6526652184124159E-147</v>
      </c>
    </row>
    <row r="93" spans="1:3" x14ac:dyDescent="0.35">
      <c r="A93">
        <v>91</v>
      </c>
      <c r="B93">
        <f t="shared" ca="1" si="3"/>
        <v>5.1673934924066932E-150</v>
      </c>
      <c r="C93">
        <f t="shared" ca="1" si="2"/>
        <v>6.0800868820620269E-150</v>
      </c>
    </row>
    <row r="94" spans="1:3" x14ac:dyDescent="0.35">
      <c r="A94">
        <v>92</v>
      </c>
      <c r="B94">
        <f t="shared" ca="1" si="3"/>
        <v>7.6345611641262267E-153</v>
      </c>
      <c r="C94">
        <f t="shared" ca="1" si="2"/>
        <v>8.9830192441343773E-153</v>
      </c>
    </row>
    <row r="95" spans="1:3" x14ac:dyDescent="0.35">
      <c r="A95">
        <v>93</v>
      </c>
      <c r="B95">
        <f t="shared" ca="1" si="3"/>
        <v>9.8892155655715207E-156</v>
      </c>
      <c r="C95">
        <f t="shared" ca="1" si="2"/>
        <v>1.1635903076177573E-155</v>
      </c>
    </row>
    <row r="96" spans="1:3" x14ac:dyDescent="0.35">
      <c r="A96">
        <v>94</v>
      </c>
      <c r="B96">
        <f t="shared" ca="1" si="3"/>
        <v>1.1056353309248422E-158</v>
      </c>
      <c r="C96">
        <f t="shared" ca="1" si="2"/>
        <v>1.3009187091671491E-158</v>
      </c>
    </row>
    <row r="97" spans="1:3" x14ac:dyDescent="0.35">
      <c r="A97">
        <v>95</v>
      </c>
      <c r="B97">
        <f t="shared" ca="1" si="3"/>
        <v>1.0452612462922579E-161</v>
      </c>
      <c r="C97">
        <f t="shared" ca="1" si="2"/>
        <v>1.2298810224629162E-161</v>
      </c>
    </row>
    <row r="98" spans="1:3" x14ac:dyDescent="0.35">
      <c r="A98">
        <v>96</v>
      </c>
      <c r="B98">
        <f t="shared" ca="1" si="3"/>
        <v>8.1247606778984816E-165</v>
      </c>
      <c r="C98">
        <f t="shared" ca="1" si="2"/>
        <v>9.5598004855202999E-165</v>
      </c>
    </row>
    <row r="99" spans="1:3" x14ac:dyDescent="0.35">
      <c r="A99">
        <v>97</v>
      </c>
      <c r="B99">
        <f t="shared" ca="1" si="3"/>
        <v>4.9852124922710857E-168</v>
      </c>
      <c r="C99">
        <f t="shared" ca="1" si="2"/>
        <v>5.8657280741421079E-168</v>
      </c>
    </row>
    <row r="100" spans="1:3" x14ac:dyDescent="0.35">
      <c r="A100">
        <v>98</v>
      </c>
      <c r="B100">
        <f t="shared" ca="1" si="3"/>
        <v>2.263902799434568E-171</v>
      </c>
      <c r="C100">
        <f t="shared" ca="1" si="2"/>
        <v>2.66376573282689E-171</v>
      </c>
    </row>
    <row r="101" spans="1:3" x14ac:dyDescent="0.35">
      <c r="A101">
        <v>99</v>
      </c>
      <c r="B101">
        <f t="shared" ca="1" si="3"/>
        <v>6.7642828550488176E-175</v>
      </c>
      <c r="C101">
        <f t="shared" ca="1" si="2"/>
        <v>7.9590276053052142E-175</v>
      </c>
    </row>
    <row r="102" spans="1:3" x14ac:dyDescent="0.35">
      <c r="A102">
        <v>100</v>
      </c>
      <c r="B102">
        <f t="shared" ca="1" si="3"/>
        <v>9.9741835311478857E-179</v>
      </c>
      <c r="C102">
        <f t="shared" ca="1" si="2"/>
        <v>1.1735878550012786E-178</v>
      </c>
    </row>
    <row r="103" spans="1:3" x14ac:dyDescent="0.35">
      <c r="A103">
        <v>101</v>
      </c>
      <c r="B103">
        <f t="shared" ca="1" si="3"/>
        <v>0</v>
      </c>
      <c r="C103">
        <f ca="1">B103/(1-$B$2)</f>
        <v>0</v>
      </c>
    </row>
    <row r="104" spans="1:3" x14ac:dyDescent="0.35">
      <c r="A104">
        <v>102</v>
      </c>
      <c r="B104">
        <f t="shared" ca="1" si="3"/>
        <v>0</v>
      </c>
      <c r="C104">
        <f t="shared" ref="C104" ca="1" si="4">B104/(1-$B$2)</f>
        <v>0</v>
      </c>
    </row>
  </sheetData>
  <conditionalFormatting sqref="I3">
    <cfRule type="expression" dxfId="2" priority="1" stopIfTrue="1">
      <formula>RiskColorCellsSimOutput</formula>
    </cfRule>
    <cfRule type="expression" dxfId="1" priority="2" stopIfTrue="1">
      <formula>RiskColorCellsSimInput</formula>
    </cfRule>
    <cfRule type="expression" dxfId="0" priority="3" stopIfTrue="1">
      <formula>RiskColorCellsSimStatistics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C351B805FD6478A9AD3623411F85D" ma:contentTypeVersion="4" ma:contentTypeDescription="Create a new document." ma:contentTypeScope="" ma:versionID="2d5edc477be9cd9e1da6b3e2cb2e8ff9">
  <xsd:schema xmlns:xsd="http://www.w3.org/2001/XMLSchema" xmlns:xs="http://www.w3.org/2001/XMLSchema" xmlns:p="http://schemas.microsoft.com/office/2006/metadata/properties" xmlns:ns3="212f611a-ef77-4108-8cca-39455769b0f3" targetNamespace="http://schemas.microsoft.com/office/2006/metadata/properties" ma:root="true" ma:fieldsID="c4d7c6536cc48460f68ee41244b146bd" ns3:_="">
    <xsd:import namespace="212f611a-ef77-4108-8cca-39455769b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f611a-ef77-4108-8cca-39455769b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A39500-7DB8-4146-8DC6-AE119D93D6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D9AF7-E960-43AE-A189-F259E3B00435}">
  <ds:schemaRefs>
    <ds:schemaRef ds:uri="http://schemas.microsoft.com/office/2006/documentManagement/types"/>
    <ds:schemaRef ds:uri="http://purl.org/dc/terms/"/>
    <ds:schemaRef ds:uri="http://www.w3.org/XML/1998/namespace"/>
    <ds:schemaRef ds:uri="212f611a-ef77-4108-8cca-39455769b0f3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AE103E0-1EED-4B02-A84A-5FA7D9EAA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f611a-ef77-4108-8cca-39455769b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stressInfo</vt:lpstr>
      <vt:lpstr>_StressInfo_</vt:lpstr>
      <vt:lpstr>_@RISKFitInformation</vt:lpstr>
      <vt:lpstr>RiskSerializationData8</vt:lpstr>
      <vt:lpstr>model</vt:lpstr>
      <vt:lpstr>inf_herds1</vt:lpstr>
      <vt:lpstr>RiskSerializationData8!BrowseRecords</vt:lpstr>
      <vt:lpstr>RiskSerializationData8!DistributionRecords</vt:lpstr>
      <vt:lpstr>RiskSerializationData8!SerializationHeader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Jeune Koebel</dc:creator>
  <cp:keywords/>
  <dc:description/>
  <cp:lastModifiedBy>Katherine Jeune Koebel</cp:lastModifiedBy>
  <cp:revision/>
  <dcterms:created xsi:type="dcterms:W3CDTF">2024-05-03T18:40:09Z</dcterms:created>
  <dcterms:modified xsi:type="dcterms:W3CDTF">2024-12-21T02:58:02Z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0x0101004F5C351B805FD6478A9AD3623411F85D</vt:lpwstr>
  </property>
</Properties>
</file>