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8479\Desktop\Research\Ivanek\HPAI Dairy QRA\"/>
    </mc:Choice>
  </mc:AlternateContent>
  <xr:revisionPtr revIDLastSave="0" documentId="13_ncr:1_{DAA87DCC-987C-4DA7-A173-59E7CEB81979}" xr6:coauthVersionLast="47" xr6:coauthVersionMax="47" xr10:uidLastSave="{00000000-0000-0000-0000-000000000000}"/>
  <bookViews>
    <workbookView xWindow="-28920" yWindow="-6885" windowWidth="29040" windowHeight="15720" firstSheet="1" activeTab="1" xr2:uid="{00000000-000D-0000-FFFF-FFFF00000000}"/>
  </bookViews>
  <sheets>
    <sheet name="RiskSerializationData8" sheetId="128" state="hidden" r:id="rId1"/>
    <sheet name="model" sheetId="2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0">RiskSerializationData8!$6:$10</definedName>
    <definedName name="DistributionRecords" localSheetId="0">RiskSerializationData8!$13:$13</definedName>
    <definedName name="Pal_Workbook_GUID">"ISWQS445SAPG7IXRG6ZRFRXE"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11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erializationHeader" localSheetId="0">RiskSerializationData8!$A$1:$B$3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iDppXGcuZQ6tT2P9vHEAz9cINIxy7fQzCJOR3bfoagk="/>
    </ext>
  </extLst>
</workbook>
</file>

<file path=xl/calcChain.xml><?xml version="1.0" encoding="utf-8"?>
<calcChain xmlns="http://schemas.openxmlformats.org/spreadsheetml/2006/main">
  <c r="P10" i="128" l="1"/>
  <c r="L10" i="128"/>
  <c r="A10" i="128"/>
  <c r="L9" i="128"/>
  <c r="A9" i="128"/>
  <c r="P8" i="128"/>
  <c r="L8" i="128"/>
  <c r="A8" i="128"/>
  <c r="L7" i="128"/>
  <c r="A7" i="128"/>
  <c r="L6" i="128"/>
  <c r="A6" i="128"/>
  <c r="D74" i="2"/>
  <c r="D115" i="2"/>
  <c r="D41" i="2"/>
  <c r="D29" i="2"/>
  <c r="D23" i="2"/>
  <c r="D22" i="2"/>
  <c r="D24" i="2"/>
  <c r="D125" i="2"/>
  <c r="D79" i="2"/>
  <c r="D127" i="2"/>
  <c r="D81" i="2"/>
  <c r="D113" i="2" a="1"/>
  <c r="D52" i="2" a="1"/>
  <c r="D13" i="2" a="1"/>
  <c r="D80" i="2" a="1"/>
  <c r="D60" i="2" a="1"/>
  <c r="D56" i="2" a="1"/>
  <c r="D61" i="2" a="1"/>
  <c r="D6" i="2" a="1"/>
  <c r="D99" i="2" a="1"/>
  <c r="D100" i="2" a="1"/>
  <c r="D109" i="2" a="1"/>
  <c r="D12" i="2" a="1"/>
  <c r="D114" i="2" a="1"/>
  <c r="D57" i="2" a="1"/>
  <c r="D111" i="2" a="1"/>
  <c r="D53" i="2" a="1"/>
  <c r="D7" i="2" a="1"/>
  <c r="D31" i="2" a="1"/>
  <c r="D114" i="2" l="1"/>
  <c r="D108" i="2" s="1"/>
  <c r="D61" i="2"/>
  <c r="D60" i="2"/>
  <c r="D100" i="2"/>
  <c r="D106" i="2" s="1"/>
  <c r="D99" i="2"/>
  <c r="A13" i="128" s="1"/>
  <c r="D13" i="2"/>
  <c r="D113" i="2"/>
  <c r="D31" i="2"/>
  <c r="D32" i="2" s="1"/>
  <c r="D7" i="2"/>
  <c r="D53" i="2"/>
  <c r="D54" i="2" s="1"/>
  <c r="D111" i="2"/>
  <c r="D57" i="2"/>
  <c r="D58" i="2" s="1"/>
  <c r="D12" i="2"/>
  <c r="D56" i="2"/>
  <c r="D80" i="2"/>
  <c r="D126" i="2" s="1"/>
  <c r="D109" i="2"/>
  <c r="D6" i="2"/>
  <c r="D52" i="2"/>
  <c r="D8" i="2" l="1"/>
  <c r="D16" i="2" s="1"/>
  <c r="D110" i="2"/>
  <c r="D107" i="2" s="1"/>
  <c r="D137" i="2"/>
  <c r="D65" i="2"/>
  <c r="D67" i="2" s="1"/>
  <c r="D14" i="2"/>
  <c r="D92" i="2"/>
  <c r="D139" i="2"/>
  <c r="D95" i="2"/>
  <c r="D71" i="2"/>
  <c r="D91" i="2"/>
  <c r="D93" i="2"/>
  <c r="D62" i="2"/>
  <c r="D9" i="2" l="1"/>
  <c r="D11" i="2" s="1"/>
  <c r="D17" i="2" s="1"/>
  <c r="D20" i="2" s="1"/>
  <c r="D138" i="2"/>
  <c r="D94" i="2"/>
  <c r="D15" i="2" l="1"/>
  <c r="D33" i="2" l="1"/>
  <c r="D19" i="2"/>
  <c r="D35" i="2" s="1"/>
  <c r="D40" i="2" l="1"/>
  <c r="D36" i="2"/>
  <c r="D38" i="2"/>
  <c r="D39" i="2" s="1"/>
  <c r="D42" i="2"/>
  <c r="D34" i="2"/>
  <c r="D45" i="2" s="1"/>
  <c r="D46" i="2" s="1"/>
  <c r="D43" i="2"/>
  <c r="D44" i="2" l="1"/>
  <c r="D37" i="2"/>
  <c r="D50" i="2"/>
  <c r="D47" i="2"/>
  <c r="D48" i="2" l="1"/>
  <c r="D55" i="2" s="1"/>
  <c r="D59" i="2" s="1"/>
  <c r="D63" i="2" s="1"/>
  <c r="D68" i="2" s="1"/>
  <c r="D72" i="2" s="1"/>
  <c r="D73" i="2" s="1"/>
  <c r="D128" i="2"/>
  <c r="D130" i="2" s="1"/>
  <c r="D82" i="2"/>
  <c r="D84" i="2" s="1"/>
  <c r="D75" i="2"/>
  <c r="D101" i="2" l="1"/>
  <c r="D112" i="2" s="1"/>
  <c r="D116" i="2" s="1"/>
  <c r="D117" i="2" s="1"/>
  <c r="D76" i="2"/>
  <c r="D83" i="2" s="1"/>
  <c r="D86" i="2" a="1"/>
  <c r="D85" i="2" a="1"/>
  <c r="D118" i="2"/>
  <c r="D86" i="2" l="1"/>
  <c r="D119" i="2"/>
  <c r="D129" i="2" s="1"/>
  <c r="D85" i="2"/>
  <c r="D78" i="2"/>
  <c r="D124" i="2"/>
  <c r="D131" i="2" a="1"/>
  <c r="D132" i="2" a="1"/>
  <c r="D87" i="2" a="1"/>
  <c r="D132" i="2" l="1"/>
  <c r="D131" i="2"/>
  <c r="D87" i="2"/>
  <c r="D133" i="2" a="1"/>
  <c r="D13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<sst xmlns="http://schemas.openxmlformats.org/spreadsheetml/2006/main" count="372" uniqueCount="218">
  <si>
    <t>Written By Version</t>
  </si>
  <si>
    <t>8.6.1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</si>
  <si>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</si>
  <si>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</si>
  <si>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</si>
  <si>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</si>
  <si>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</si>
  <si>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</si>
  <si>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</si>
  <si>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</si>
  <si>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</si>
  <si>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</si>
  <si>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</si>
  <si>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</si>
  <si>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</si>
  <si>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</si>
  <si>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</si>
  <si>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</si>
  <si>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</si>
  <si>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</si>
  <si>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</si>
  <si>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</si>
  <si>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</si>
  <si>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GF1_4VKXXwEAEwBZAQwjACcANwB8AIoAiwCZAKcAAAAAAFEBKAD//wAAAQEEAAAAAAUwLjAwMAAAAAEZcXVhbnRpdHlfdGFua19sb2cgLyBWYWx1ZQEmU3BlYXJtYW4gUmFuayBDb3JyZWxhdGlvbiBDb2VmZmljaWVudHMBAQoAAgABBE5vbmUDAAEA/wEBAQEBAAEBAQAEAAAAAQEBAQEAAQEBAAQAAAAKxgAI7gAI+QAIBAEIDwEIGgEIJQEIMAEIOwEIRgEIJgAZcXVhbnRpdHlfdGFua19sb2cgLyBWYWx1ZQAAAP/cFDwBAAACAAkAAAABJQEAAAIACQAAAAJPAQAAAgAJAAAAA4wBAAACAAkAAAAETAEAAAIACQAAAAU5AQAAAgAJAAAABk4BAAACAAkAAAAHIwEAAAIACQAAAAgpAQAAAgAJAAAACWABAAACAAUAAQEBAAAA</t>
  </si>
  <si>
    <t>Parameter</t>
  </si>
  <si>
    <t>Value</t>
  </si>
  <si>
    <t>Units</t>
  </si>
  <si>
    <t>Source</t>
  </si>
  <si>
    <t>Comment</t>
  </si>
  <si>
    <t>Herd Dynamics</t>
  </si>
  <si>
    <t>head</t>
  </si>
  <si>
    <t>%, x100</t>
  </si>
  <si>
    <t>Healthy cows milked</t>
  </si>
  <si>
    <t>Infected cows milked</t>
  </si>
  <si>
    <t>Healthy cows diverted</t>
  </si>
  <si>
    <t>Infected cows diverted</t>
  </si>
  <si>
    <t>healthy_milk_yield</t>
  </si>
  <si>
    <t>gal</t>
  </si>
  <si>
    <t>Infected cow daily milk yield</t>
  </si>
  <si>
    <t>Infected milk in tank</t>
  </si>
  <si>
    <t>Healthy milk in tank</t>
  </si>
  <si>
    <t>Infected milk diverted</t>
  </si>
  <si>
    <t>Healthy milk diverted</t>
  </si>
  <si>
    <t>Total daily milk in tank</t>
  </si>
  <si>
    <t>Total daily milk diverted</t>
  </si>
  <si>
    <t>Constants referenced</t>
  </si>
  <si>
    <t>mL per gallon</t>
  </si>
  <si>
    <t>mL</t>
  </si>
  <si>
    <t>mL per cup</t>
  </si>
  <si>
    <t>Cups per gallon</t>
  </si>
  <si>
    <t>cups</t>
  </si>
  <si>
    <t>PCR cost</t>
  </si>
  <si>
    <t>$</t>
  </si>
  <si>
    <t>logTCID50</t>
  </si>
  <si>
    <t>PCR aliquot</t>
  </si>
  <si>
    <t>Processing and Packaging</t>
  </si>
  <si>
    <t>logTCID50/mL</t>
  </si>
  <si>
    <t>Shedding level of infected cows, count</t>
  </si>
  <si>
    <t>TCID50/mL</t>
  </si>
  <si>
    <t>Quantity of virus in raw milk tank, count</t>
  </si>
  <si>
    <t>TCID50</t>
  </si>
  <si>
    <t>Quantity of virus in raw milk tank, log</t>
  </si>
  <si>
    <t>mL per tank</t>
  </si>
  <si>
    <t>Gallons per tank</t>
  </si>
  <si>
    <t>Proportion of virus from tank in a gallon</t>
  </si>
  <si>
    <t>unitless</t>
  </si>
  <si>
    <t>Concentration of virus in raw milk tank at arrival, count</t>
  </si>
  <si>
    <t>Concentration of virus in raw milk tank at arrival, logarithmic</t>
  </si>
  <si>
    <t>Proportion of virus from tank in an aliquot</t>
  </si>
  <si>
    <t>Aliquots per tank</t>
  </si>
  <si>
    <t>0.1 mL aliquots</t>
  </si>
  <si>
    <t>Probability of 0 cells in aliquot</t>
  </si>
  <si>
    <t>Quantity of virus in an aliquot, count</t>
  </si>
  <si>
    <t>Aliquot above LoD (0/1)</t>
  </si>
  <si>
    <t>Quantity of virus in raw milk tank after 1d lag time, logarithmic</t>
  </si>
  <si>
    <t>Quantity of virus in milk tank before packaging, count</t>
  </si>
  <si>
    <t>Quantity of virus in milk gallon after packaging, count</t>
  </si>
  <si>
    <t>Quantity of virus in milk gallon after packaging, logarithmic</t>
  </si>
  <si>
    <t xml:space="preserve">clustering </t>
  </si>
  <si>
    <t>Probability of zero cells in gallon</t>
  </si>
  <si>
    <t>Dose response curve</t>
  </si>
  <si>
    <t>1-exp(-dose*r)</t>
  </si>
  <si>
    <t>Proportion of virus from gallon in a cup</t>
  </si>
  <si>
    <t>Quantity of virus in milk gallon at consumption, log</t>
  </si>
  <si>
    <t>Quantity of virus in milk gallon at consumption, count</t>
  </si>
  <si>
    <t>Quantity of virus in serving, count</t>
  </si>
  <si>
    <t>Probability of zero cells in a serving</t>
  </si>
  <si>
    <t>Intervention</t>
  </si>
  <si>
    <t>% Success in identifying/removing infected cows</t>
  </si>
  <si>
    <t>% (x100)</t>
  </si>
  <si>
    <t>PCR testing (0/1)</t>
  </si>
  <si>
    <t>Boolean</t>
  </si>
  <si>
    <t>Outputs - Public Health Risk</t>
  </si>
  <si>
    <t>Probability of infection per 1 cup of contaminated milk</t>
  </si>
  <si>
    <t>Probability that a PCR aliquot contains virus</t>
  </si>
  <si>
    <t>Probability that a contaminated tank proceeds through processing</t>
  </si>
  <si>
    <t>Probability that a gallon is contaminated</t>
  </si>
  <si>
    <t>Probability that milk cup is contaminated</t>
  </si>
  <si>
    <t>Prevalence of contaminated gallon packages</t>
  </si>
  <si>
    <t>Prevalence of contaminated servings</t>
  </si>
  <si>
    <t>Probability of infection from drinking a cup of raw milk in scenario</t>
  </si>
  <si>
    <t>Constant in calculation of spoilage probability</t>
  </si>
  <si>
    <t>Probability the serving is spoiled before consumption based on length of storage</t>
  </si>
  <si>
    <t>GF1_rK0qDwEAEwC4AAwjACcAPABHAFsAXABqAHgAkgC0AK4AKwD//wAAAQAAAAEEAAAAAAdHZW5lcmFsAAAAAQVWYWx1ZQEAAQEQAAIAAQpTdGF0aXN0aWNzAwEBAP8BAQEBAQABAQEABAAAAAEBAQEBAAEBAQAEAAAAAXwAAhIABVZhbHVlAAAA/9wUPAEAAAIAAgCaAKQAAQEDAZqZmZmZmak/AABmZmZmZmbuPwAABQABAQEAAQEBAA==</t>
  </si>
  <si>
    <t>GF1_rK0qDwEAEwAWAQwjACcAPAB2AIoAiwCZAKcA8AASAQwBKwD//wAAAQAAAAEEAAAAAAdHZW5lcmFsAAAAATRQcmV2YWxlbmNlIG9mIGNvbnRhbWluYXRlZCBzZXJ2aW5ncyAvIDEtZXhwKC1kb3NlKnIpAQABARAAAgABClN0YXRpc3RpY3MDAQEA/wEBAQEBAAEBAQAEAAAAAQEBAQEAAQEBAAQAAAABqwACQQA0UHJldmFsZW5jZSBvZiBjb250YW1pbmF0ZWQgc2VydmluZ3MgLyAxLWV4cCgtZG9zZSpyKQAAAP/cFDwBAAACAAIA+AACAQEBAwGamZmZmZmpPwAAZmZmZmZm7j8AAAUAAQEBAAEBAQA=</t>
  </si>
  <si>
    <t>GF1_rK0qDwEAEwAGAQwjACcAPABuAIIAgwCRAJ8A4AACAfwAKwD//wAAAQAAAAEEAAAAAAdHZW5lcmFsAAAAASxQcm9iYWJpbGl0eSBvZiBJbmZlY3Rpb24gZnJvbSBTaW5nbGUgU2VydmluZwEAAQEQAAIAAQpTdGF0aXN0aWNzAwEBAP8BAQEBAQABAQEABAAAAAEBAQEBAAEBAQAEAAAAAaMAAjkALFByb2JhYmlsaXR5IG9mIEluZmVjdGlvbiBmcm9tIFNpbmdsZSBTZXJ2aW5nAAAA/9wUPAEAAAIAAgDoAPIAAQEDAZqZmZmZmak/AABmZmZmZmbuPwAABQABAQEAAQEBAA==</t>
  </si>
  <si>
    <t>GF1_4VKXXwEAEwCqAQwjACcANwC6AMgAyQDXAOUAAAAAAKIBKAD//wAAAQEEAAAAAAUwLjAwMAAAAAEsUHJvYmFiaWxpdHkgb2YgSW5mZWN0aW9uIGZyb20gU2luZ2xlIFNlcnZpbmcAKlByb2JhYmlsaXR5IG9mIEluZmVjdGlvbiBwZXIgU2VydmluZyAoUmF3KSZTcGVhcm1hbiBSYW5rIENvcnJlbGF0aW9uIENvZWZmaWNpZW50cwEBCgACAAEETm9uZQMAAQD/AQEBAQEAAQEBAAQAAAABAQEBAQABAQEABAAAAAoEAQg/AQhKAQhVAQhgAQhrAQh2AQiBAQiMAQiXAQg5ACxQcm9iYWJpbGl0eSBvZiBJbmZlY3Rpb24gZnJvbSBTaW5nbGUgU2VydmluZwAAAP/cFDwBAAACAAkAAAABJQEAAAIACQAAAAJPAQAAAgAJAAAAA4wBAAACAAkAAAAETAEAAAIACQAAAAU5AQAAAgAJAAAABk4BAAACAAkAAAAHIwEAAAIACQAAAAgpAQAAAgAJAAAACWABAAACAAUAAQEBAAAA</t>
  </si>
  <si>
    <t>Quantity of virus in milk gallon at purchase, logarithmic</t>
  </si>
  <si>
    <t>C</t>
  </si>
  <si>
    <t>Coefficient for duration in calculation of spoilage probability</t>
  </si>
  <si>
    <t>Coefficient for temp in calculation of spoilage probability</t>
  </si>
  <si>
    <t>Temperature of home storage</t>
  </si>
  <si>
    <t>avg_herd_size</t>
  </si>
  <si>
    <t>Average herd size (H)</t>
  </si>
  <si>
    <t>prevalence</t>
  </si>
  <si>
    <t>H5N1 prevalence (p)</t>
  </si>
  <si>
    <t>Healthy cow milk yield (YH)</t>
  </si>
  <si>
    <t>Infected cow relative milk yield (YI)</t>
  </si>
  <si>
    <t>infected_cow_rel_yield</t>
  </si>
  <si>
    <t>Viral titer in infected cow milk (VM)</t>
  </si>
  <si>
    <t>milk_titer</t>
  </si>
  <si>
    <t>duration_storage_retail</t>
  </si>
  <si>
    <t>temp_storage_retail</t>
  </si>
  <si>
    <t>Dose-response parameter r (r )</t>
  </si>
  <si>
    <t>dose_response_r</t>
  </si>
  <si>
    <t>Duration of storage at consumer residence (SC)</t>
  </si>
  <si>
    <t>duration_storage_residence</t>
  </si>
  <si>
    <t>Quantity of virus in serving</t>
  </si>
  <si>
    <t>PCR sensitivity (Se)</t>
  </si>
  <si>
    <t>PCR specificity (Sp)</t>
  </si>
  <si>
    <t>PCR limit of detection (LoD)</t>
  </si>
  <si>
    <t>GF1_rK0qDwEAEwDuAAwjACcAPABiAHYAdwCFAJMAyADqAOQAKwD//wAAAQAAAAEEAAAAAAdHZW5lcmFsAAAAASBxdWFudF92aXJ1c19yYXdfdGFua19sb2cgLyBWYWx1ZQEAAQEQAAIAAQpTdGF0aXN0aWNzAwEBAP8BAQEBAQABAQEABAAAAAEBAQEBAAEBAQAEAAAAAZcAAi0AIHF1YW50X3ZpcnVzX3Jhd190YW5rX2xvZyAvIFZhbHVlAAAA/9wUPAEAAAIAAgDQANoAAQEDAZqZmZmZmak/AABmZmZmZmbuPwAABQABAQEAAQEBAA==</t>
  </si>
  <si>
    <t>Duration of transport to consumer residence</t>
  </si>
  <si>
    <t>Quantity of virus in milk gallon at arrival at home, logarithmic</t>
  </si>
  <si>
    <t>Temperature of transport to consumer residence</t>
  </si>
  <si>
    <t>Home-arrival temp</t>
  </si>
  <si>
    <t>Probability the serving is spoiled upon arrival at consumer residence</t>
  </si>
  <si>
    <t>Virus decay at retail</t>
  </si>
  <si>
    <t>Virus decay rate during transport to residence</t>
  </si>
  <si>
    <t>Virus decay rate during storage at residence</t>
  </si>
  <si>
    <t>logTCID50/d</t>
  </si>
  <si>
    <t>Probability that a herd is HPAI+</t>
  </si>
  <si>
    <t>Distribution Record</t>
  </si>
  <si>
    <t>Reserved</t>
  </si>
  <si>
    <t>Record Count</t>
  </si>
  <si>
    <t>Inputs</t>
  </si>
  <si>
    <t>1_x0001_69_x0001_0_x0001_RiskUniform(1,7,RiskName("temperature_storage_retail"),RiskCollect())</t>
  </si>
  <si>
    <t>GF1_rK0qDwEAEwDNAAwjACcAPABcAHAAcQB/AI0ApwDJAMMAKwD//wAAAAAAAAEEAAAAAAdHZW5lcmFsAAAAARp0ZW1wZXJhdHVyZV9zdG9yYWdlX3JldGFpbAEAAQEQAAIAAQpTdGF0aXN0aWNzAwEBAP8BAQEBAQABAQEABAAAAAEBAQEBAAEBAQAEAAAAAZEAABQAB1VuaWZvcm0AAAD/AAD/AQAAAgCvALkAAQEDAZqZmZmZmak/AABmZmZmZmbuPwAABQABAQEAAQEBAA==</t>
  </si>
  <si>
    <t>GF1_rK0qDwEAEwAkAQwjACcAPAB8AJAAkQCfAK0A/gAgARoBKwD//wAAAAAAAAEEAAAAAAdHZW5lcmFsAAAAARp0ZW1wZXJhdHVyZV9zdG9yYWdlX3JldGFpbAEgQ29tcGFyaXNvbiB3aXRoIFJpc2tVbmlmb3JtKDEsNykBARAAAgABClN0YXRpc3RpY3MDAQEA/wEBAQEBAAEBAQAEAAAAAQEBAQEAAQEBAAQAAAACtAAC3wAAJwAadGVtcGVyYXR1cmVfc3RvcmFnZV9yZXRhaWwAAAD/AAD/AQAAAgACAB0AEFJpc2tVbmlmb3JtKDEsNykAAQD/AAAAAQAAAgAGARABAQEDAZqZmZmZmak/AABmZmZmZmbuPwAABQABAQEAAQEBAA==</t>
  </si>
  <si>
    <t>Farm Store Pathway</t>
  </si>
  <si>
    <t>Consumption and Infection</t>
  </si>
  <si>
    <t>Retail Pathway</t>
  </si>
  <si>
    <t>duration_storage_farmstore</t>
  </si>
  <si>
    <t>Duration of storage at farmstore (SR)</t>
  </si>
  <si>
    <t>Temperature of storage at farmstore (MR)</t>
  </si>
  <si>
    <t>temp_storage_farmstore</t>
  </si>
  <si>
    <t>temp_storage_residence</t>
  </si>
  <si>
    <t>Duration of lag to retail</t>
  </si>
  <si>
    <t>duration_lag_retail</t>
  </si>
  <si>
    <t>Temperature of lag to retail</t>
  </si>
  <si>
    <t>temp_lag_retail</t>
  </si>
  <si>
    <t>Viral decay of lag to retail</t>
  </si>
  <si>
    <t>Quantity of virus in milk gallon at arrival at retail, logarithmic</t>
  </si>
  <si>
    <t>d</t>
  </si>
  <si>
    <t>Duration of transport to retail</t>
  </si>
  <si>
    <t>Temperature of transport to retail</t>
  </si>
  <si>
    <t>Viral decay of transport to retail</t>
  </si>
  <si>
    <t>Quantity of virus in milk gallon at departure for retail, logarithmic</t>
  </si>
  <si>
    <t>duration_transport_retail</t>
  </si>
  <si>
    <t>temp_transport_retail</t>
  </si>
  <si>
    <t>Duration of storage at retail</t>
  </si>
  <si>
    <t>Temperature of storage at retail</t>
  </si>
  <si>
    <t>Viral decay of storage at retail</t>
  </si>
  <si>
    <t>Quantity of virus in milk gallon at time of purchase, logarithmic</t>
  </si>
  <si>
    <t>Duration of transport to residence</t>
  </si>
  <si>
    <t>SEE BELOW</t>
  </si>
  <si>
    <t>Temperature of transport to residence</t>
  </si>
  <si>
    <t>Viral decay of transport to residence</t>
  </si>
  <si>
    <t>Quantity of virus in milk gallon at arrival at residence, logarithmic</t>
  </si>
  <si>
    <t>Home arrival temp</t>
  </si>
  <si>
    <t>Duration of storage at residence</t>
  </si>
  <si>
    <t>Temperature of storage at residence</t>
  </si>
  <si>
    <t>Viral decay of storage at residence</t>
  </si>
  <si>
    <t>Quantity of virus in milk gallon at time of consumption, logarithmic</t>
  </si>
  <si>
    <t>Quantity of virus in milk gallon at time of consumption, count</t>
  </si>
  <si>
    <t>Proprtion of virus from gallon in cup</t>
  </si>
  <si>
    <t>Quantity of virus in seving, count</t>
  </si>
  <si>
    <t>Probability the gallon is spoiled before shipping to retail</t>
  </si>
  <si>
    <t>Probability the gallon is spoiled before arriving at retail</t>
  </si>
  <si>
    <t>Probability the gallon is spoiled before purchase</t>
  </si>
  <si>
    <t>Probability the gallon is spoiled before arriving at residence</t>
  </si>
  <si>
    <t>Probability the gallon is spoiled before consumption</t>
  </si>
  <si>
    <t>duration_transport_residence</t>
  </si>
  <si>
    <t>temp_home_arrival</t>
  </si>
  <si>
    <t>us_prevalence</t>
  </si>
  <si>
    <t>Author opinion</t>
  </si>
  <si>
    <t>ThermoFisher</t>
  </si>
  <si>
    <t>Assumption</t>
  </si>
  <si>
    <t>prevalence_virus_serving_farmstore</t>
  </si>
  <si>
    <t>quant_virus_serving_log_farmstore</t>
  </si>
  <si>
    <t>p_infection_serving_farmstore</t>
  </si>
  <si>
    <t>prevalence_virus_serving_retail</t>
  </si>
  <si>
    <t>quant_virus_serving_log_retail</t>
  </si>
  <si>
    <t>p_infection_serving_retail</t>
  </si>
  <si>
    <t>notation</t>
  </si>
  <si>
    <t>Last update: 11/18/24</t>
  </si>
  <si>
    <t>Dr. Katherine Koebel | kjk239@cornell.edu</t>
  </si>
  <si>
    <t>Caserta et al, 2024</t>
  </si>
  <si>
    <t>USDA NASS, 2024</t>
  </si>
  <si>
    <t>Durst, 2024</t>
  </si>
  <si>
    <t>Laconi et al, 2020</t>
  </si>
  <si>
    <t>Nauta, 2005</t>
  </si>
  <si>
    <t>Nooruzzaman et al, 2024</t>
  </si>
  <si>
    <t>Latorre et al, 2011</t>
  </si>
  <si>
    <t>Crotta et al, 2015</t>
  </si>
  <si>
    <t>Lipatov et al, 2009</t>
  </si>
  <si>
    <t>USDA APHIS, 2024 | USDA Ag Census, 2022</t>
  </si>
  <si>
    <t>(calculated externally using USDA APHIS detections)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</si>
</sst>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rgb="FFFF0000"/>
      <name val="Aptos Narrow"/>
    </font>
    <font>
      <sz val="11"/>
      <color theme="1"/>
      <name val="Aptos Narrow"/>
      <family val="2"/>
    </font>
    <font>
      <u/>
      <sz val="11"/>
      <color theme="10"/>
      <name val="Aptos Narrow"/>
      <scheme val="minor"/>
    </font>
    <font>
      <sz val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6" fillId="0" borderId="0" xfId="0" applyFont="1"/>
    <xf numFmtId="0" fontId="2" fillId="0" borderId="0" xfId="0" applyFont="1"/>
    <xf numFmtId="0" fontId="7" fillId="0" borderId="0" xfId="1"/>
    <xf numFmtId="0" fontId="1" fillId="0" borderId="0" xfId="0" applyFont="1"/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  <xf numFmtId="11" fontId="3" fillId="4" borderId="0" xfId="0" applyNumberFormat="1" applyFont="1" applyFill="1"/>
  </cellXfs>
  <cellStyles count="2">
    <cellStyle name="Hyperlink" xfId="1" builtinId="8"/>
    <cellStyle name="Normal" xfId="0" builtinId="0"/>
  </cellStyles>
  <dxfs count="6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17C8-2130-4BDB-A154-FA44F7C38E49}">
  <dimension ref="A1:X13"/>
  <sheetViews>
    <sheetView workbookViewId="0"/>
  </sheetViews>
  <sheetFormatPr defaultColWidth="25.6328125" defaultRowHeight="14.5" x14ac:dyDescent="0.35"/>
  <sheetData>
    <row r="1" spans="1:24" x14ac:dyDescent="0.35">
      <c r="A1" t="s">
        <v>0</v>
      </c>
      <c r="B1" t="s">
        <v>1</v>
      </c>
    </row>
    <row r="2" spans="1:24" x14ac:dyDescent="0.35">
      <c r="A2" t="s">
        <v>2</v>
      </c>
      <c r="B2">
        <v>4</v>
      </c>
    </row>
    <row r="3" spans="1:24" x14ac:dyDescent="0.35">
      <c r="A3" t="s">
        <v>3</v>
      </c>
      <c r="B3">
        <v>0</v>
      </c>
    </row>
    <row r="5" spans="1:24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J5" t="s">
        <v>10</v>
      </c>
      <c r="K5" t="s">
        <v>11</v>
      </c>
      <c r="L5" t="s">
        <v>12</v>
      </c>
      <c r="N5" t="s">
        <v>13</v>
      </c>
      <c r="O5" t="s">
        <v>14</v>
      </c>
      <c r="P5" t="s">
        <v>15</v>
      </c>
      <c r="R5" t="s">
        <v>16</v>
      </c>
      <c r="S5" t="s">
        <v>17</v>
      </c>
      <c r="T5" t="s">
        <v>18</v>
      </c>
      <c r="V5" t="s">
        <v>19</v>
      </c>
      <c r="W5" t="s">
        <v>20</v>
      </c>
      <c r="X5" t="s">
        <v>21</v>
      </c>
    </row>
    <row r="6" spans="1:24" x14ac:dyDescent="0.35">
      <c r="A6" t="e">
        <f ca="1">ModelRef(model!$D$99,2,0,0)</f>
        <v>#NAME?</v>
      </c>
      <c r="B6">
        <v>0</v>
      </c>
      <c r="C6">
        <v>3</v>
      </c>
      <c r="F6">
        <v>0</v>
      </c>
      <c r="J6" t="b">
        <v>1</v>
      </c>
      <c r="K6" t="s">
        <v>148</v>
      </c>
      <c r="L6" t="e">
        <f ca="1">ModelRef(model!$D$99,2,0,0)+ModelRef(model!$D$99,3,0,-1)</f>
        <v>#NAME?</v>
      </c>
    </row>
    <row r="7" spans="1:24" x14ac:dyDescent="0.35">
      <c r="A7" t="e">
        <f ca="1">ModelRef(model!$D$131,1,0,0)</f>
        <v>#NAME?</v>
      </c>
      <c r="B7">
        <v>0</v>
      </c>
      <c r="C7">
        <v>3</v>
      </c>
      <c r="F7">
        <v>0</v>
      </c>
      <c r="J7" t="b">
        <v>1</v>
      </c>
      <c r="K7" t="s">
        <v>104</v>
      </c>
      <c r="L7" t="e">
        <f ca="1">ModelRef(model!$D$131,1,0,0)</f>
        <v>#NAME?</v>
      </c>
    </row>
    <row r="8" spans="1:24" x14ac:dyDescent="0.35">
      <c r="A8" t="e">
        <f ca="1">ModelRef(model!$D$133,1,0,0)</f>
        <v>#NAME?</v>
      </c>
      <c r="B8">
        <v>0</v>
      </c>
      <c r="C8">
        <v>2</v>
      </c>
      <c r="D8" t="s">
        <v>22</v>
      </c>
      <c r="F8">
        <v>0</v>
      </c>
      <c r="J8" t="b">
        <v>1</v>
      </c>
      <c r="K8" t="s">
        <v>105</v>
      </c>
      <c r="L8" t="e">
        <f ca="1">ModelRef(model!$D$133,1,0,0)</f>
        <v>#NAME?</v>
      </c>
      <c r="N8" t="s">
        <v>22</v>
      </c>
      <c r="O8" t="s">
        <v>106</v>
      </c>
      <c r="P8" t="e">
        <f ca="1">ModelRef(model!$D$133,1,0,0)</f>
        <v>#NAME?</v>
      </c>
    </row>
    <row r="9" spans="1:24" x14ac:dyDescent="0.35">
      <c r="A9" t="e">
        <f ca="1">ModelRef(model!$D$39,1,0,0)</f>
        <v>#NAME?</v>
      </c>
      <c r="B9">
        <v>0</v>
      </c>
      <c r="C9">
        <v>3</v>
      </c>
      <c r="F9">
        <v>0</v>
      </c>
      <c r="J9" t="b">
        <v>1</v>
      </c>
      <c r="K9" t="s">
        <v>103</v>
      </c>
      <c r="L9" t="e">
        <f ca="1">ModelRef(model!$D$39,1,0,0)</f>
        <v>#NAME?</v>
      </c>
    </row>
    <row r="10" spans="1:24" x14ac:dyDescent="0.35">
      <c r="A10" t="e">
        <f ca="1">ModelRef(model!$D$34,1,0,0)</f>
        <v>#NAME?</v>
      </c>
      <c r="B10">
        <v>0</v>
      </c>
      <c r="C10">
        <v>2</v>
      </c>
      <c r="D10" t="s">
        <v>22</v>
      </c>
      <c r="F10">
        <v>0</v>
      </c>
      <c r="J10" t="b">
        <v>1</v>
      </c>
      <c r="K10" t="s">
        <v>131</v>
      </c>
      <c r="L10" t="e">
        <f ca="1">ModelRef(model!$D$34,1,0,0)</f>
        <v>#NAME?</v>
      </c>
      <c r="N10" t="s">
        <v>22</v>
      </c>
      <c r="O10" t="s">
        <v>23</v>
      </c>
      <c r="P10" t="e">
        <f ca="1">ModelRef(model!$D$34,1,0,0)</f>
        <v>#NAME?</v>
      </c>
    </row>
    <row r="12" spans="1:24" x14ac:dyDescent="0.35">
      <c r="A12" t="s">
        <v>142</v>
      </c>
      <c r="C12" t="s">
        <v>143</v>
      </c>
      <c r="D12" t="s">
        <v>144</v>
      </c>
      <c r="E12" t="s">
        <v>145</v>
      </c>
    </row>
    <row r="13" spans="1:24" x14ac:dyDescent="0.35">
      <c r="A13">
        <f ca="1">model!$D$99</f>
        <v>1.4726599739544552</v>
      </c>
      <c r="D13">
        <v>1</v>
      </c>
      <c r="E13" t="s">
        <v>146</v>
      </c>
      <c r="F13">
        <v>0</v>
      </c>
      <c r="G13" t="s">
        <v>147</v>
      </c>
      <c r="H13" t="s">
        <v>143</v>
      </c>
      <c r="I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6"/>
  <sheetViews>
    <sheetView tabSelected="1" topLeftCell="A23" zoomScale="90" zoomScaleNormal="90" workbookViewId="0">
      <selection activeCell="J42" sqref="J42"/>
    </sheetView>
  </sheetViews>
  <sheetFormatPr defaultColWidth="12.6328125" defaultRowHeight="15" customHeight="1" x14ac:dyDescent="0.35"/>
  <cols>
    <col min="1" max="1" width="24.36328125" customWidth="1"/>
    <col min="2" max="2" width="54.90625" customWidth="1"/>
    <col min="3" max="3" width="20" customWidth="1"/>
    <col min="4" max="4" width="11.90625" customWidth="1"/>
    <col min="5" max="5" width="13.54296875" bestFit="1" customWidth="1"/>
    <col min="6" max="6" width="35.81640625" bestFit="1" customWidth="1"/>
    <col min="7" max="26" width="8.6328125" customWidth="1"/>
  </cols>
  <sheetData>
    <row r="1" spans="1:7" ht="14.25" customHeight="1" x14ac:dyDescent="0.35">
      <c r="A1" s="1" t="s">
        <v>206</v>
      </c>
    </row>
    <row r="2" spans="1:7" ht="14.25" customHeight="1" x14ac:dyDescent="0.35">
      <c r="A2" s="9" t="s">
        <v>205</v>
      </c>
    </row>
    <row r="3" spans="1:7" ht="14.25" customHeight="1" x14ac:dyDescent="0.35">
      <c r="A3" s="9"/>
    </row>
    <row r="4" spans="1:7" ht="14.25" customHeight="1" x14ac:dyDescent="0.35">
      <c r="A4" s="7"/>
    </row>
    <row r="5" spans="1:7" ht="14.25" customHeight="1" x14ac:dyDescent="0.35">
      <c r="B5" s="1" t="s">
        <v>24</v>
      </c>
      <c r="C5" s="1" t="s">
        <v>204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ht="14.25" customHeight="1" x14ac:dyDescent="0.35">
      <c r="A6" s="1" t="s">
        <v>29</v>
      </c>
      <c r="B6" s="10" t="s">
        <v>113</v>
      </c>
      <c r="C6" s="10" t="s">
        <v>112</v>
      </c>
      <c r="D6" s="1" cm="1">
        <f t="array" aca="1" ref="D6" ca="1">INT(_xll.RiskTriang(2,20,50,_xll.RiskName("avg_herd_size"),_xll.RiskCollect()))</f>
        <v>15</v>
      </c>
      <c r="E6" s="10" t="s">
        <v>30</v>
      </c>
      <c r="F6" t="s">
        <v>195</v>
      </c>
    </row>
    <row r="7" spans="1:7" ht="14.25" customHeight="1" x14ac:dyDescent="0.35">
      <c r="B7" s="10" t="s">
        <v>115</v>
      </c>
      <c r="C7" s="10" t="s">
        <v>114</v>
      </c>
      <c r="D7" s="1" cm="1">
        <f t="array" aca="1" ref="D7" ca="1">_xll.RiskUniform(0.0342,0.2349,_xll.RiskName("prevalence"),_xll.RiskStatic(0.135),_xll.RiskCollect())</f>
        <v>0.17185983926655737</v>
      </c>
      <c r="E7" s="10" t="s">
        <v>31</v>
      </c>
      <c r="F7" t="s">
        <v>207</v>
      </c>
    </row>
    <row r="8" spans="1:7" ht="14.25" customHeight="1" x14ac:dyDescent="0.35">
      <c r="B8" s="1" t="s">
        <v>32</v>
      </c>
      <c r="C8" s="1"/>
      <c r="D8" s="1">
        <f ca="1">INT(D6*(1-D7))</f>
        <v>12</v>
      </c>
      <c r="E8" s="1" t="s">
        <v>30</v>
      </c>
    </row>
    <row r="9" spans="1:7" ht="14.25" customHeight="1" x14ac:dyDescent="0.35">
      <c r="B9" s="1" t="s">
        <v>33</v>
      </c>
      <c r="C9" s="1"/>
      <c r="D9" s="1">
        <f ca="1">D6-D8</f>
        <v>3</v>
      </c>
      <c r="E9" s="1" t="s">
        <v>30</v>
      </c>
    </row>
    <row r="10" spans="1:7" ht="14.25" customHeight="1" x14ac:dyDescent="0.35">
      <c r="B10" s="1" t="s">
        <v>34</v>
      </c>
      <c r="C10" s="1"/>
      <c r="D10" s="1">
        <v>0</v>
      </c>
      <c r="E10" s="1" t="s">
        <v>30</v>
      </c>
    </row>
    <row r="11" spans="1:7" ht="14.25" customHeight="1" x14ac:dyDescent="0.35">
      <c r="B11" s="1" t="s">
        <v>35</v>
      </c>
      <c r="C11" s="1"/>
      <c r="D11" s="1">
        <f ca="1">INT(D9*D121)</f>
        <v>0</v>
      </c>
      <c r="E11" s="1" t="s">
        <v>30</v>
      </c>
    </row>
    <row r="12" spans="1:7" ht="14.25" customHeight="1" x14ac:dyDescent="0.35">
      <c r="B12" s="10" t="s">
        <v>116</v>
      </c>
      <c r="C12" s="10" t="s">
        <v>36</v>
      </c>
      <c r="D12" s="1" cm="1">
        <f t="array" aca="1" ref="D12" ca="1">_xll.RiskPert(8,9,10,_xll.RiskName("healthy_milk_yield"),_xll.RiskStatic(9),_xll.RiskCollect())</f>
        <v>9.1817045860859423</v>
      </c>
      <c r="E12" s="10" t="s">
        <v>37</v>
      </c>
      <c r="F12" t="s">
        <v>208</v>
      </c>
    </row>
    <row r="13" spans="1:7" ht="14.25" customHeight="1" x14ac:dyDescent="0.35">
      <c r="B13" s="10" t="s">
        <v>117</v>
      </c>
      <c r="C13" s="10" t="s">
        <v>118</v>
      </c>
      <c r="D13" s="1" cm="1">
        <f t="array" aca="1" ref="D13" ca="1">_xll.RiskPert(0.5,0.6,1,_xll.RiskName("infected_cow_rel_yield"),_xll.RiskStatic(0.6),_xll.RiskCollect())</f>
        <v>0.53733891100100883</v>
      </c>
      <c r="E13" s="10" t="s">
        <v>31</v>
      </c>
      <c r="F13" t="s">
        <v>209</v>
      </c>
    </row>
    <row r="14" spans="1:7" ht="14.25" customHeight="1" x14ac:dyDescent="0.35">
      <c r="B14" s="1" t="s">
        <v>38</v>
      </c>
      <c r="C14" s="1"/>
      <c r="D14" s="1">
        <f ca="1">D13*D12</f>
        <v>4.9336871434203884</v>
      </c>
      <c r="E14" s="1" t="s">
        <v>37</v>
      </c>
    </row>
    <row r="15" spans="1:7" ht="14.25" customHeight="1" x14ac:dyDescent="0.35">
      <c r="B15" s="1" t="s">
        <v>39</v>
      </c>
      <c r="C15" s="1"/>
      <c r="D15" s="1">
        <f ca="1">(D9-D11)*D14</f>
        <v>14.801061430261164</v>
      </c>
      <c r="E15" s="1" t="s">
        <v>37</v>
      </c>
    </row>
    <row r="16" spans="1:7" ht="14.25" customHeight="1" x14ac:dyDescent="0.35">
      <c r="B16" s="1" t="s">
        <v>40</v>
      </c>
      <c r="C16" s="1"/>
      <c r="D16" s="1">
        <f ca="1">D8*D12</f>
        <v>110.18045503303131</v>
      </c>
      <c r="E16" s="1" t="s">
        <v>37</v>
      </c>
    </row>
    <row r="17" spans="1:6" ht="14.25" customHeight="1" x14ac:dyDescent="0.35">
      <c r="B17" s="1" t="s">
        <v>41</v>
      </c>
      <c r="C17" s="1"/>
      <c r="D17" s="1">
        <f ca="1">D11*D14</f>
        <v>0</v>
      </c>
      <c r="E17" s="1" t="s">
        <v>37</v>
      </c>
    </row>
    <row r="18" spans="1:6" ht="14.25" customHeight="1" x14ac:dyDescent="0.35">
      <c r="B18" s="1" t="s">
        <v>42</v>
      </c>
      <c r="C18" s="1"/>
      <c r="D18" s="1">
        <v>0</v>
      </c>
      <c r="E18" s="1" t="s">
        <v>37</v>
      </c>
    </row>
    <row r="19" spans="1:6" ht="14.25" customHeight="1" x14ac:dyDescent="0.35">
      <c r="B19" s="1" t="s">
        <v>43</v>
      </c>
      <c r="C19" s="1"/>
      <c r="D19" s="1">
        <f ca="1">D16+D15</f>
        <v>124.98151646329248</v>
      </c>
      <c r="E19" s="1" t="s">
        <v>37</v>
      </c>
    </row>
    <row r="20" spans="1:6" ht="14.25" customHeight="1" x14ac:dyDescent="0.35">
      <c r="B20" s="1" t="s">
        <v>44</v>
      </c>
      <c r="C20" s="1"/>
      <c r="D20" s="1">
        <f ca="1">D17+D18</f>
        <v>0</v>
      </c>
      <c r="E20" s="1" t="s">
        <v>37</v>
      </c>
    </row>
    <row r="21" spans="1:6" ht="14.25" customHeight="1" x14ac:dyDescent="0.35"/>
    <row r="22" spans="1:6" ht="14.25" customHeight="1" x14ac:dyDescent="0.35">
      <c r="A22" s="1" t="s">
        <v>45</v>
      </c>
      <c r="B22" s="1" t="s">
        <v>46</v>
      </c>
      <c r="C22" s="1"/>
      <c r="D22" s="1">
        <f>3785.41</f>
        <v>3785.41</v>
      </c>
      <c r="E22" s="1" t="s">
        <v>47</v>
      </c>
    </row>
    <row r="23" spans="1:6" ht="14.25" customHeight="1" x14ac:dyDescent="0.35">
      <c r="B23" s="1" t="s">
        <v>48</v>
      </c>
      <c r="C23" s="1"/>
      <c r="D23" s="1">
        <f>240</f>
        <v>240</v>
      </c>
      <c r="E23" s="1" t="s">
        <v>47</v>
      </c>
    </row>
    <row r="24" spans="1:6" ht="14.25" customHeight="1" x14ac:dyDescent="0.35">
      <c r="B24" s="1" t="s">
        <v>49</v>
      </c>
      <c r="C24" s="1"/>
      <c r="D24" s="1">
        <f>ROUNDUP(D22/D23,0)</f>
        <v>16</v>
      </c>
      <c r="E24" s="1" t="s">
        <v>50</v>
      </c>
    </row>
    <row r="25" spans="1:6" ht="14.25" customHeight="1" x14ac:dyDescent="0.35">
      <c r="B25" s="1" t="s">
        <v>128</v>
      </c>
      <c r="C25" s="1"/>
      <c r="D25" s="1">
        <v>0.98399999999999999</v>
      </c>
      <c r="E25" s="1" t="s">
        <v>31</v>
      </c>
      <c r="F25" t="s">
        <v>196</v>
      </c>
    </row>
    <row r="26" spans="1:6" ht="14.25" customHeight="1" x14ac:dyDescent="0.35">
      <c r="B26" s="1" t="s">
        <v>129</v>
      </c>
      <c r="C26" s="1"/>
      <c r="D26" s="1">
        <v>0.99099999999999999</v>
      </c>
      <c r="E26" s="1" t="s">
        <v>31</v>
      </c>
      <c r="F26" t="s">
        <v>196</v>
      </c>
    </row>
    <row r="27" spans="1:6" ht="14.25" customHeight="1" x14ac:dyDescent="0.35">
      <c r="B27" s="1" t="s">
        <v>51</v>
      </c>
      <c r="C27" s="1"/>
      <c r="D27" s="1">
        <v>0</v>
      </c>
      <c r="E27" s="1" t="s">
        <v>52</v>
      </c>
    </row>
    <row r="28" spans="1:6" ht="14.25" customHeight="1" x14ac:dyDescent="0.35">
      <c r="B28" s="1" t="s">
        <v>130</v>
      </c>
      <c r="C28" s="1"/>
      <c r="D28" s="1">
        <v>1.5</v>
      </c>
      <c r="E28" s="1" t="s">
        <v>53</v>
      </c>
      <c r="F28" t="s">
        <v>210</v>
      </c>
    </row>
    <row r="29" spans="1:6" ht="14.25" customHeight="1" x14ac:dyDescent="0.35">
      <c r="B29" s="1" t="s">
        <v>54</v>
      </c>
      <c r="C29" s="1"/>
      <c r="D29" s="1">
        <f>0.1</f>
        <v>0.1</v>
      </c>
      <c r="E29" s="1" t="s">
        <v>47</v>
      </c>
    </row>
    <row r="30" spans="1:6" ht="14.25" customHeight="1" x14ac:dyDescent="0.35"/>
    <row r="31" spans="1:6" ht="14.25" customHeight="1" x14ac:dyDescent="0.35">
      <c r="A31" s="1" t="s">
        <v>55</v>
      </c>
      <c r="B31" s="10" t="s">
        <v>119</v>
      </c>
      <c r="C31" s="10" t="s">
        <v>120</v>
      </c>
      <c r="D31" s="1" cm="1">
        <f t="array" aca="1" ref="D31" ca="1">_xll.RiskPert(4,6.5,8.8,_xll.RiskName("milk_titer"),_xll.RiskStatic(6.5),_xll.RiskCollect())</f>
        <v>6.6371971320323988</v>
      </c>
      <c r="E31" s="10" t="s">
        <v>56</v>
      </c>
      <c r="F31" t="s">
        <v>207</v>
      </c>
    </row>
    <row r="32" spans="1:6" ht="14.25" customHeight="1" x14ac:dyDescent="0.35">
      <c r="B32" s="1" t="s">
        <v>57</v>
      </c>
      <c r="C32" s="1"/>
      <c r="D32" s="1">
        <f ca="1">10^D31</f>
        <v>4337076.9939834252</v>
      </c>
      <c r="E32" s="1" t="s">
        <v>58</v>
      </c>
    </row>
    <row r="33" spans="2:5" ht="14.25" customHeight="1" x14ac:dyDescent="0.35">
      <c r="B33" s="1" t="s">
        <v>59</v>
      </c>
      <c r="C33" s="1"/>
      <c r="D33" s="1">
        <f ca="1">D32*D22*D15</f>
        <v>242998122585.14084</v>
      </c>
      <c r="E33" s="1" t="s">
        <v>60</v>
      </c>
    </row>
    <row r="34" spans="2:5" ht="14.25" customHeight="1" x14ac:dyDescent="0.35">
      <c r="B34" s="1" t="s">
        <v>61</v>
      </c>
      <c r="C34" s="1"/>
      <c r="D34" s="1">
        <f ca="1">LOG10(D33)</f>
        <v>11.385602918231797</v>
      </c>
      <c r="E34" s="1" t="s">
        <v>53</v>
      </c>
    </row>
    <row r="35" spans="2:5" ht="14.25" customHeight="1" x14ac:dyDescent="0.35">
      <c r="B35" s="1" t="s">
        <v>62</v>
      </c>
      <c r="C35" s="1"/>
      <c r="D35" s="1">
        <f ca="1">D22*D19</f>
        <v>473106.28223531198</v>
      </c>
      <c r="E35" s="1" t="s">
        <v>47</v>
      </c>
    </row>
    <row r="36" spans="2:5" ht="14.25" customHeight="1" x14ac:dyDescent="0.35">
      <c r="B36" s="1" t="s">
        <v>63</v>
      </c>
      <c r="C36" s="1"/>
      <c r="D36" s="1">
        <f ca="1">ROUNDDOWN(D35/D22,0)</f>
        <v>124</v>
      </c>
      <c r="E36" s="1" t="s">
        <v>37</v>
      </c>
    </row>
    <row r="37" spans="2:5" ht="14.25" customHeight="1" x14ac:dyDescent="0.35">
      <c r="B37" s="1" t="s">
        <v>64</v>
      </c>
      <c r="C37" s="1"/>
      <c r="D37" s="1">
        <f ca="1">1/D36</f>
        <v>8.0645161290322578E-3</v>
      </c>
      <c r="E37" s="1" t="s">
        <v>65</v>
      </c>
    </row>
    <row r="38" spans="2:5" ht="14.25" customHeight="1" x14ac:dyDescent="0.35">
      <c r="B38" s="1" t="s">
        <v>66</v>
      </c>
      <c r="C38" s="1"/>
      <c r="D38" s="1">
        <f ca="1">MAX(D33/D35,1)</f>
        <v>513622.6926369142</v>
      </c>
      <c r="E38" s="1" t="s">
        <v>58</v>
      </c>
    </row>
    <row r="39" spans="2:5" ht="14.25" customHeight="1" x14ac:dyDescent="0.35">
      <c r="B39" s="1" t="s">
        <v>67</v>
      </c>
      <c r="D39" s="1">
        <f ca="1">LOG10(D38)</f>
        <v>5.7106442032797951</v>
      </c>
      <c r="E39" s="1" t="s">
        <v>56</v>
      </c>
    </row>
    <row r="40" spans="2:5" ht="14.25" customHeight="1" x14ac:dyDescent="0.35">
      <c r="B40" s="1" t="s">
        <v>68</v>
      </c>
      <c r="C40" s="1"/>
      <c r="D40" s="1">
        <f ca="1">1/(D35*10)</f>
        <v>2.1136899625920066E-7</v>
      </c>
      <c r="E40" s="1" t="s">
        <v>65</v>
      </c>
    </row>
    <row r="41" spans="2:5" ht="14.25" customHeight="1" x14ac:dyDescent="0.35">
      <c r="B41" s="1" t="s">
        <v>69</v>
      </c>
      <c r="C41" s="1"/>
      <c r="D41" s="1">
        <f>INT(36*10)</f>
        <v>360</v>
      </c>
      <c r="E41" s="1" t="s">
        <v>70</v>
      </c>
    </row>
    <row r="42" spans="2:5" ht="14.25" customHeight="1" x14ac:dyDescent="0.35">
      <c r="B42" s="1" t="s">
        <v>71</v>
      </c>
      <c r="C42" s="1"/>
      <c r="D42" s="1">
        <f ca="1">EXP((GAMMALN(D49*D41)+GAMMALN(D33)-GAMMALN((D49*D41)+D33))-(GAMMALN(D49*(D41-1))+GAMMALN(D33)-GAMMALN((D49*(D41-1))+D33)))</f>
        <v>1.4788053811649369E-9</v>
      </c>
      <c r="E42" s="1" t="s">
        <v>65</v>
      </c>
    </row>
    <row r="43" spans="2:5" ht="14.25" customHeight="1" x14ac:dyDescent="0.35">
      <c r="B43" s="1" t="s">
        <v>72</v>
      </c>
      <c r="C43" s="1"/>
      <c r="D43" s="1">
        <f ca="1">(IFERROR(1+_xll.RiskBinomial(D33,D40,_xll.RiskName("Quantity of Virus in an Aliquot")),1+_xll.RiskPoisson(D33*D40)))</f>
        <v>51200</v>
      </c>
      <c r="E43" s="1" t="s">
        <v>60</v>
      </c>
    </row>
    <row r="44" spans="2:5" ht="14.25" customHeight="1" x14ac:dyDescent="0.35">
      <c r="B44" s="1" t="s">
        <v>73</v>
      </c>
      <c r="C44" s="1"/>
      <c r="D44" s="1">
        <f ca="1">IF(D43&gt;(10^D28),1,0)</f>
        <v>1</v>
      </c>
      <c r="E44" s="1" t="s">
        <v>65</v>
      </c>
    </row>
    <row r="45" spans="2:5" ht="14.25" customHeight="1" x14ac:dyDescent="0.35">
      <c r="B45" s="2" t="s">
        <v>74</v>
      </c>
      <c r="C45" s="1"/>
      <c r="D45" s="1">
        <f ca="1">MAX(D34-D106,0)</f>
        <v>11.244971818089256</v>
      </c>
      <c r="E45" s="1" t="s">
        <v>53</v>
      </c>
    </row>
    <row r="46" spans="2:5" ht="14.25" customHeight="1" x14ac:dyDescent="0.35">
      <c r="B46" s="1" t="s">
        <v>75</v>
      </c>
      <c r="C46" s="1"/>
      <c r="D46" s="1">
        <f ca="1">INT(10^D45)</f>
        <v>175780954380</v>
      </c>
      <c r="E46" s="1" t="s">
        <v>60</v>
      </c>
    </row>
    <row r="47" spans="2:5" ht="14.25" customHeight="1" x14ac:dyDescent="0.35">
      <c r="B47" s="1" t="s">
        <v>76</v>
      </c>
      <c r="C47" s="1"/>
      <c r="D47" s="1">
        <f ca="1">(IFERROR(1+_xll.RiskBinomial(D46,D37,_xll.RiskName("Quantity of Virus in Gallon")),1+_xll.RiskPoisson(D46*D37)))</f>
        <v>1417541099</v>
      </c>
      <c r="E47" s="1" t="s">
        <v>60</v>
      </c>
    </row>
    <row r="48" spans="2:5" ht="14.25" customHeight="1" x14ac:dyDescent="0.35">
      <c r="B48" s="1" t="s">
        <v>77</v>
      </c>
      <c r="C48" s="1"/>
      <c r="D48" s="1">
        <f ca="1">LOG10(D47)</f>
        <v>9.1515356593181423</v>
      </c>
      <c r="E48" s="1" t="s">
        <v>53</v>
      </c>
    </row>
    <row r="49" spans="1:6" ht="14.25" customHeight="1" x14ac:dyDescent="0.35">
      <c r="B49" s="1" t="s">
        <v>78</v>
      </c>
      <c r="C49" s="1"/>
      <c r="D49" s="1">
        <v>1</v>
      </c>
      <c r="E49" s="1" t="s">
        <v>65</v>
      </c>
      <c r="F49" t="s">
        <v>211</v>
      </c>
    </row>
    <row r="50" spans="1:6" ht="14.25" customHeight="1" x14ac:dyDescent="0.35">
      <c r="B50" s="1" t="s">
        <v>79</v>
      </c>
      <c r="C50" s="1"/>
      <c r="D50" s="1">
        <f ca="1">EXP((GAMMALN(D49*D36)+GAMMALN(D46)-GAMMALN((D49*D36)+D46))-(GAMMALN(D49*(D36-1))+GAMMALN(D46)-GAMMALN((D49*(D36-1))+D46)))</f>
        <v>6.9990386572149028E-10</v>
      </c>
      <c r="E50" s="1" t="s">
        <v>65</v>
      </c>
    </row>
    <row r="51" spans="1:6" ht="14.25" customHeight="1" x14ac:dyDescent="0.35">
      <c r="B51" s="1"/>
      <c r="C51" s="1"/>
      <c r="D51" s="1"/>
      <c r="E51" s="1"/>
    </row>
    <row r="52" spans="1:6" ht="14.25" customHeight="1" x14ac:dyDescent="0.35">
      <c r="A52" t="s">
        <v>151</v>
      </c>
      <c r="B52" s="11" t="s">
        <v>157</v>
      </c>
      <c r="C52" s="11" t="s">
        <v>158</v>
      </c>
      <c r="D52" s="1" cm="1">
        <f t="array" aca="1" ref="D52" ca="1">_xll.RiskUniform(0.167,0.5,_xll.RiskName("duration_lag_retail"),_xll.RiskCollect())</f>
        <v>0.32988347665296092</v>
      </c>
      <c r="E52" s="11" t="s">
        <v>163</v>
      </c>
      <c r="F52" t="s">
        <v>213</v>
      </c>
    </row>
    <row r="53" spans="1:6" ht="14.25" customHeight="1" x14ac:dyDescent="0.35">
      <c r="A53" t="s">
        <v>150</v>
      </c>
      <c r="B53" s="11" t="s">
        <v>159</v>
      </c>
      <c r="C53" s="11" t="s">
        <v>160</v>
      </c>
      <c r="D53" s="1" cm="1">
        <f t="array" aca="1" ref="D53" ca="1">_xll.RiskUniform(2.2,4.4,_xll.RiskName("temp_lag_retail"),_xll.RiskCollect())</f>
        <v>2.2336709828074137</v>
      </c>
      <c r="E53" s="11" t="s">
        <v>108</v>
      </c>
      <c r="F53" t="s">
        <v>213</v>
      </c>
    </row>
    <row r="54" spans="1:6" ht="14.25" customHeight="1" x14ac:dyDescent="0.35">
      <c r="B54" t="s">
        <v>161</v>
      </c>
      <c r="C54" s="1"/>
      <c r="D54" s="1">
        <f ca="1">0.0596*EXP(0.0993*D53)</f>
        <v>7.4400235165754197E-2</v>
      </c>
      <c r="E54" s="1" t="s">
        <v>140</v>
      </c>
      <c r="F54" t="s">
        <v>212</v>
      </c>
    </row>
    <row r="55" spans="1:6" ht="14.25" customHeight="1" x14ac:dyDescent="0.35">
      <c r="B55" t="s">
        <v>167</v>
      </c>
      <c r="C55" s="1"/>
      <c r="D55" s="1">
        <f ca="1">MAX(D48-(D52*D54),0)</f>
        <v>9.1269922510778656</v>
      </c>
      <c r="E55" t="s">
        <v>53</v>
      </c>
    </row>
    <row r="56" spans="1:6" ht="14.25" customHeight="1" x14ac:dyDescent="0.35">
      <c r="B56" s="11" t="s">
        <v>164</v>
      </c>
      <c r="C56" s="11" t="s">
        <v>168</v>
      </c>
      <c r="D56" s="1" cm="1">
        <f t="array" aca="1" ref="D56" ca="1">_xll.RiskTriang(0.0716,0.0889,0.247,_xll.RiskName("duration_transport_retail"),_xll.RiskCollect())</f>
        <v>0.10879423935561146</v>
      </c>
      <c r="E56" s="11" t="s">
        <v>163</v>
      </c>
      <c r="F56" t="s">
        <v>213</v>
      </c>
    </row>
    <row r="57" spans="1:6" ht="14.25" customHeight="1" x14ac:dyDescent="0.35">
      <c r="B57" s="11" t="s">
        <v>165</v>
      </c>
      <c r="C57" s="11" t="s">
        <v>169</v>
      </c>
      <c r="D57" s="1" cm="1">
        <f t="array" aca="1" ref="D57" ca="1">_xll.RiskTriang(3.6,6.5,10.9,_xll.RiskName("temp_transport_retail"),_xll.RiskCollect())</f>
        <v>7.1929376941984788</v>
      </c>
      <c r="E57" s="11" t="s">
        <v>108</v>
      </c>
      <c r="F57" t="s">
        <v>213</v>
      </c>
    </row>
    <row r="58" spans="1:6" ht="14.25" customHeight="1" x14ac:dyDescent="0.35">
      <c r="B58" t="s">
        <v>166</v>
      </c>
      <c r="C58" s="1"/>
      <c r="D58" s="1">
        <f ca="1">0.0596*EXP(0.0993*D57)</f>
        <v>0.12174324612343795</v>
      </c>
      <c r="E58" t="s">
        <v>140</v>
      </c>
      <c r="F58" t="s">
        <v>212</v>
      </c>
    </row>
    <row r="59" spans="1:6" ht="14.25" customHeight="1" x14ac:dyDescent="0.35">
      <c r="B59" t="s">
        <v>162</v>
      </c>
      <c r="C59" s="1"/>
      <c r="D59" s="1">
        <f ca="1">MAX(D55-(D56*D58),0)</f>
        <v>9.1137472872191836</v>
      </c>
      <c r="E59" t="s">
        <v>53</v>
      </c>
    </row>
    <row r="60" spans="1:6" ht="14.25" customHeight="1" x14ac:dyDescent="0.35">
      <c r="B60" s="11" t="s">
        <v>170</v>
      </c>
      <c r="C60" s="11" t="s">
        <v>121</v>
      </c>
      <c r="D60" s="1" cm="1">
        <f t="array" aca="1" ref="D60" ca="1">_xll.RiskUniform(1,7,_xll.RiskName("duration_storage_retail"),_xll.RiskCollect())</f>
        <v>4.5773889517639637</v>
      </c>
      <c r="E60" s="11" t="s">
        <v>163</v>
      </c>
      <c r="F60" t="s">
        <v>213</v>
      </c>
    </row>
    <row r="61" spans="1:6" ht="14.25" customHeight="1" x14ac:dyDescent="0.35">
      <c r="B61" s="11" t="s">
        <v>171</v>
      </c>
      <c r="C61" s="11" t="s">
        <v>122</v>
      </c>
      <c r="D61" s="1" cm="1">
        <f t="array" aca="1" ref="D61" ca="1">_xll.RiskTriang(-6.1787,4.4444,14.473,_xll.RiskTruncate(0,),_xll.RiskName("temp_storage_retail"),_xll.RiskCollect())</f>
        <v>4.1123850892657172</v>
      </c>
      <c r="E61" s="11" t="s">
        <v>108</v>
      </c>
      <c r="F61" t="s">
        <v>213</v>
      </c>
    </row>
    <row r="62" spans="1:6" ht="14.25" customHeight="1" x14ac:dyDescent="0.35">
      <c r="B62" t="s">
        <v>172</v>
      </c>
      <c r="C62" s="1"/>
      <c r="D62" s="1">
        <f ca="1">0.0596*EXP(0.0993*D61)</f>
        <v>8.9659163898226368E-2</v>
      </c>
      <c r="E62" t="s">
        <v>140</v>
      </c>
      <c r="F62" t="s">
        <v>212</v>
      </c>
    </row>
    <row r="63" spans="1:6" ht="14.25" customHeight="1" x14ac:dyDescent="0.35">
      <c r="B63" t="s">
        <v>173</v>
      </c>
      <c r="C63" s="1"/>
      <c r="D63" s="1">
        <f ca="1">MAX(D59-(D60*D62),0)</f>
        <v>8.7033424209670471</v>
      </c>
      <c r="E63" t="s">
        <v>53</v>
      </c>
    </row>
    <row r="64" spans="1:6" ht="14.25" customHeight="1" x14ac:dyDescent="0.35">
      <c r="B64" t="s">
        <v>174</v>
      </c>
      <c r="C64" s="1"/>
      <c r="D64" t="s">
        <v>175</v>
      </c>
      <c r="E64" s="1"/>
    </row>
    <row r="65" spans="2:7" ht="14.25" customHeight="1" x14ac:dyDescent="0.35">
      <c r="B65" t="s">
        <v>176</v>
      </c>
      <c r="C65" s="1"/>
      <c r="D65">
        <f ca="1">(D61+D109)/2</f>
        <v>6.3791815195891672</v>
      </c>
      <c r="E65" t="s">
        <v>108</v>
      </c>
      <c r="F65" t="s">
        <v>213</v>
      </c>
    </row>
    <row r="66" spans="2:7" ht="14.25" customHeight="1" x14ac:dyDescent="0.35">
      <c r="B66" t="s">
        <v>179</v>
      </c>
      <c r="C66" s="1"/>
      <c r="D66" t="s">
        <v>175</v>
      </c>
      <c r="E66" s="1"/>
    </row>
    <row r="67" spans="2:7" ht="14.25" customHeight="1" x14ac:dyDescent="0.35">
      <c r="B67" t="s">
        <v>177</v>
      </c>
      <c r="C67" s="1"/>
      <c r="D67" s="1">
        <f ca="1">0.0596*EXP(0.0993*D65)</f>
        <v>0.11229263754139732</v>
      </c>
      <c r="E67" t="s">
        <v>140</v>
      </c>
      <c r="F67" t="s">
        <v>212</v>
      </c>
    </row>
    <row r="68" spans="2:7" ht="14.25" customHeight="1" x14ac:dyDescent="0.35">
      <c r="B68" t="s">
        <v>178</v>
      </c>
      <c r="C68" s="1"/>
      <c r="D68" s="1">
        <f ca="1">MAX(D63-(D111*D67),0)</f>
        <v>8.7002559418944543</v>
      </c>
      <c r="E68" t="s">
        <v>53</v>
      </c>
    </row>
    <row r="69" spans="2:7" ht="14.25" customHeight="1" x14ac:dyDescent="0.35">
      <c r="B69" t="s">
        <v>180</v>
      </c>
      <c r="C69" s="1"/>
      <c r="D69" t="s">
        <v>175</v>
      </c>
      <c r="E69" s="1"/>
    </row>
    <row r="70" spans="2:7" ht="14.25" customHeight="1" x14ac:dyDescent="0.35">
      <c r="B70" t="s">
        <v>181</v>
      </c>
      <c r="C70" s="1"/>
      <c r="D70" t="s">
        <v>175</v>
      </c>
      <c r="E70" s="1"/>
    </row>
    <row r="71" spans="2:7" ht="14.25" customHeight="1" x14ac:dyDescent="0.35">
      <c r="B71" t="s">
        <v>182</v>
      </c>
      <c r="C71" s="1"/>
      <c r="D71" s="1">
        <f ca="1">0.0596*EXP(0.0993*D114)</f>
        <v>6.7159953110305579E-2</v>
      </c>
      <c r="E71" s="1" t="s">
        <v>140</v>
      </c>
      <c r="F71" t="s">
        <v>212</v>
      </c>
    </row>
    <row r="72" spans="2:7" ht="14.25" customHeight="1" x14ac:dyDescent="0.35">
      <c r="B72" t="s">
        <v>183</v>
      </c>
      <c r="C72" s="1"/>
      <c r="D72" s="1">
        <f ca="1">MAX(D68-(D113*D71),0)</f>
        <v>8.5331521750088228</v>
      </c>
      <c r="E72" t="s">
        <v>53</v>
      </c>
    </row>
    <row r="73" spans="2:7" ht="14.25" customHeight="1" x14ac:dyDescent="0.35">
      <c r="B73" t="s">
        <v>184</v>
      </c>
      <c r="C73" s="1"/>
      <c r="D73" s="1">
        <f ca="1">10^D72</f>
        <v>341312485.16942269</v>
      </c>
      <c r="E73" t="s">
        <v>60</v>
      </c>
    </row>
    <row r="74" spans="2:7" ht="14.25" customHeight="1" x14ac:dyDescent="0.35">
      <c r="B74" t="s">
        <v>185</v>
      </c>
      <c r="C74" s="1"/>
      <c r="D74" s="1">
        <f>1/16</f>
        <v>6.25E-2</v>
      </c>
      <c r="E74" t="s">
        <v>65</v>
      </c>
    </row>
    <row r="75" spans="2:7" ht="14.25" customHeight="1" x14ac:dyDescent="0.35">
      <c r="B75" t="s">
        <v>186</v>
      </c>
      <c r="C75" s="1"/>
      <c r="D75" s="1">
        <f ca="1">(IFERROR(_xll.RiskBinomial(D73,D74,_xll.RiskName("Quantity of Virus in Serving"))+1,_xll.RiskPoisson(D73*D74)+1))</f>
        <v>21333134</v>
      </c>
      <c r="E75" t="s">
        <v>60</v>
      </c>
    </row>
    <row r="76" spans="2:7" ht="14.25" customHeight="1" x14ac:dyDescent="0.35">
      <c r="B76" t="s">
        <v>86</v>
      </c>
      <c r="C76" s="1"/>
      <c r="D76" s="1">
        <f ca="1">EXP((GAMMALN(D49*D24)+GAMMALN(D73)-GAMMALN((D49*D24)+D73))-(GAMMALN(D49*(D24-1))+GAMMALN(D73)-GAMMALN((D49*(D24-1))+D73)))</f>
        <v>4.3947988587163531E-8</v>
      </c>
      <c r="E76" t="s">
        <v>65</v>
      </c>
    </row>
    <row r="77" spans="2:7" ht="14.25" customHeight="1" x14ac:dyDescent="0.35">
      <c r="B77" s="1"/>
      <c r="C77" s="1"/>
      <c r="D77" s="1"/>
      <c r="E77" s="1"/>
    </row>
    <row r="78" spans="2:7" ht="14.25" customHeight="1" x14ac:dyDescent="0.35">
      <c r="B78" s="1" t="s">
        <v>93</v>
      </c>
      <c r="C78" s="1"/>
      <c r="D78" s="1">
        <f ca="1">1-EXP(-D75*D105)</f>
        <v>0.19211159288072233</v>
      </c>
      <c r="E78" t="s">
        <v>65</v>
      </c>
    </row>
    <row r="79" spans="2:7" ht="14.25" customHeight="1" x14ac:dyDescent="0.35">
      <c r="B79" s="1" t="s">
        <v>94</v>
      </c>
      <c r="C79" s="1"/>
      <c r="D79" s="1">
        <f>IF(D122=1,1-D42,1)</f>
        <v>1</v>
      </c>
      <c r="E79" t="s">
        <v>65</v>
      </c>
    </row>
    <row r="80" spans="2:7" ht="14.25" customHeight="1" x14ac:dyDescent="0.35">
      <c r="B80" s="11" t="s">
        <v>141</v>
      </c>
      <c r="C80" s="10" t="s">
        <v>194</v>
      </c>
      <c r="D80" s="1" cm="1">
        <f t="array" aca="1" ref="D80" ca="1">_xll.RiskPert(0.00080321,0.00080321,0.23623,_xll.RiskName("us_prevalence"),_xll.RiskCollect())</f>
        <v>2.22047002143369E-2</v>
      </c>
      <c r="E80" s="11" t="s">
        <v>65</v>
      </c>
      <c r="F80" t="s">
        <v>216</v>
      </c>
      <c r="G80" t="s">
        <v>217</v>
      </c>
    </row>
    <row r="81" spans="2:6" ht="14.25" customHeight="1" x14ac:dyDescent="0.35">
      <c r="B81" s="1" t="s">
        <v>95</v>
      </c>
      <c r="C81" s="1"/>
      <c r="D81" s="1">
        <f>IF(D122=1,(D44*(1-D25))+((1-D44)*D26),1)</f>
        <v>1</v>
      </c>
      <c r="E81" t="s">
        <v>65</v>
      </c>
    </row>
    <row r="82" spans="2:6" ht="14.25" customHeight="1" x14ac:dyDescent="0.35">
      <c r="B82" s="1" t="s">
        <v>96</v>
      </c>
      <c r="C82" s="1"/>
      <c r="D82" s="1">
        <f ca="1">IF(D50&gt;1,1,1-D50)</f>
        <v>0.99999999930009609</v>
      </c>
      <c r="E82" t="s">
        <v>65</v>
      </c>
    </row>
    <row r="83" spans="2:6" ht="14.25" customHeight="1" x14ac:dyDescent="0.35">
      <c r="B83" s="1" t="s">
        <v>97</v>
      </c>
      <c r="C83" s="1"/>
      <c r="D83" s="1">
        <f ca="1">1-D76</f>
        <v>0.99999995605201142</v>
      </c>
      <c r="E83" t="s">
        <v>65</v>
      </c>
    </row>
    <row r="84" spans="2:6" ht="14.25" customHeight="1" x14ac:dyDescent="0.35">
      <c r="B84" s="1" t="s">
        <v>98</v>
      </c>
      <c r="C84" s="1"/>
      <c r="D84" s="1">
        <f ca="1">D79*D80*D81*D82</f>
        <v>2.2204700198795745E-2</v>
      </c>
      <c r="E84" t="s">
        <v>65</v>
      </c>
    </row>
    <row r="85" spans="2:6" ht="14.25" customHeight="1" x14ac:dyDescent="0.35">
      <c r="B85" s="5" t="s">
        <v>99</v>
      </c>
      <c r="C85" s="1" t="s">
        <v>201</v>
      </c>
      <c r="D85" s="1" cm="1">
        <f t="array" aca="1" ref="D85" ca="1">_xll.RiskOutput("prevalence_virus_serving_retail")+D84*D83</f>
        <v>2.2204699222943835E-2</v>
      </c>
      <c r="E85" t="s">
        <v>65</v>
      </c>
    </row>
    <row r="86" spans="2:6" ht="14.25" customHeight="1" x14ac:dyDescent="0.35">
      <c r="B86" s="5" t="s">
        <v>127</v>
      </c>
      <c r="C86" s="1" t="s">
        <v>202</v>
      </c>
      <c r="D86" s="1" cm="1">
        <f t="array" aca="1" ref="D86" ca="1">_xll.RiskOutput("quant_virus_serving_log_retail")+LOG10(D75)</f>
        <v>7.3290546613062011</v>
      </c>
      <c r="E86" t="s">
        <v>53</v>
      </c>
    </row>
    <row r="87" spans="2:6" ht="14.25" customHeight="1" x14ac:dyDescent="0.35">
      <c r="B87" s="5" t="s">
        <v>100</v>
      </c>
      <c r="C87" s="1" t="s">
        <v>203</v>
      </c>
      <c r="D87" s="1" cm="1">
        <f t="array" aca="1" ref="D87" ca="1">_xll.RiskOutput("p_infection_serving_retail")+D78*D85*(1-D91)*(1-D92)*(1-D93)*(1-D94)*(1-D95)</f>
        <v>4.0607271280867167E-3</v>
      </c>
      <c r="E87" t="s">
        <v>65</v>
      </c>
    </row>
    <row r="88" spans="2:6" ht="14.25" customHeight="1" x14ac:dyDescent="0.35">
      <c r="B88" s="2" t="s">
        <v>101</v>
      </c>
      <c r="C88" s="3"/>
      <c r="D88" s="6" t="s">
        <v>175</v>
      </c>
      <c r="E88" s="1"/>
    </row>
    <row r="89" spans="2:6" ht="14.25" customHeight="1" x14ac:dyDescent="0.35">
      <c r="B89" s="2" t="s">
        <v>110</v>
      </c>
      <c r="C89" s="3"/>
      <c r="D89" s="6" t="s">
        <v>175</v>
      </c>
      <c r="E89" s="1"/>
    </row>
    <row r="90" spans="2:6" ht="14.25" customHeight="1" x14ac:dyDescent="0.35">
      <c r="B90" s="2" t="s">
        <v>109</v>
      </c>
      <c r="C90" s="3"/>
      <c r="D90" s="6" t="s">
        <v>175</v>
      </c>
      <c r="E90" s="1"/>
    </row>
    <row r="91" spans="2:6" ht="14.25" customHeight="1" x14ac:dyDescent="0.35">
      <c r="B91" s="6" t="s">
        <v>187</v>
      </c>
      <c r="C91" s="1"/>
      <c r="D91" s="1">
        <f ca="1">(EXP(D134+(D136*D52*24)+(D53*D135)))/(1+(EXP(D134+(D136*D52*24)+(D53*D135))))</f>
        <v>1.7195265895176032E-5</v>
      </c>
      <c r="E91" s="1" t="s">
        <v>65</v>
      </c>
      <c r="F91" t="s">
        <v>214</v>
      </c>
    </row>
    <row r="92" spans="2:6" ht="14.25" customHeight="1" x14ac:dyDescent="0.35">
      <c r="B92" s="6" t="s">
        <v>188</v>
      </c>
      <c r="C92" s="1"/>
      <c r="D92" s="1">
        <f ca="1">(EXP(D134+(D136*D56*24)+(D57*D135)))/(1+(EXP(D134+(D136*D56*24)+(D57*D135))))</f>
        <v>1.4391065480399143E-4</v>
      </c>
      <c r="E92" s="1" t="s">
        <v>65</v>
      </c>
      <c r="F92" t="s">
        <v>214</v>
      </c>
    </row>
    <row r="93" spans="2:6" ht="14.25" customHeight="1" x14ac:dyDescent="0.35">
      <c r="B93" s="6" t="s">
        <v>189</v>
      </c>
      <c r="C93" s="1"/>
      <c r="D93" s="1">
        <f ca="1">(EXP(D134+(D136*D60*24)+(D61*D135)))/(1+(EXP(D134+(D136*D60*24)+(D61*D135))))</f>
        <v>4.7489297613209358E-2</v>
      </c>
      <c r="E93" s="1" t="s">
        <v>65</v>
      </c>
      <c r="F93" t="s">
        <v>214</v>
      </c>
    </row>
    <row r="94" spans="2:6" ht="14.25" customHeight="1" x14ac:dyDescent="0.35">
      <c r="B94" s="6" t="s">
        <v>190</v>
      </c>
      <c r="C94" s="1"/>
      <c r="D94" s="1">
        <f ca="1">(EXP(D134+(D136*D111*24)+(D65*D135)))/(1+(EXP(D134+(D136*D111*24)+(D65*D135))))</f>
        <v>8.3599354657355279E-5</v>
      </c>
      <c r="E94" t="s">
        <v>65</v>
      </c>
      <c r="F94" t="s">
        <v>214</v>
      </c>
    </row>
    <row r="95" spans="2:6" ht="14.25" customHeight="1" x14ac:dyDescent="0.35">
      <c r="B95" s="6" t="s">
        <v>191</v>
      </c>
      <c r="C95" s="1"/>
      <c r="D95" s="1">
        <f ca="1">(EXP(D134+(D136*D113*24)+(D114*D135)))/(1+(EXP(D134+(D136*D113*24)+(D114*D135))))</f>
        <v>3.6430555639328175E-4</v>
      </c>
      <c r="E95" t="s">
        <v>65</v>
      </c>
      <c r="F95" t="s">
        <v>214</v>
      </c>
    </row>
    <row r="96" spans="2:6" ht="14.25" customHeight="1" x14ac:dyDescent="0.35">
      <c r="B96" s="1"/>
      <c r="C96" s="1"/>
      <c r="D96" s="1"/>
      <c r="E96" s="1"/>
    </row>
    <row r="97" spans="1:6" ht="14.25" customHeight="1" x14ac:dyDescent="0.35">
      <c r="B97" s="1"/>
      <c r="C97" s="1"/>
      <c r="D97" s="1"/>
      <c r="E97" s="1"/>
    </row>
    <row r="98" spans="1:6" ht="14.25" customHeight="1" x14ac:dyDescent="0.35">
      <c r="A98" t="s">
        <v>149</v>
      </c>
      <c r="B98" s="1"/>
      <c r="C98" s="1"/>
      <c r="D98" s="1"/>
      <c r="E98" s="1"/>
    </row>
    <row r="99" spans="1:6" ht="14.25" customHeight="1" x14ac:dyDescent="0.35">
      <c r="A99" t="s">
        <v>150</v>
      </c>
      <c r="B99" s="11" t="s">
        <v>153</v>
      </c>
      <c r="C99" s="11" t="s">
        <v>152</v>
      </c>
      <c r="D99" s="1" cm="1">
        <f t="array" aca="1" ref="D99" ca="1">_xll.RiskUniform(1,7,_xll.RiskName("duration_storage_farmstore"),_xll.RiskCollect())</f>
        <v>1.4726599739544552</v>
      </c>
      <c r="E99" s="11" t="s">
        <v>163</v>
      </c>
      <c r="F99" t="s">
        <v>213</v>
      </c>
    </row>
    <row r="100" spans="1:6" ht="14.25" customHeight="1" x14ac:dyDescent="0.35">
      <c r="B100" s="11" t="s">
        <v>154</v>
      </c>
      <c r="C100" s="11" t="s">
        <v>155</v>
      </c>
      <c r="D100" s="1" cm="1">
        <f t="array" aca="1" ref="D100" ca="1">_xll.RiskTriang(-6.1787,4.4444,14.473,_xll.RiskTruncate(0,),_xll.RiskCollect(),_xll.RiskName("temp_storage_farmstore"))</f>
        <v>8.645363310553293</v>
      </c>
      <c r="E100" s="11" t="s">
        <v>108</v>
      </c>
      <c r="F100" t="s">
        <v>213</v>
      </c>
    </row>
    <row r="101" spans="1:6" ht="14.25" customHeight="1" x14ac:dyDescent="0.35">
      <c r="B101" t="s">
        <v>107</v>
      </c>
      <c r="C101" s="1"/>
      <c r="D101" s="1">
        <f ca="1">MAX(D48-(D99*D106),0)</f>
        <v>8.9444338670450438</v>
      </c>
      <c r="E101" t="s">
        <v>53</v>
      </c>
    </row>
    <row r="102" spans="1:6" ht="14" customHeight="1" x14ac:dyDescent="0.35">
      <c r="B102" s="1"/>
      <c r="C102" s="1"/>
      <c r="D102" s="1"/>
      <c r="E102" s="1"/>
    </row>
    <row r="103" spans="1:6" ht="14.25" customHeight="1" x14ac:dyDescent="0.35"/>
    <row r="104" spans="1:6" ht="14.25" customHeight="1" x14ac:dyDescent="0.35">
      <c r="B104" s="1" t="s">
        <v>80</v>
      </c>
      <c r="D104" s="1" t="s">
        <v>81</v>
      </c>
    </row>
    <row r="105" spans="1:6" ht="14.25" customHeight="1" x14ac:dyDescent="0.35">
      <c r="B105" s="13" t="s">
        <v>123</v>
      </c>
      <c r="C105" s="13" t="s">
        <v>124</v>
      </c>
      <c r="D105" s="14">
        <v>1E-8</v>
      </c>
      <c r="F105" t="s">
        <v>215</v>
      </c>
    </row>
    <row r="106" spans="1:6" ht="14.25" customHeight="1" x14ac:dyDescent="0.35">
      <c r="B106" t="s">
        <v>137</v>
      </c>
      <c r="C106" s="1"/>
      <c r="D106" s="1">
        <f ca="1">0.0596*EXP(0.0993*D100)</f>
        <v>0.14063110014253979</v>
      </c>
      <c r="E106" t="s">
        <v>140</v>
      </c>
      <c r="F106" t="s">
        <v>212</v>
      </c>
    </row>
    <row r="107" spans="1:6" ht="14.25" customHeight="1" x14ac:dyDescent="0.35">
      <c r="B107" t="s">
        <v>138</v>
      </c>
      <c r="C107" s="1"/>
      <c r="D107" s="1">
        <f ca="1">0.0596*EXP(0.0993*D110)</f>
        <v>0.14063539182539514</v>
      </c>
      <c r="E107" t="s">
        <v>140</v>
      </c>
      <c r="F107" t="s">
        <v>212</v>
      </c>
    </row>
    <row r="108" spans="1:6" ht="14.25" customHeight="1" x14ac:dyDescent="0.35">
      <c r="B108" t="s">
        <v>139</v>
      </c>
      <c r="C108" s="1"/>
      <c r="D108" s="1">
        <f ca="1">0.0596*EXP(0.0993*D114)</f>
        <v>6.7159953110305579E-2</v>
      </c>
      <c r="E108" t="s">
        <v>140</v>
      </c>
      <c r="F108" t="s">
        <v>212</v>
      </c>
    </row>
    <row r="109" spans="1:6" ht="14.25" customHeight="1" x14ac:dyDescent="0.35">
      <c r="B109" s="11" t="s">
        <v>135</v>
      </c>
      <c r="C109" s="12" t="s">
        <v>193</v>
      </c>
      <c r="D109" s="1" cm="1">
        <f t="array" aca="1" ref="D109" ca="1">_xll.RiskTriang(-3.3804,8.8889,21.156,_xll.RiskTruncate(0,),_xll.RiskCollect(),_xll.RiskName("temp_home_arrival"))</f>
        <v>8.6459779499126164</v>
      </c>
      <c r="E109" s="11" t="s">
        <v>108</v>
      </c>
      <c r="F109" t="s">
        <v>213</v>
      </c>
    </row>
    <row r="110" spans="1:6" ht="14.25" customHeight="1" x14ac:dyDescent="0.35">
      <c r="B110" t="s">
        <v>134</v>
      </c>
      <c r="D110" s="1">
        <f ca="1">(D100+D109)/2</f>
        <v>8.6456706302329547</v>
      </c>
      <c r="E110" t="s">
        <v>108</v>
      </c>
      <c r="F110" t="s">
        <v>213</v>
      </c>
    </row>
    <row r="111" spans="1:6" ht="14.25" customHeight="1" x14ac:dyDescent="0.35">
      <c r="B111" s="11" t="s">
        <v>132</v>
      </c>
      <c r="C111" s="12" t="s">
        <v>192</v>
      </c>
      <c r="D111" s="1" cm="1">
        <f t="array" aca="1" ref="D111" ca="1">_xll.RiskTriang(0.012,0.0271,0.1731,_xll.RiskName("duration_transport_residence"),_xll.RiskCollect())</f>
        <v>2.7486032389751388E-2</v>
      </c>
      <c r="E111" s="11" t="s">
        <v>163</v>
      </c>
      <c r="F111" t="s">
        <v>213</v>
      </c>
    </row>
    <row r="112" spans="1:6" ht="14.25" customHeight="1" x14ac:dyDescent="0.35">
      <c r="B112" t="s">
        <v>133</v>
      </c>
      <c r="C112" s="1"/>
      <c r="D112" s="1">
        <f ca="1">MAX(D101-(D111*D107),0)</f>
        <v>8.9405683581101858</v>
      </c>
      <c r="E112" t="s">
        <v>53</v>
      </c>
    </row>
    <row r="113" spans="1:6" ht="14.25" customHeight="1" x14ac:dyDescent="0.35">
      <c r="B113" s="11" t="s">
        <v>125</v>
      </c>
      <c r="C113" s="10" t="s">
        <v>126</v>
      </c>
      <c r="D113" s="1" cm="1">
        <f t="array" aca="1" ref="D113" ca="1">_xll.RiskPert(0.5, 2.5, 8.5,_xll.RiskCollect(),_xll.RiskName("duration_storage_residence"))</f>
        <v>2.4881459731095141</v>
      </c>
      <c r="E113" s="11" t="s">
        <v>163</v>
      </c>
      <c r="F113" t="s">
        <v>213</v>
      </c>
    </row>
    <row r="114" spans="1:6" ht="14.25" customHeight="1" x14ac:dyDescent="0.35">
      <c r="B114" s="11" t="s">
        <v>111</v>
      </c>
      <c r="C114" s="12" t="s">
        <v>156</v>
      </c>
      <c r="D114" s="1" cm="1">
        <f t="array" aca="1" ref="D114" ca="1">_xll.RiskTriang(-5.0221,2.7778,17.238,_xll.RiskTruncate(0,),_xll.RiskName("temp_storage_residence"),_xll.RiskCollect())</f>
        <v>1.2026340378539757</v>
      </c>
      <c r="E114" s="11" t="s">
        <v>108</v>
      </c>
      <c r="F114" t="s">
        <v>213</v>
      </c>
    </row>
    <row r="115" spans="1:6" ht="14.25" customHeight="1" x14ac:dyDescent="0.35">
      <c r="B115" s="1" t="s">
        <v>82</v>
      </c>
      <c r="C115" s="1"/>
      <c r="D115" s="1">
        <f>1/16</f>
        <v>6.25E-2</v>
      </c>
      <c r="E115" s="1" t="s">
        <v>65</v>
      </c>
    </row>
    <row r="116" spans="1:6" ht="14.25" customHeight="1" x14ac:dyDescent="0.35">
      <c r="B116" s="1" t="s">
        <v>83</v>
      </c>
      <c r="C116" s="1"/>
      <c r="D116" s="1">
        <f ca="1">MAX(D112-(D113*D108),0)</f>
        <v>8.7734645912245544</v>
      </c>
      <c r="E116" s="1" t="s">
        <v>53</v>
      </c>
    </row>
    <row r="117" spans="1:6" ht="14.25" customHeight="1" x14ac:dyDescent="0.35">
      <c r="B117" s="1" t="s">
        <v>84</v>
      </c>
      <c r="C117" s="1"/>
      <c r="D117" s="1">
        <f ca="1">10^D116</f>
        <v>593559952.2555542</v>
      </c>
      <c r="E117" s="1" t="s">
        <v>60</v>
      </c>
    </row>
    <row r="118" spans="1:6" ht="14.25" customHeight="1" x14ac:dyDescent="0.35">
      <c r="B118" s="1" t="s">
        <v>85</v>
      </c>
      <c r="C118" s="1"/>
      <c r="D118" s="1">
        <f ca="1">(IFERROR(_xll.RiskBinomial(D117,D115,_xll.RiskName("Quantity of Virus in Serving"))+1,_xll.RiskPoisson(D117*D115)+1))</f>
        <v>37088778</v>
      </c>
      <c r="E118" s="1" t="s">
        <v>60</v>
      </c>
    </row>
    <row r="119" spans="1:6" ht="14.25" customHeight="1" x14ac:dyDescent="0.35">
      <c r="B119" s="1" t="s">
        <v>86</v>
      </c>
      <c r="C119" s="1"/>
      <c r="D119" s="1">
        <f ca="1">EXP((GAMMALN(D49*D24)+GAMMALN(D117)-GAMMALN((D49*D24)+D117))-(GAMMALN(D49*(D24-1))+GAMMALN(D117)-GAMMALN((D49*(D24-1))+D117)))</f>
        <v>2.5271285894307322E-8</v>
      </c>
      <c r="E119" s="1" t="s">
        <v>65</v>
      </c>
    </row>
    <row r="120" spans="1:6" ht="14.25" customHeight="1" x14ac:dyDescent="0.35"/>
    <row r="121" spans="1:6" ht="14.25" customHeight="1" x14ac:dyDescent="0.35">
      <c r="A121" s="1" t="s">
        <v>87</v>
      </c>
      <c r="B121" s="13" t="s">
        <v>88</v>
      </c>
      <c r="C121" s="13"/>
      <c r="D121" s="13">
        <v>0.25</v>
      </c>
      <c r="E121" s="1" t="s">
        <v>89</v>
      </c>
      <c r="F121" t="s">
        <v>197</v>
      </c>
    </row>
    <row r="122" spans="1:6" ht="14.25" customHeight="1" x14ac:dyDescent="0.35">
      <c r="B122" s="13" t="s">
        <v>90</v>
      </c>
      <c r="C122" s="13"/>
      <c r="D122" s="13">
        <v>0</v>
      </c>
      <c r="E122" s="1" t="s">
        <v>91</v>
      </c>
    </row>
    <row r="123" spans="1:6" ht="14.25" customHeight="1" x14ac:dyDescent="0.35"/>
    <row r="124" spans="1:6" ht="14.25" customHeight="1" x14ac:dyDescent="0.35">
      <c r="A124" s="1" t="s">
        <v>92</v>
      </c>
      <c r="B124" s="1" t="s">
        <v>93</v>
      </c>
      <c r="D124" s="1">
        <f ca="1">1-EXP(-D118*D105)</f>
        <v>0.3098786173649517</v>
      </c>
    </row>
    <row r="125" spans="1:6" ht="14.25" customHeight="1" x14ac:dyDescent="0.35">
      <c r="B125" s="1" t="s">
        <v>94</v>
      </c>
      <c r="D125" s="1">
        <f>IF(D122=1,1-D42,1)</f>
        <v>1</v>
      </c>
      <c r="E125" s="1" t="s">
        <v>65</v>
      </c>
    </row>
    <row r="126" spans="1:6" ht="14.25" customHeight="1" x14ac:dyDescent="0.35">
      <c r="B126" t="s">
        <v>141</v>
      </c>
      <c r="D126" s="1">
        <f ca="1">D80</f>
        <v>2.22047002143369E-2</v>
      </c>
      <c r="E126" t="s">
        <v>65</v>
      </c>
    </row>
    <row r="127" spans="1:6" ht="14.25" customHeight="1" x14ac:dyDescent="0.35">
      <c r="B127" s="1" t="s">
        <v>95</v>
      </c>
      <c r="D127" s="1">
        <f>IF(D122=1,(D44*(1-D25))+((1-D44)*D26),1)</f>
        <v>1</v>
      </c>
      <c r="E127" s="1" t="s">
        <v>65</v>
      </c>
    </row>
    <row r="128" spans="1:6" ht="14.25" customHeight="1" x14ac:dyDescent="0.35">
      <c r="B128" s="1" t="s">
        <v>96</v>
      </c>
      <c r="D128" s="1">
        <f ca="1">IF(D50&gt;1,1,1-D50)</f>
        <v>0.99999999930009609</v>
      </c>
      <c r="E128" s="1" t="s">
        <v>65</v>
      </c>
    </row>
    <row r="129" spans="2:7" ht="14.25" customHeight="1" x14ac:dyDescent="0.35">
      <c r="B129" s="1" t="s">
        <v>97</v>
      </c>
      <c r="D129" s="1">
        <f ca="1">1-D119</f>
        <v>0.99999997472871416</v>
      </c>
      <c r="E129" s="1" t="s">
        <v>65</v>
      </c>
    </row>
    <row r="130" spans="2:7" ht="14.25" customHeight="1" x14ac:dyDescent="0.35">
      <c r="B130" s="1" t="s">
        <v>98</v>
      </c>
      <c r="D130" s="1">
        <f ca="1">D125*D127*D128*D126</f>
        <v>2.2204700198795745E-2</v>
      </c>
      <c r="E130" s="1" t="s">
        <v>65</v>
      </c>
    </row>
    <row r="131" spans="2:7" ht="14.25" customHeight="1" x14ac:dyDescent="0.35">
      <c r="B131" s="5" t="s">
        <v>99</v>
      </c>
      <c r="C131" t="s">
        <v>198</v>
      </c>
      <c r="D131" s="1" cm="1">
        <f t="array" aca="1" ref="D131" ca="1">_xll.RiskOutput("prevalence_virus_serving_farmstore")+D130*D129</f>
        <v>2.220469963765442E-2</v>
      </c>
      <c r="E131" s="1" t="s">
        <v>65</v>
      </c>
    </row>
    <row r="132" spans="2:7" ht="14.25" customHeight="1" x14ac:dyDescent="0.35">
      <c r="B132" s="5" t="s">
        <v>127</v>
      </c>
      <c r="C132" t="s">
        <v>199</v>
      </c>
      <c r="D132" s="1" cm="1">
        <f t="array" aca="1" ref="D132" ca="1">_xll.RiskOutput("quant_virus_serving_log_farmstore")+LOG10(D118)</f>
        <v>7.5692425244421271</v>
      </c>
      <c r="E132" t="s">
        <v>53</v>
      </c>
    </row>
    <row r="133" spans="2:7" ht="14.25" customHeight="1" x14ac:dyDescent="0.35">
      <c r="B133" s="5" t="s">
        <v>100</v>
      </c>
      <c r="C133" t="s">
        <v>200</v>
      </c>
      <c r="D133" s="1" cm="1">
        <f t="array" aca="1" ref="D133" ca="1">_xll.RiskOutput("p_infection_serving_farmstore")+D131*D124*(1-D137)*(1-D139)*(1-D138)</f>
        <v>6.8569066481551375E-3</v>
      </c>
      <c r="E133" s="1" t="s">
        <v>65</v>
      </c>
    </row>
    <row r="134" spans="2:7" ht="14.25" customHeight="1" x14ac:dyDescent="0.35">
      <c r="B134" s="2" t="s">
        <v>101</v>
      </c>
      <c r="C134" s="3"/>
      <c r="D134" s="2">
        <v>-12.638500000000001</v>
      </c>
      <c r="E134" s="1" t="s">
        <v>65</v>
      </c>
      <c r="F134" t="s">
        <v>214</v>
      </c>
      <c r="G134" s="8"/>
    </row>
    <row r="135" spans="2:7" ht="14.25" customHeight="1" x14ac:dyDescent="0.35">
      <c r="B135" s="2" t="s">
        <v>110</v>
      </c>
      <c r="C135" s="3"/>
      <c r="D135" s="2">
        <v>0.50219999999999998</v>
      </c>
      <c r="E135" s="1" t="s">
        <v>65</v>
      </c>
      <c r="F135" t="s">
        <v>214</v>
      </c>
    </row>
    <row r="136" spans="2:7" ht="14.25" customHeight="1" x14ac:dyDescent="0.35">
      <c r="B136" s="2" t="s">
        <v>109</v>
      </c>
      <c r="C136" s="3"/>
      <c r="D136" s="2">
        <v>6.8949999999999997E-2</v>
      </c>
      <c r="E136" s="1" t="s">
        <v>65</v>
      </c>
      <c r="F136" t="s">
        <v>214</v>
      </c>
    </row>
    <row r="137" spans="2:7" ht="14.25" customHeight="1" x14ac:dyDescent="0.35">
      <c r="B137" s="2" t="s">
        <v>189</v>
      </c>
      <c r="C137" s="3"/>
      <c r="D137" s="2">
        <f ca="1">(EXP(D134+(D136*D99*24)+(D100*D135)))/(1+(EXP(D134+(D136*D99*24)+(D100*D135))))</f>
        <v>2.8435885237263676E-3</v>
      </c>
      <c r="E137" t="s">
        <v>65</v>
      </c>
      <c r="F137" t="s">
        <v>214</v>
      </c>
    </row>
    <row r="138" spans="2:7" ht="14.25" customHeight="1" x14ac:dyDescent="0.35">
      <c r="B138" s="2" t="s">
        <v>136</v>
      </c>
      <c r="C138" s="3"/>
      <c r="D138" s="2">
        <f ca="1">(EXP(D134+(D136*D111*24)+(D110*D135)))/(1+(EXP(D134+(D136*D111*24)+(D110*D135))))</f>
        <v>2.6088750871420998E-4</v>
      </c>
      <c r="E138" t="s">
        <v>65</v>
      </c>
      <c r="F138" t="s">
        <v>214</v>
      </c>
    </row>
    <row r="139" spans="2:7" ht="14.25" customHeight="1" x14ac:dyDescent="0.35">
      <c r="B139" s="2" t="s">
        <v>102</v>
      </c>
      <c r="C139" s="3"/>
      <c r="D139" s="4">
        <f ca="1">(EXP(D134+(D136*D113*24)+(D114*D135)))/(1+(EXP(D134+(D136*D113*24)+(D114*D135))))</f>
        <v>3.6430555639328175E-4</v>
      </c>
      <c r="E139" t="s">
        <v>65</v>
      </c>
      <c r="F139" t="s">
        <v>214</v>
      </c>
    </row>
    <row r="140" spans="2:7" ht="14.25" customHeight="1" x14ac:dyDescent="0.35">
      <c r="C140" s="3"/>
      <c r="D140" s="2"/>
      <c r="E140" s="1"/>
    </row>
    <row r="141" spans="2:7" ht="14.25" customHeight="1" x14ac:dyDescent="0.35"/>
    <row r="142" spans="2:7" ht="14.25" customHeight="1" x14ac:dyDescent="0.35"/>
    <row r="143" spans="2:7" ht="14.25" customHeight="1" x14ac:dyDescent="0.35"/>
    <row r="144" spans="2:7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  <row r="1042" ht="14.25" customHeight="1" x14ac:dyDescent="0.35"/>
    <row r="1043" ht="14.25" customHeight="1" x14ac:dyDescent="0.35"/>
    <row r="1044" ht="14.25" customHeight="1" x14ac:dyDescent="0.35"/>
    <row r="1045" ht="14.25" customHeight="1" x14ac:dyDescent="0.35"/>
    <row r="1046" ht="14.25" customHeight="1" x14ac:dyDescent="0.35"/>
    <row r="1047" ht="14.25" customHeight="1" x14ac:dyDescent="0.35"/>
    <row r="1048" ht="14.25" customHeight="1" x14ac:dyDescent="0.35"/>
    <row r="1049" ht="14.25" customHeight="1" x14ac:dyDescent="0.35"/>
    <row r="1050" ht="14.25" customHeight="1" x14ac:dyDescent="0.35"/>
    <row r="1051" ht="14.25" customHeight="1" x14ac:dyDescent="0.35"/>
    <row r="1052" ht="14.25" customHeight="1" x14ac:dyDescent="0.35"/>
    <row r="1053" ht="14.25" customHeight="1" x14ac:dyDescent="0.35"/>
    <row r="1054" ht="14.25" customHeight="1" x14ac:dyDescent="0.35"/>
    <row r="1055" ht="14.25" customHeight="1" x14ac:dyDescent="0.35"/>
    <row r="1056" ht="14.25" customHeight="1" x14ac:dyDescent="0.35"/>
  </sheetData>
  <phoneticPr fontId="8" type="noConversion"/>
  <conditionalFormatting sqref="D6:D7 D12:D13 D31 D43 D47 D52:D53 D56:D57 D60:D61 D75 D80 D85:D87 D99:D100 D109 D111 D113:D114 D118 D131:D133">
    <cfRule type="expression" dxfId="2" priority="1" stopIfTrue="1">
      <formula>RiskColorCellsSimOutput</formula>
    </cfRule>
    <cfRule type="expression" dxfId="1" priority="2" stopIfTrue="1">
      <formula>RiskColorCellsSimInput</formula>
    </cfRule>
    <cfRule type="expression" dxfId="0" priority="3" stopIfTrue="1">
      <formula>RiskColorCellsSimStatistics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RiskSerializationData8</vt:lpstr>
      <vt:lpstr>model</vt:lpstr>
      <vt:lpstr>RiskSerializationData8!BrowseRecords</vt:lpstr>
      <vt:lpstr>RiskSerializationData8!DistributionRecords</vt:lpstr>
      <vt:lpstr>RiskSerializationData8!SerializationHeader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Jeune Koebel</dc:creator>
  <cp:lastModifiedBy>Katherine Jeune Koebel</cp:lastModifiedBy>
  <dcterms:created xsi:type="dcterms:W3CDTF">2024-07-06T13:36:18Z</dcterms:created>
  <dcterms:modified xsi:type="dcterms:W3CDTF">2024-12-21T02:58:55Z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0x0101004F5C351B805FD6478A9AD3623411F85D</vt:lpwstr>
  </property>
</Properties>
</file>