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643\Box\2019\Postdoc\USDA SCRI project\QMRA_SCRI\"/>
    </mc:Choice>
  </mc:AlternateContent>
  <xr:revisionPtr revIDLastSave="0" documentId="13_ncr:1_{4BA159A1-8BD1-45FB-8C6F-5B9544B3F3A2}" xr6:coauthVersionLast="47" xr6:coauthVersionMax="47" xr10:uidLastSave="{00000000-0000-0000-0000-000000000000}"/>
  <bookViews>
    <workbookView xWindow="28680" yWindow="-75" windowWidth="29040" windowHeight="15840" firstSheet="3" activeTab="3" xr2:uid="{89DF9035-15CD-42E8-841A-14D4880BAED4}"/>
  </bookViews>
  <sheets>
    <sheet name="senseInfo" sheetId="181" state="hidden" r:id="rId1"/>
    <sheet name="_AdvSensInfo_" sheetId="182" state="hidden" r:id="rId2"/>
    <sheet name="RiskSerializationData8" sheetId="1083" state="hidden" r:id="rId3"/>
    <sheet name="Postharvest model" sheetId="703" r:id="rId4"/>
    <sheet name="ro_HiddenInfo" sheetId="222" state="hidden" r:id="rId5"/>
    <sheet name="_PalUtilTempWorksheet" sheetId="221" state="hidden" r:id="rId6"/>
  </sheets>
  <definedNames>
    <definedName name="_AtRisk_FitDataRange_FIT_104F7_C2982" hidden="1">#REF!</definedName>
    <definedName name="_AtRisk_FitDataRange_FIT_10872_15EC3" hidden="1">#REF!</definedName>
    <definedName name="_AtRisk_FitDataRange_FIT_110E0_5D7A2" hidden="1">#REF!</definedName>
    <definedName name="_AtRisk_FitDataRange_FIT_14E7D_CE9E2" hidden="1">#REF!</definedName>
    <definedName name="_AtRisk_FitDataRange_FIT_156C6_B9FDA" hidden="1">#REF!</definedName>
    <definedName name="_AtRisk_FitDataRange_FIT_15F50_3404" hidden="1">#REF!</definedName>
    <definedName name="_AtRisk_FitDataRange_FIT_16A4C_B69D" hidden="1">#REF!</definedName>
    <definedName name="_AtRisk_FitDataRange_FIT_1739F_448DF" hidden="1">#REF!</definedName>
    <definedName name="_AtRisk_FitDataRange_FIT_178C1_C891F" hidden="1">#REF!</definedName>
    <definedName name="_AtRisk_FitDataRange_FIT_1995E_8DC3B" hidden="1">#REF!</definedName>
    <definedName name="_AtRisk_FitDataRange_FIT_1B53E_C0F42" hidden="1">#REF!</definedName>
    <definedName name="_AtRisk_FitDataRange_FIT_1B807_1F05C" hidden="1">#REF!</definedName>
    <definedName name="_AtRisk_FitDataRange_FIT_1BBE_F110A" hidden="1">#REF!</definedName>
    <definedName name="_AtRisk_FitDataRange_FIT_1BC62_496B4" hidden="1">#REF!</definedName>
    <definedName name="_AtRisk_FitDataRange_FIT_1C107_3809A" hidden="1">#REF!</definedName>
    <definedName name="_AtRisk_FitDataRange_FIT_1CEEB_EF942" hidden="1">#REF!</definedName>
    <definedName name="_AtRisk_FitDataRange_FIT_1F42_CF3C8" hidden="1">#REF!</definedName>
    <definedName name="_AtRisk_FitDataRange_FIT_221F2_E3D34" hidden="1">#REF!</definedName>
    <definedName name="_AtRisk_FitDataRange_FIT_24AF8_E1EA3" hidden="1">#REF!</definedName>
    <definedName name="_AtRisk_FitDataRange_FIT_24DEF_E334F" hidden="1">#REF!</definedName>
    <definedName name="_AtRisk_FitDataRange_FIT_25D36_1A283" hidden="1">#REF!</definedName>
    <definedName name="_AtRisk_FitDataRange_FIT_29659_DDCB9" hidden="1">#REF!</definedName>
    <definedName name="_AtRisk_FitDataRange_FIT_2A3FB_7E1B6" hidden="1">#REF!</definedName>
    <definedName name="_AtRisk_FitDataRange_FIT_2BB26_A121C" hidden="1">#REF!</definedName>
    <definedName name="_AtRisk_FitDataRange_FIT_2C7B2_14E" hidden="1">#REF!</definedName>
    <definedName name="_AtRisk_FitDataRange_FIT_2EEE2_3C442" hidden="1">#REF!</definedName>
    <definedName name="_AtRisk_FitDataRange_FIT_3170_BFFEF" hidden="1">#REF!</definedName>
    <definedName name="_AtRisk_FitDataRange_FIT_31B8B_660CB" hidden="1">#REF!</definedName>
    <definedName name="_AtRisk_FitDataRange_FIT_31CDD_DB225" hidden="1">#REF!</definedName>
    <definedName name="_AtRisk_FitDataRange_FIT_32089_6428F" hidden="1">#REF!</definedName>
    <definedName name="_AtRisk_FitDataRange_FIT_323BE_5A96A" hidden="1">#REF!</definedName>
    <definedName name="_AtRisk_FitDataRange_FIT_32B7B_49CA0" hidden="1">#REF!</definedName>
    <definedName name="_AtRisk_FitDataRange_FIT_32CCB_E88C" hidden="1">#REF!</definedName>
    <definedName name="_AtRisk_FitDataRange_FIT_339ED_858BC" hidden="1">#REF!</definedName>
    <definedName name="_AtRisk_FitDataRange_FIT_342F4_88B63" hidden="1">#REF!</definedName>
    <definedName name="_AtRisk_FitDataRange_FIT_3548A_A8FF8" hidden="1">#REF!</definedName>
    <definedName name="_AtRisk_FitDataRange_FIT_360FA_1219F" hidden="1">#REF!</definedName>
    <definedName name="_AtRisk_FitDataRange_FIT_36613_44A4E" hidden="1">#REF!</definedName>
    <definedName name="_AtRisk_FitDataRange_FIT_3808E_82E23" hidden="1">#REF!</definedName>
    <definedName name="_AtRisk_FitDataRange_FIT_38A03_96CE6" hidden="1">#REF!</definedName>
    <definedName name="_AtRisk_FitDataRange_FIT_39EDC_433C6" hidden="1">#REF!</definedName>
    <definedName name="_AtRisk_FitDataRange_FIT_3B423_24EE5" hidden="1">#REF!</definedName>
    <definedName name="_AtRisk_FitDataRange_FIT_3BE01_55077" hidden="1">#REF!</definedName>
    <definedName name="_AtRisk_FitDataRange_FIT_3C94_A72AF" hidden="1">#REF!</definedName>
    <definedName name="_AtRisk_FitDataRange_FIT_3DA5E_48C48" hidden="1">#REF!</definedName>
    <definedName name="_AtRisk_FitDataRange_FIT_3E27B_F1989" hidden="1">#REF!</definedName>
    <definedName name="_AtRisk_FitDataRange_FIT_40493_DBF1D" hidden="1">#REF!</definedName>
    <definedName name="_AtRisk_FitDataRange_FIT_41FFD_2FBB7" hidden="1">#REF!</definedName>
    <definedName name="_AtRisk_FitDataRange_FIT_43AB4_A1B1C" hidden="1">#REF!</definedName>
    <definedName name="_AtRisk_FitDataRange_FIT_44545_DBE9E" hidden="1">#REF!</definedName>
    <definedName name="_AtRisk_FitDataRange_FIT_47153_D8552" hidden="1">#REF!</definedName>
    <definedName name="_AtRisk_FitDataRange_FIT_4D149_A6923" hidden="1">#REF!</definedName>
    <definedName name="_AtRisk_FitDataRange_FIT_4DA35_4B949" hidden="1">#REF!</definedName>
    <definedName name="_AtRisk_FitDataRange_FIT_4DE5F_35D92" hidden="1">#REF!</definedName>
    <definedName name="_AtRisk_FitDataRange_FIT_51616_4589E" hidden="1">#REF!</definedName>
    <definedName name="_AtRisk_FitDataRange_FIT_51857_D3F55" hidden="1">#REF!</definedName>
    <definedName name="_AtRisk_FitDataRange_FIT_55D45_B6047" hidden="1">#REF!</definedName>
    <definedName name="_AtRisk_FitDataRange_FIT_573CF_B718A" hidden="1">#REF!</definedName>
    <definedName name="_AtRisk_FitDataRange_FIT_5849E_9D0E7" hidden="1">#REF!</definedName>
    <definedName name="_AtRisk_FitDataRange_FIT_589AB_E1388" hidden="1">#REF!</definedName>
    <definedName name="_AtRisk_FitDataRange_FIT_5912D_72F99" hidden="1">#REF!</definedName>
    <definedName name="_AtRisk_FitDataRange_FIT_59C9_D2450" hidden="1">#REF!</definedName>
    <definedName name="_AtRisk_FitDataRange_FIT_59D95_4A975" hidden="1">#REF!</definedName>
    <definedName name="_AtRisk_FitDataRange_FIT_5C96F_8944C" hidden="1">#REF!</definedName>
    <definedName name="_AtRisk_FitDataRange_FIT_5F9E9_8DD41" hidden="1">#REF!</definedName>
    <definedName name="_AtRisk_FitDataRange_FIT_61AF8_1FFA6" hidden="1">#REF!</definedName>
    <definedName name="_AtRisk_FitDataRange_FIT_639C1_B4503" hidden="1">#REF!</definedName>
    <definedName name="_AtRisk_FitDataRange_FIT_65249_51176" hidden="1">#REF!</definedName>
    <definedName name="_AtRisk_FitDataRange_FIT_66C8D_74B2B" hidden="1">#REF!</definedName>
    <definedName name="_AtRisk_FitDataRange_FIT_67E9_B9BEF" hidden="1">#REF!</definedName>
    <definedName name="_AtRisk_FitDataRange_FIT_68375_8447F" hidden="1">#REF!</definedName>
    <definedName name="_AtRisk_FitDataRange_FIT_696B3_B22CA" hidden="1">#REF!</definedName>
    <definedName name="_AtRisk_FitDataRange_FIT_69F38_DBB37" hidden="1">#REF!</definedName>
    <definedName name="_AtRisk_FitDataRange_FIT_6AAD2_C8361" hidden="1">#REF!</definedName>
    <definedName name="_AtRisk_FitDataRange_FIT_6C1A2_309EE" hidden="1">#REF!</definedName>
    <definedName name="_AtRisk_FitDataRange_FIT_6D1B3_28832" hidden="1">#REF!</definedName>
    <definedName name="_AtRisk_FitDataRange_FIT_6DDE0_8C643" hidden="1">#REF!</definedName>
    <definedName name="_AtRisk_FitDataRange_FIT_6E083_9C7F4" hidden="1">#REF!</definedName>
    <definedName name="_AtRisk_FitDataRange_FIT_70050_95E0D" hidden="1">#REF!</definedName>
    <definedName name="_AtRisk_FitDataRange_FIT_7251E_4EC8A" hidden="1">#REF!</definedName>
    <definedName name="_AtRisk_FitDataRange_FIT_74A06_2C79B" hidden="1">#REF!</definedName>
    <definedName name="_AtRisk_FitDataRange_FIT_75892_C12C6" hidden="1">#REF!</definedName>
    <definedName name="_AtRisk_FitDataRange_FIT_77CB1_B7FCA" hidden="1">#REF!</definedName>
    <definedName name="_AtRisk_FitDataRange_FIT_78BA2_3C563" hidden="1">#REF!</definedName>
    <definedName name="_AtRisk_FitDataRange_FIT_791E0_E16F0" hidden="1">#REF!</definedName>
    <definedName name="_AtRisk_FitDataRange_FIT_792FB_2873A" hidden="1">#REF!</definedName>
    <definedName name="_AtRisk_FitDataRange_FIT_7E24A_BA280" hidden="1">#REF!</definedName>
    <definedName name="_AtRisk_FitDataRange_FIT_7EB4A_E2D16" hidden="1">#REF!</definedName>
    <definedName name="_AtRisk_FitDataRange_FIT_7FB59_4472A" hidden="1">#REF!</definedName>
    <definedName name="_AtRisk_FitDataRange_FIT_7FE90_A232D" hidden="1">#REF!</definedName>
    <definedName name="_AtRisk_FitDataRange_FIT_82439_6F0" hidden="1">#REF!</definedName>
    <definedName name="_AtRisk_FitDataRange_FIT_830F2_4B9F9" hidden="1">#REF!</definedName>
    <definedName name="_AtRisk_FitDataRange_FIT_83291_EC408" hidden="1">#REF!</definedName>
    <definedName name="_AtRisk_FitDataRange_FIT_832D_DEDD0" hidden="1">#REF!</definedName>
    <definedName name="_AtRisk_FitDataRange_FIT_84ACD_2E8BD" hidden="1">#REF!</definedName>
    <definedName name="_AtRisk_FitDataRange_FIT_84C70_32B5D" hidden="1">#REF!</definedName>
    <definedName name="_AtRisk_FitDataRange_FIT_84EB0_EADAA" hidden="1">#REF!</definedName>
    <definedName name="_AtRisk_FitDataRange_FIT_85C26_4A0CA" hidden="1">#REF!</definedName>
    <definedName name="_AtRisk_FitDataRange_FIT_86361_9E326" hidden="1">#REF!</definedName>
    <definedName name="_AtRisk_FitDataRange_FIT_8722D_D9CC8" hidden="1">#REF!</definedName>
    <definedName name="_AtRisk_FitDataRange_FIT_8884B_42849" hidden="1">#REF!</definedName>
    <definedName name="_AtRisk_FitDataRange_FIT_8A7EC_3E959" hidden="1">#REF!</definedName>
    <definedName name="_AtRisk_FitDataRange_FIT_8A7F6_611E1" hidden="1">#REF!</definedName>
    <definedName name="_AtRisk_FitDataRange_FIT_8ABA5_611CC" hidden="1">#REF!</definedName>
    <definedName name="_AtRisk_FitDataRange_FIT_8C908_4AF16" hidden="1">#REF!</definedName>
    <definedName name="_AtRisk_FitDataRange_FIT_8D10E_3CF39" hidden="1">#REF!</definedName>
    <definedName name="_AtRisk_FitDataRange_FIT_8E087_645EA" hidden="1">#REF!</definedName>
    <definedName name="_AtRisk_FitDataRange_FIT_90152_E1A62" hidden="1">#REF!</definedName>
    <definedName name="_AtRisk_FitDataRange_FIT_908FA_BFF01" hidden="1">#REF!</definedName>
    <definedName name="_AtRisk_FitDataRange_FIT_910C4_73CAF" hidden="1">#REF!</definedName>
    <definedName name="_AtRisk_FitDataRange_FIT_91FDA_49E4A" hidden="1">#REF!</definedName>
    <definedName name="_AtRisk_FitDataRange_FIT_9233F_9A871" hidden="1">#REF!</definedName>
    <definedName name="_AtRisk_FitDataRange_FIT_960F9_D2935" hidden="1">#REF!</definedName>
    <definedName name="_AtRisk_FitDataRange_FIT_99F10_63929" hidden="1">#REF!</definedName>
    <definedName name="_AtRisk_FitDataRange_FIT_9BA05_9BBB5" hidden="1">#REF!</definedName>
    <definedName name="_AtRisk_FitDataRange_FIT_9EFC_20DFF" hidden="1">#REF!</definedName>
    <definedName name="_AtRisk_FitDataRange_FIT_9EFEE_7B00F" hidden="1">#REF!</definedName>
    <definedName name="_AtRisk_FitDataRange_FIT_9F33B_24771" hidden="1">#REF!</definedName>
    <definedName name="_AtRisk_FitDataRange_FIT_9F72E_ED74E" hidden="1">#REF!</definedName>
    <definedName name="_AtRisk_FitDataRange_FIT_9F9FE_DB958" hidden="1">#REF!</definedName>
    <definedName name="_AtRisk_FitDataRange_FIT_A1404_10B2B" hidden="1">#REF!</definedName>
    <definedName name="_AtRisk_FitDataRange_FIT_A181_A8A8C" hidden="1">#REF!</definedName>
    <definedName name="_AtRisk_FitDataRange_FIT_A1889_9B810" hidden="1">#REF!</definedName>
    <definedName name="_AtRisk_FitDataRange_FIT_A8FB9_E7AEF" hidden="1">#REF!</definedName>
    <definedName name="_AtRisk_FitDataRange_FIT_AA162_A1E99" hidden="1">#REF!</definedName>
    <definedName name="_AtRisk_FitDataRange_FIT_AC7BF_B02D5" hidden="1">#REF!</definedName>
    <definedName name="_AtRisk_FitDataRange_FIT_ADAA0_96323" hidden="1">#REF!</definedName>
    <definedName name="_AtRisk_FitDataRange_FIT_AE858_37C5E" hidden="1">#REF!</definedName>
    <definedName name="_AtRisk_FitDataRange_FIT_B0C80_7AD80" hidden="1">#REF!</definedName>
    <definedName name="_AtRisk_FitDataRange_FIT_B1216_5E4A1" hidden="1">#REF!</definedName>
    <definedName name="_AtRisk_FitDataRange_FIT_B1853_2E89E" hidden="1">#REF!</definedName>
    <definedName name="_AtRisk_FitDataRange_FIT_B293_7D8D9" hidden="1">#REF!</definedName>
    <definedName name="_AtRisk_FitDataRange_FIT_B2AA0_91544" hidden="1">#REF!</definedName>
    <definedName name="_AtRisk_FitDataRange_FIT_B35BB_27074" hidden="1">#REF!</definedName>
    <definedName name="_AtRisk_FitDataRange_FIT_B4092_C7266" hidden="1">#REF!</definedName>
    <definedName name="_AtRisk_FitDataRange_FIT_B46DE_363E" hidden="1">#REF!</definedName>
    <definedName name="_AtRisk_FitDataRange_FIT_B9A02_BD1DA" hidden="1">#REF!</definedName>
    <definedName name="_AtRisk_FitDataRange_FIT_BBD3A_17380" hidden="1">#REF!</definedName>
    <definedName name="_AtRisk_FitDataRange_FIT_C0A5F_11567" hidden="1">#REF!</definedName>
    <definedName name="_AtRisk_FitDataRange_FIT_C2B9C_31D93" hidden="1">#REF!</definedName>
    <definedName name="_AtRisk_FitDataRange_FIT_C41C3_CB51A" hidden="1">#REF!</definedName>
    <definedName name="_AtRisk_FitDataRange_FIT_C77C3_9C35A" hidden="1">#REF!</definedName>
    <definedName name="_AtRisk_FitDataRange_FIT_C92D9_E34E2" hidden="1">#REF!</definedName>
    <definedName name="_AtRisk_FitDataRange_FIT_C95FF_7ED15" hidden="1">#REF!</definedName>
    <definedName name="_AtRisk_FitDataRange_FIT_CA4B_494D6" hidden="1">#REF!</definedName>
    <definedName name="_AtRisk_FitDataRange_FIT_D0703_C3A15" hidden="1">#REF!</definedName>
    <definedName name="_AtRisk_FitDataRange_FIT_D6FAB_A3D91" hidden="1">#REF!</definedName>
    <definedName name="_AtRisk_FitDataRange_FIT_D8067_DB00E" hidden="1">#REF!</definedName>
    <definedName name="_AtRisk_FitDataRange_FIT_D9228_7C6B9" hidden="1">#REF!</definedName>
    <definedName name="_AtRisk_FitDataRange_FIT_DCB5D_F4142" hidden="1">#REF!</definedName>
    <definedName name="_AtRisk_FitDataRange_FIT_DDAE4_BBA49" hidden="1">#REF!</definedName>
    <definedName name="_AtRisk_FitDataRange_FIT_DDF9A_A2155" hidden="1">#REF!</definedName>
    <definedName name="_AtRisk_FitDataRange_FIT_DEDE9_19595" hidden="1">#REF!</definedName>
    <definedName name="_AtRisk_FitDataRange_FIT_E0821_53CAF" hidden="1">#REF!</definedName>
    <definedName name="_AtRisk_FitDataRange_FIT_E193A_867F" hidden="1">#REF!</definedName>
    <definedName name="_AtRisk_FitDataRange_FIT_E26AE_C40D5" hidden="1">#REF!</definedName>
    <definedName name="_AtRisk_FitDataRange_FIT_E5167_DD6B9" hidden="1">#REF!</definedName>
    <definedName name="_AtRisk_FitDataRange_FIT_E6B84_EDDCD" hidden="1">#REF!</definedName>
    <definedName name="_AtRisk_FitDataRange_FIT_ED550_5C23F" hidden="1">#REF!</definedName>
    <definedName name="_AtRisk_FitDataRange_FIT_F0D48_CD815" hidden="1">#REF!</definedName>
    <definedName name="_AtRisk_FitDataRange_FIT_F1B41_A7085" hidden="1">#REF!</definedName>
    <definedName name="_AtRisk_FitDataRange_FIT_F313_86691" hidden="1">#REF!</definedName>
    <definedName name="_AtRisk_FitDataRange_FIT_F41C0_9A827" hidden="1">#REF!</definedName>
    <definedName name="_AtRisk_FitDataRange_FIT_FE52_7D81A" hidden="1">#REF!</definedName>
    <definedName name="_AtRisk_ReportsSetting_ReportGraphOptions" hidden="1">"REP:VER:8.5.2GRA:OUT:00INS:00SUM:T00DET:T00SCE:02SC1:33DAT:2|TRUE,.75,1|TRUE,0,.25|TRUE,.9,1SE1:38DAT:3,10,2,.95,5,16,FALSE,0,TRUE,TRUE,TRUESE2:38DAT:3,10,2,.95,5,16,FALSE,0,TRUE,TRUE,TRUETSI:002SDA:FF"</definedName>
    <definedName name="_AtRisk_ReportsSetting_ReportMulitSelections" hidden="1">"REP:VER:8.5.2MUL:OUT:T10INS:T11SUM:T10DET:T12SEN:T11SCE:T11TEM:FSDA:T10"</definedName>
    <definedName name="_AtRisk_ReportsSetting_ReportOptions" hidden="1">"REP:VER:8.5.2OPT:RAP:02RWE:00RLS:04ROT:00RST:00RRT:02AGR:FAFN:109DAT:C:\Users\Ece Bulut\Box\2019\Postdoc\USDA SCRI project\QMRA_SCRI\Report-Lettuce QMRA_v100_PostharvestInput.pdfOGR:T"</definedName>
    <definedName name="_AtRisk_ReportsSetting_ReportSelectedSimulationsDET" hidden="1">"AQA="</definedName>
    <definedName name="_AtRisk_ReportsSetting_ReportSelectedSimulationsINS" hidden="1">"AQA="</definedName>
    <definedName name="_AtRisk_ReportsSetting_ReportSelectedSimulationsOUT" hidden="1">"AQA="</definedName>
    <definedName name="_AtRisk_ReportsSetting_ReportSelectedSimulationsSCE" hidden="1">"AQA="</definedName>
    <definedName name="_AtRisk_ReportsSetting_ReportSelectedSimulationsSDA" hidden="1">"AQA="</definedName>
    <definedName name="_AtRisk_ReportsSetting_ReportSelectedSimulationsSEN" hidden="1">"AQA="</definedName>
    <definedName name="_AtRisk_ReportsSetting_ReportSelectedSimulationsSUM" hidden="1">"AQA="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0.99</definedName>
    <definedName name="_AtRisk_SimSetting_ConvergencePerformMeanTest" hidden="1">FALSE</definedName>
    <definedName name="_AtRisk_SimSetting_ConvergencePerformPercentileTest" hidden="1">TRUE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10</definedName>
    <definedName name="_AtRisk_SimSetting_MultipleCPUManualCount" hidden="1">10</definedName>
    <definedName name="_AtRisk_SimSetting_MultipleCPUMode" hidden="1">1</definedName>
    <definedName name="_AtRisk_SimSetting_MultipleCPUModeV8" hidden="1">1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FALSE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3</definedName>
    <definedName name="_AtRisk_SimSetting_StdRecalcWithoutRiskStaticPercentile" hidden="1">0.99</definedName>
    <definedName name="_Palisade_ReportPreview_PageSettings" hidden="1">"PPK:1DAT:1PGW:3DAT:850PGH:4DAT:1100PGO:1DAT:F"</definedName>
    <definedName name="b">'Postharvest model'!#REF!</definedName>
    <definedName name="BrowseRecords" localSheetId="2">RiskSerializationData8!$6:$6</definedName>
    <definedName name="C_iman">#REF!</definedName>
    <definedName name="C_imanLGMA">#REF!</definedName>
    <definedName name="d">'Postharvest model'!#REF!</definedName>
    <definedName name="ee" hidden="1">NOT(ISERROR(SEARCH("|"&amp;RiskColorCellsFunctionName&amp;"|",RiskColorCellsStatsList)))</definedName>
    <definedName name="f">'Postharvest model'!#REF!</definedName>
    <definedName name="g">'Postharvest model'!#REF!</definedName>
    <definedName name="OptimizationAdjustableCellAddresses" hidden="1">ro_HiddenInfo!$H$16</definedName>
    <definedName name="P_irr">#REF!</definedName>
    <definedName name="P_man">#REF!</definedName>
    <definedName name="Pal_Workbook_GUID" hidden="1">"WECWBRH77QJPKJYQ7BLLPV82"</definedName>
    <definedName name="PR_manureapp">#REF!</definedName>
    <definedName name="RiskAfterRecalcMacro" hidden="1">""</definedName>
    <definedName name="RiskAfterSimMacro" hidden="1">""</definedName>
    <definedName name="riskATSSboxGraph" hidden="1">FALSE</definedName>
    <definedName name="riskATSSincludeSimtables" hidden="1">FALSE</definedName>
    <definedName name="riskATSSinputsGraphs" hidden="1">FALSE</definedName>
    <definedName name="riskATSSoutputStatistic" hidden="1">5</definedName>
    <definedName name="riskATSSpercentChangeGraph" hidden="1">TRUE</definedName>
    <definedName name="riskATSSpercentileGraph" hidden="1">TRUE</definedName>
    <definedName name="riskATSSprintReport" hidden="1">FALSE</definedName>
    <definedName name="riskATSSreportsInActiveBook" hidden="1">FALSE</definedName>
    <definedName name="riskATSSsummaryReport" hidden="1">TRUE</definedName>
    <definedName name="riskATSStornadoGraph" hidden="1">TRUE</definedName>
    <definedName name="RiskBeforeRecalcMacro" hidden="1">""</definedName>
    <definedName name="RiskBeforeSimMacro" hidden="1">""</definedName>
    <definedName name="RiskCollectDistributionSamples" hidden="1">1</definedName>
    <definedName name="RiskFixedSeed" hidden="1">9999</definedName>
    <definedName name="RiskHasSettings" hidden="1">8</definedName>
    <definedName name="RiskIsStatistics" hidden="1">FALSE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electedCell" hidden="1">"$G$29"</definedName>
    <definedName name="RiskSelectedNameCell1" hidden="1">"$C$122"</definedName>
    <definedName name="RiskSimulationResultsStorageLocation" hidden="1">"2"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  <definedName name="SerializationHeader" localSheetId="2">RiskSerializationData8!$A$1:$B$3</definedName>
    <definedName name="t">'Postharvest model'!#REF!</definedName>
    <definedName name="v">'Postharvest model'!#REF!</definedName>
    <definedName name="w" hidden="1">"$C$29"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1083" l="1"/>
  <c r="A6" i="1083"/>
  <c r="E96" i="703" a="1"/>
  <c r="E96" i="703" s="1"/>
  <c r="E97" i="703" a="1"/>
  <c r="E97" i="703" s="1"/>
  <c r="E98" i="703" a="1"/>
  <c r="E98" i="703" s="1"/>
  <c r="E68" i="703" a="1"/>
  <c r="E68" i="703" s="1"/>
  <c r="E51" i="703" a="1"/>
  <c r="E51" i="703" s="1"/>
  <c r="E49" i="703" a="1"/>
  <c r="E49" i="703" s="1"/>
  <c r="E46" i="703" a="1"/>
  <c r="E46" i="703" s="1"/>
  <c r="E47" i="703" a="1"/>
  <c r="E47" i="703" s="1"/>
  <c r="E42" i="703" a="1"/>
  <c r="E42" i="703" s="1"/>
  <c r="E38" i="703"/>
  <c r="E39" i="703"/>
  <c r="E32" i="703"/>
  <c r="E33" i="703" s="1"/>
  <c r="E34" i="703" a="1"/>
  <c r="E34" i="703" s="1"/>
  <c r="E31" i="703" a="1"/>
  <c r="E31" i="703" s="1"/>
  <c r="E10" i="703" a="1"/>
  <c r="E10" i="703" s="1"/>
  <c r="E2" i="703" a="1"/>
  <c r="E2" i="703" s="1"/>
  <c r="E3" i="703" a="1"/>
  <c r="E3" i="703" s="1"/>
  <c r="E5" i="703" a="1"/>
  <c r="E5" i="703" s="1"/>
  <c r="E17" i="703" a="1"/>
  <c r="E17" i="703" s="1"/>
  <c r="E16" i="703" a="1"/>
  <c r="E16" i="703" s="1"/>
  <c r="E18" i="703" s="1"/>
  <c r="E69" i="703"/>
  <c r="E90" i="703"/>
  <c r="E89" i="703"/>
  <c r="E88" i="703"/>
  <c r="E87" i="703"/>
  <c r="E91" i="703"/>
  <c r="E14" i="703"/>
  <c r="E26" i="703"/>
  <c r="E27" i="703" s="1" a="1"/>
  <c r="E27" i="703" s="1"/>
  <c r="E76" i="703"/>
  <c r="E77" i="703"/>
  <c r="D96" i="703"/>
  <c r="D97" i="703"/>
  <c r="D98" i="703"/>
  <c r="B99" i="703" a="1"/>
  <c r="B99" i="703" s="1"/>
  <c r="E86" i="703"/>
  <c r="E61" i="703"/>
  <c r="E62" i="703" a="1"/>
  <c r="E62" i="703" s="1"/>
  <c r="H16" i="222"/>
  <c r="BD16" i="222"/>
  <c r="B1" i="222"/>
  <c r="C2" i="182"/>
  <c r="E11" i="703"/>
  <c r="E9" i="703"/>
  <c r="E28" i="703" a="1"/>
  <c r="E28" i="703" s="1"/>
  <c r="E63" i="703" a="1"/>
  <c r="E63" i="703" s="1"/>
  <c r="E48" i="703" l="1"/>
  <c r="E52" i="703"/>
  <c r="E50" i="703"/>
  <c r="E12" i="703"/>
  <c r="E13" i="703" s="1"/>
  <c r="E19" i="703" s="1"/>
  <c r="E20" i="703" s="1"/>
  <c r="C116" i="703"/>
  <c r="E99" i="703"/>
  <c r="C105" i="703"/>
  <c r="C99" i="703"/>
  <c r="C107" i="703"/>
  <c r="C106" i="703"/>
  <c r="E35" i="703"/>
  <c r="E36" i="703" s="1"/>
  <c r="E40" i="703"/>
  <c r="E53" i="703" l="1"/>
  <c r="B117" i="703"/>
  <c r="C117" i="703" s="1"/>
  <c r="E7" i="703" s="1" a="1"/>
  <c r="E7" i="703" s="1"/>
  <c r="E4" i="703" a="1"/>
  <c r="E4" i="703" s="1"/>
  <c r="E29" i="703" a="1"/>
  <c r="E29" i="703" s="1"/>
  <c r="E30" i="703" s="1"/>
  <c r="E21" i="703"/>
  <c r="E22" i="703" s="1" a="1"/>
  <c r="E22" i="703" s="1"/>
  <c r="E43" i="703"/>
  <c r="E41" i="703"/>
  <c r="E37" i="703" a="1"/>
  <c r="E37" i="703" l="1"/>
  <c r="E6" i="703" a="1"/>
  <c r="E6" i="703" s="1"/>
  <c r="E8" i="703" s="1"/>
  <c r="E44" i="703"/>
  <c r="E45" i="703" l="1"/>
  <c r="E54" i="703" s="1"/>
  <c r="E55" i="703" s="1"/>
  <c r="E64" i="703" l="1" a="1"/>
  <c r="E64" i="703" s="1"/>
  <c r="E65" i="703" s="1"/>
  <c r="E56" i="703"/>
  <c r="E70" i="703" a="1"/>
  <c r="E57" i="703" a="1"/>
  <c r="E57" i="703" l="1"/>
  <c r="E78" i="703" s="1"/>
  <c r="E70" i="703"/>
  <c r="E73" i="703" s="1"/>
  <c r="E79" i="703" a="1"/>
  <c r="E79" i="70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<sst xmlns="http://schemas.openxmlformats.org/spreadsheetml/2006/main" count="499" uniqueCount="418">
  <si>
    <t>ID</t>
  </si>
  <si>
    <t>Description</t>
  </si>
  <si>
    <t>Value/Dist</t>
  </si>
  <si>
    <t>Unit</t>
  </si>
  <si>
    <t>Formula</t>
  </si>
  <si>
    <t>-</t>
  </si>
  <si>
    <t>Processing and Distribution</t>
  </si>
  <si>
    <t>Retail storage</t>
  </si>
  <si>
    <t>Retail storage time</t>
  </si>
  <si>
    <t>Retail storage temperature</t>
  </si>
  <si>
    <t>Retail growth rate</t>
  </si>
  <si>
    <t>Retail die-off rate</t>
  </si>
  <si>
    <t>h</t>
  </si>
  <si>
    <t>°C</t>
  </si>
  <si>
    <t>t_retail</t>
  </si>
  <si>
    <t>T_retail</t>
  </si>
  <si>
    <t>D_retail</t>
  </si>
  <si>
    <t>Transport from retail to home</t>
  </si>
  <si>
    <t>Transportation time</t>
  </si>
  <si>
    <t>Temperature during transportation</t>
  </si>
  <si>
    <t>Transportation growth rate</t>
  </si>
  <si>
    <t>Transportation die-off rate</t>
  </si>
  <si>
    <t>T_home</t>
  </si>
  <si>
    <t>CC_retail</t>
  </si>
  <si>
    <t>C_wash</t>
  </si>
  <si>
    <t>Consumer</t>
  </si>
  <si>
    <t>Home storage</t>
  </si>
  <si>
    <t>Time to first consumption</t>
  </si>
  <si>
    <t>Time to last consumption</t>
  </si>
  <si>
    <t>Home storage time</t>
  </si>
  <si>
    <t>Home storage temperature</t>
  </si>
  <si>
    <t>Home growth rate</t>
  </si>
  <si>
    <t>Home die-off rate</t>
  </si>
  <si>
    <t>t_fcons</t>
  </si>
  <si>
    <t>t_lcons</t>
  </si>
  <si>
    <t>t_home</t>
  </si>
  <si>
    <t>D_home</t>
  </si>
  <si>
    <t>CC_home</t>
  </si>
  <si>
    <t>Consumer washing</t>
  </si>
  <si>
    <t>Ser</t>
  </si>
  <si>
    <t>Serving size</t>
  </si>
  <si>
    <t>Pill</t>
  </si>
  <si>
    <t>Uspop</t>
  </si>
  <si>
    <t>A</t>
  </si>
  <si>
    <t>Np</t>
  </si>
  <si>
    <t>Cold storage time</t>
  </si>
  <si>
    <t>Temperature during cold storage</t>
  </si>
  <si>
    <t>T_harvest</t>
  </si>
  <si>
    <t>Temperature at harvest</t>
  </si>
  <si>
    <t>Temperature after cold storage</t>
  </si>
  <si>
    <t>Cold storage growth rate</t>
  </si>
  <si>
    <t>Min no of cases attributable to leafy vegetables</t>
  </si>
  <si>
    <t>Max no of cases attributable to leafy vegetables</t>
  </si>
  <si>
    <t>Written By Version</t>
  </si>
  <si>
    <t>Serialization Major Version</t>
  </si>
  <si>
    <t>Serialization Minor Version</t>
  </si>
  <si>
    <t>Browse Record</t>
  </si>
  <si>
    <t>Display Mode</t>
  </si>
  <si>
    <t>Sens Graph Type</t>
  </si>
  <si>
    <t>Cond Sens Settings</t>
  </si>
  <si>
    <t>Scenario Settings</t>
  </si>
  <si>
    <t>Selected Scenario</t>
  </si>
  <si>
    <t>Distribution Options</t>
  </si>
  <si>
    <t>Distribution GS</t>
  </si>
  <si>
    <t>Distribution Curves</t>
  </si>
  <si>
    <t>Sens Tornado Options</t>
  </si>
  <si>
    <t>Sens Tornado GS</t>
  </si>
  <si>
    <t>Sens Tornado Curves</t>
  </si>
  <si>
    <t>Scen Tornado Options</t>
  </si>
  <si>
    <t>Scen Tornado GS</t>
  </si>
  <si>
    <t>Scen Tornado Curves</t>
  </si>
  <si>
    <t>Sens Spider Option</t>
  </si>
  <si>
    <t>Sens Spider GS</t>
  </si>
  <si>
    <t>Sens Spider Curves</t>
  </si>
  <si>
    <t>g</t>
  </si>
  <si>
    <t>B</t>
  </si>
  <si>
    <t>P_pack</t>
  </si>
  <si>
    <t>A_pack</t>
  </si>
  <si>
    <t>Ser_pack</t>
  </si>
  <si>
    <t>Number of servings in a package</t>
  </si>
  <si>
    <t xml:space="preserve">Clustering  parameter </t>
  </si>
  <si>
    <t>P_contpack</t>
  </si>
  <si>
    <t>C_pack</t>
  </si>
  <si>
    <t>Serving</t>
  </si>
  <si>
    <t>P_ser</t>
  </si>
  <si>
    <t>P_contser</t>
  </si>
  <si>
    <t>Module</t>
  </si>
  <si>
    <t>Process</t>
  </si>
  <si>
    <t>P_contser_prep</t>
  </si>
  <si>
    <t>Required Version</t>
  </si>
  <si>
    <t>Recommended Version</t>
  </si>
  <si>
    <t>8.2.0</t>
  </si>
  <si>
    <t>Ncase_US</t>
  </si>
  <si>
    <t>Nsc_US</t>
  </si>
  <si>
    <t>Ncsc_US</t>
  </si>
  <si>
    <t>RecommendedVersion</t>
  </si>
  <si>
    <t>RequiredVersion</t>
  </si>
  <si>
    <t>CellToMonitor</t>
  </si>
  <si>
    <t>TrackingStatistic</t>
  </si>
  <si>
    <t>TrackingStatisticPercentile</t>
  </si>
  <si>
    <t>IncludeSimtables</t>
  </si>
  <si>
    <t>IncludedReports</t>
  </si>
  <si>
    <t>ReportDestination</t>
  </si>
  <si>
    <t>NumGroups</t>
  </si>
  <si>
    <t>NumInputs</t>
  </si>
  <si>
    <t>InputType</t>
  </si>
  <si>
    <t>BaseValueIsAuto</t>
  </si>
  <si>
    <t>BaseValue</t>
  </si>
  <si>
    <t>FixDistributionWhenNotStepping</t>
  </si>
  <si>
    <t>VariationMethod</t>
  </si>
  <si>
    <t>NumSteps</t>
  </si>
  <si>
    <t>VariationMinimum</t>
  </si>
  <si>
    <t>VariationMaximum</t>
  </si>
  <si>
    <t>VariationTableRange</t>
  </si>
  <si>
    <t>VariationValues</t>
  </si>
  <si>
    <t>RangesCount</t>
  </si>
  <si>
    <t>Ranges</t>
  </si>
  <si>
    <t>AnalysisNamesCount</t>
  </si>
  <si>
    <t>AnalysisNames</t>
  </si>
  <si>
    <t>AnalysisNamesRange</t>
  </si>
  <si>
    <t>IsDate</t>
  </si>
  <si>
    <t>GroupIndex</t>
  </si>
  <si>
    <t>Cell</t>
  </si>
  <si>
    <t>Enabled</t>
  </si>
  <si>
    <t>DistributionPosition</t>
  </si>
  <si>
    <t>AlternateName</t>
  </si>
  <si>
    <t>UNUSED</t>
  </si>
  <si>
    <t>Method + #Operators(Legacy)</t>
  </si>
  <si>
    <t>Mutation Rate (Legacy)</t>
  </si>
  <si>
    <t>Crossover Rate (Legacy)</t>
  </si>
  <si>
    <t># Time Blocks/All Groups Must Be Present</t>
  </si>
  <si>
    <t>Constraint Range</t>
  </si>
  <si>
    <t>#Ranges</t>
  </si>
  <si>
    <t>Adj. Range</t>
  </si>
  <si>
    <t>Min Val or Range</t>
  </si>
  <si>
    <t>Max Val Or Range</t>
  </si>
  <si>
    <t>Flags</t>
  </si>
  <si>
    <t>Type (Hard/Soft)</t>
  </si>
  <si>
    <t>Entry Mode</t>
  </si>
  <si>
    <t>Left Val Or Range</t>
  </si>
  <si>
    <t>Left Operator</t>
  </si>
  <si>
    <t>Constrained Cells</t>
  </si>
  <si>
    <t>Right Operator</t>
  </si>
  <si>
    <t>Right Val Or Range</t>
  </si>
  <si>
    <t>Penalty Function</t>
  </si>
  <si>
    <t>RO Eval Time (Iter/Sim)</t>
  </si>
  <si>
    <t>RO Statistic to Constrain</t>
  </si>
  <si>
    <t>RO Statistic Parameter</t>
  </si>
  <si>
    <t>Precision (added 6.0)</t>
  </si>
  <si>
    <t>RO Auto Eval Time (added 6.0)</t>
  </si>
  <si>
    <t>Is Disabled</t>
  </si>
  <si>
    <t>Use for EF</t>
  </si>
  <si>
    <t>EF Settings Have Been Defined</t>
  </si>
  <si>
    <t>EF Location of Constraining Values</t>
  </si>
  <si>
    <t>EF Min Constraining Value</t>
  </si>
  <si>
    <t>EF Max Constraining Value</t>
  </si>
  <si>
    <t>EF # of Constraining Values Between Min and Max</t>
  </si>
  <si>
    <t>EF Range with Constraining Values</t>
  </si>
  <si>
    <t>EF # of Constraining Values Listed</t>
  </si>
  <si>
    <t>Formula Conversion Cell (not used in v5)</t>
  </si>
  <si>
    <t>Number Formatting Cell (introduced in v5)</t>
  </si>
  <si>
    <t>Out Stats</t>
  </si>
  <si>
    <t>Mean</t>
  </si>
  <si>
    <t>Std. Dev.</t>
  </si>
  <si>
    <t>Min</t>
  </si>
  <si>
    <t>Max</t>
  </si>
  <si>
    <t>RISKOpt Tag</t>
  </si>
  <si>
    <t># Chromosomes</t>
  </si>
  <si>
    <t># Constraints</t>
  </si>
  <si>
    <t>Compatibility with Old Versions (4 trips pre-v5 versions)</t>
  </si>
  <si>
    <t>Creation Version</t>
  </si>
  <si>
    <t>Last Modified by Version</t>
  </si>
  <si>
    <t>Genetic Algorithm - Discrete Variable Warning Shown</t>
  </si>
  <si>
    <t>ColorOptimizationCells Called</t>
  </si>
  <si>
    <t>Constraint Solver, number of Latin Hypercube stratifications, for reproducing results with Actual Convergence</t>
  </si>
  <si>
    <t>Constraint Solver, total of adjustable cell values, to only pass number of stratifications if model hasn't changed</t>
  </si>
  <si>
    <t>Goal (Cell, Statistic, Parameter), E1: RO Formula to Optimize</t>
  </si>
  <si>
    <t>Goal (Type, Target Value)</t>
  </si>
  <si>
    <t>VERSION 6.0 SETTINGS</t>
  </si>
  <si>
    <t>Optimization Engine</t>
  </si>
  <si>
    <t>Mutation Rate (becoming a single settings for all adjustable cell groups)</t>
  </si>
  <si>
    <t>Crossover Rate (becoming a single settings for all adjustable cell groups)</t>
  </si>
  <si>
    <t>Genetic Operators (becoming a single settings for all adjustable cell groups)</t>
  </si>
  <si>
    <t>Stopping on Projected Convergence (added in version 6; other simulation runtime settings got moved to @RISK)</t>
  </si>
  <si>
    <t>Population Size</t>
  </si>
  <si>
    <t>Seed (Is Auto, Value)</t>
  </si>
  <si>
    <t>Same Seed Each Simulation (this was used in RISKOptimizer version 5 and earlier)</t>
  </si>
  <si>
    <t>Sampling Type (this was used in RISKOptimizer version 5 and earlier)</t>
  </si>
  <si>
    <t>Stop on Errors (before v5: Pause on Errors)</t>
  </si>
  <si>
    <t>Trial Count Stopping (enabled, trial count)</t>
  </si>
  <si>
    <t>Formula Stopping (enabled, formula)</t>
  </si>
  <si>
    <t>Timespan Stopping (enabled, trial count)</t>
  </si>
  <si>
    <t>Progress Stopping (enabled, trial count, max % change, change is percent)</t>
  </si>
  <si>
    <t>Version 8 Settings</t>
  </si>
  <si>
    <t>Optimization Multi-CPU Mode</t>
  </si>
  <si>
    <t>CPU Count</t>
  </si>
  <si>
    <t>EF Stopping Conditions</t>
  </si>
  <si>
    <t>EF Stop on Trials</t>
  </si>
  <si>
    <t>EF Trial Count</t>
  </si>
  <si>
    <t>EF Stop on Time</t>
  </si>
  <si>
    <t>EF Time Duration</t>
  </si>
  <si>
    <t>EF Time Unit</t>
  </si>
  <si>
    <t>EF Stop on Progress</t>
  </si>
  <si>
    <t>EF Trials (Progress)</t>
  </si>
  <si>
    <t>EF Max. Change (Progress)</t>
  </si>
  <si>
    <t>EF Max. Change is Percent (Progress)</t>
  </si>
  <si>
    <t>Sim. Stopping Mode, Tolerance (legacy settings used in v5 and earlier)</t>
  </si>
  <si>
    <t>#Iterations - Sim Stopping (legacy setting used in v5 and earlier))</t>
  </si>
  <si>
    <t>Keep Trial-by-Trial Log (if cell has anything other than False consider True, since Evolver 4 didn't have this setting); this setting no longer used staring with version 6</t>
  </si>
  <si>
    <t>Minimize Excel on Startup</t>
  </si>
  <si>
    <t>Show Excel Recalcs (replaces "Update Display" used before v5)</t>
  </si>
  <si>
    <t>Ev4/RO1: Graph Progress</t>
  </si>
  <si>
    <t>Ev4/RO1: Update Display (replaced by Show Excel Recalcs in v5)</t>
  </si>
  <si>
    <t>MACROS</t>
  </si>
  <si>
    <t>Start (enabled, macro)</t>
  </si>
  <si>
    <t>Before Recalc (enabled, macro), starting with v6 RISKOptimizer uses corresponding @RISK macro</t>
  </si>
  <si>
    <t>After Recalc (enabled, macro), starting with v6 RISKOptimizer uses corresponding @RISK macro</t>
  </si>
  <si>
    <t>After Storage (enabled, macro)</t>
  </si>
  <si>
    <t>Finish (enabled, macro)</t>
  </si>
  <si>
    <t>Macro Before Simulation (enabled, macro), starting with v6, this is legacy setting</t>
  </si>
  <si>
    <t>Macro After Simulation (enabled, macro), starting with v6, this is legacy setting</t>
  </si>
  <si>
    <t>EFFICIENT FRONTIER</t>
  </si>
  <si>
    <t>Analysis Type (Standard vs. Efficient Frontier)</t>
  </si>
  <si>
    <t>EF Item to Constrain</t>
  </si>
  <si>
    <t>EF Constraint Minimum</t>
  </si>
  <si>
    <t>EF Constraint Maximum</t>
  </si>
  <si>
    <t>EF Formula for Dtools</t>
  </si>
  <si>
    <t>1,1,1,1,1,1,1,1,1,1,1</t>
  </si>
  <si>
    <t>1.0.0</t>
  </si>
  <si>
    <t>DEFAULT PARENT SELECTION</t>
  </si>
  <si>
    <t>DEFAULT MUTATION</t>
  </si>
  <si>
    <t>DEFAULT CROSSOVER</t>
  </si>
  <si>
    <t>DEFAULT BACKTRACK</t>
  </si>
  <si>
    <t>ARITHMETIC CROSSOVER</t>
  </si>
  <si>
    <t>HEURISTIC CROSSOVER</t>
  </si>
  <si>
    <t>CAUCHY MUTATION</t>
  </si>
  <si>
    <t>BOUNDARY MUTATION</t>
  </si>
  <si>
    <t>NON-UNIFORM MUTATION</t>
  </si>
  <si>
    <t>LINEAR</t>
  </si>
  <si>
    <t>LOCAL SEARCH</t>
  </si>
  <si>
    <t>cell count</t>
  </si>
  <si>
    <t>Minimum constraint</t>
  </si>
  <si>
    <t>7.0.0</t>
  </si>
  <si>
    <t>person</t>
  </si>
  <si>
    <t>Cold storage die-off rate</t>
  </si>
  <si>
    <t>CC_Selected_agent</t>
  </si>
  <si>
    <t>P_contpack_dist</t>
  </si>
  <si>
    <t>ORDER_x0001_12</t>
  </si>
  <si>
    <t>P0_pack</t>
  </si>
  <si>
    <t>P0_ser</t>
  </si>
  <si>
    <t>C_home</t>
  </si>
  <si>
    <t>C_serH</t>
  </si>
  <si>
    <t>C_serW</t>
  </si>
  <si>
    <t>packages</t>
  </si>
  <si>
    <t>alpha</t>
  </si>
  <si>
    <t>Dose-response parameter alpha</t>
  </si>
  <si>
    <t>beta</t>
  </si>
  <si>
    <t>Dose-response parameter beta</t>
  </si>
  <si>
    <t>Sel_month</t>
  </si>
  <si>
    <t>Select a month for harvest</t>
  </si>
  <si>
    <t>location</t>
  </si>
  <si>
    <t>type_loc</t>
  </si>
  <si>
    <t>f_loc</t>
  </si>
  <si>
    <t>cummulative f_loc</t>
  </si>
  <si>
    <t>sel_month</t>
  </si>
  <si>
    <t>CC: Coastal Region and Central Valley, CA</t>
  </si>
  <si>
    <t>value for iteration</t>
  </si>
  <si>
    <t>Y:Yuma Region, AZ</t>
  </si>
  <si>
    <t>month</t>
  </si>
  <si>
    <t>type_month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</si>
  <si>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</si>
  <si>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</si>
  <si>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</si>
  <si>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</si>
  <si>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</si>
  <si>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</si>
  <si>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</si>
  <si>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</si>
  <si>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</si>
  <si>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</si>
  <si>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</si>
  <si>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</si>
  <si>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C_Lh_f</t>
  </si>
  <si>
    <t>P_Lh_f</t>
  </si>
  <si>
    <t>GorD_home</t>
  </si>
  <si>
    <t>GorD_retail</t>
  </si>
  <si>
    <t>G_home</t>
  </si>
  <si>
    <t>G_retail</t>
  </si>
  <si>
    <t>D_coldst</t>
  </si>
  <si>
    <t>CC_coldst</t>
  </si>
  <si>
    <t>C_endcoldst</t>
  </si>
  <si>
    <t>t_coldst</t>
  </si>
  <si>
    <t>T_endcoldst</t>
  </si>
  <si>
    <t>T_coldst</t>
  </si>
  <si>
    <t>G_coldst</t>
  </si>
  <si>
    <t>t_trnspt</t>
  </si>
  <si>
    <t>T_trnspt</t>
  </si>
  <si>
    <t>G_trnspt</t>
  </si>
  <si>
    <t>D_trnspt</t>
  </si>
  <si>
    <t>GorD_trnspt</t>
  </si>
  <si>
    <t>P_conw</t>
  </si>
  <si>
    <t>CC_conw_prep</t>
  </si>
  <si>
    <t>CC_conw</t>
  </si>
  <si>
    <t>GorD_coldst</t>
  </si>
  <si>
    <t>Sc_clstrb</t>
  </si>
  <si>
    <t>Cluster_parb</t>
  </si>
  <si>
    <t>Cluster_parp</t>
  </si>
  <si>
    <t>Sc_wash</t>
  </si>
  <si>
    <t>CC_ch20</t>
  </si>
  <si>
    <t>T_trhom</t>
  </si>
  <si>
    <t>C_packLog</t>
  </si>
  <si>
    <t>C_washLog</t>
  </si>
  <si>
    <t>C_retailLog</t>
  </si>
  <si>
    <t>C_transportLog</t>
  </si>
  <si>
    <t>C_homeLog</t>
  </si>
  <si>
    <t>CC_trnspt</t>
  </si>
  <si>
    <t>8.6.0</t>
  </si>
  <si>
    <t>Probability non-contaminated serving in contminated package</t>
  </si>
  <si>
    <t>CC_ch30</t>
  </si>
  <si>
    <t>Validation</t>
  </si>
  <si>
    <r>
      <t xml:space="preserve">DR: </t>
    </r>
    <r>
      <rPr>
        <sz val="9"/>
        <color rgb="FF000000"/>
        <rFont val="Calibri"/>
        <family val="2"/>
        <scheme val="minor"/>
      </rPr>
      <t>Desert Region (Imperial), CA</t>
    </r>
  </si>
  <si>
    <t>Cold storage before chlorine wash</t>
  </si>
  <si>
    <t>Chlorine wash</t>
  </si>
  <si>
    <t>Partitioning-pack to servings</t>
  </si>
  <si>
    <t>Partitioning-batch to packages</t>
  </si>
  <si>
    <t>Dose-response</t>
  </si>
  <si>
    <t>th month</t>
  </si>
  <si>
    <t>Green cells: ECO157 concentration</t>
  </si>
  <si>
    <t>Purple cells: ECO157 prevalence</t>
  </si>
  <si>
    <t>Black cells: Scenarios</t>
  </si>
  <si>
    <t>Wash type, 2 if  chlorine alternative , 1 if chlorine (baseline)</t>
  </si>
  <si>
    <t>Presence of clustering in a package, 1 if clustering , 0 if no clustering (baseline)</t>
  </si>
  <si>
    <t>Consumer wash, 1 if some consumer washes, 0 if consumer does not wash (baseline)</t>
  </si>
  <si>
    <t>ECO157 count on romaine batch after cold storate, going to processing</t>
  </si>
  <si>
    <t>ECO157 prevalence in a harvested romaine batch</t>
  </si>
  <si>
    <t>Growth or die off based on cold storage temperature</t>
  </si>
  <si>
    <t xml:space="preserve">Change in ECO157 count during cold storage </t>
  </si>
  <si>
    <t xml:space="preserve">ECO157 count on a contaminated romaine batch after washing </t>
  </si>
  <si>
    <r>
      <t>Log</t>
    </r>
    <r>
      <rPr>
        <vertAlign val="subscript"/>
        <sz val="9"/>
        <color rgb="FF000000"/>
        <rFont val="Calibri"/>
        <family val="2"/>
        <scheme val="minor"/>
      </rPr>
      <t>10</t>
    </r>
    <r>
      <rPr>
        <sz val="9"/>
        <color rgb="FF000000"/>
        <rFont val="Calibri"/>
        <family val="2"/>
        <scheme val="minor"/>
      </rPr>
      <t xml:space="preserve">CFU ECO157 count on a contaminated romaine batch after washing </t>
    </r>
  </si>
  <si>
    <t>CFU/romaine batch</t>
  </si>
  <si>
    <t>Probability a non-contaminated package is partitioned from a contaminated romaine batch</t>
  </si>
  <si>
    <t>unitless</t>
  </si>
  <si>
    <t>Presence of clustering in a batch, 1 if clustering, 0 if no clustering (baseline)</t>
  </si>
  <si>
    <t>Weight of a shredded romaine per pack (8 oz)</t>
  </si>
  <si>
    <t>Number of packages in a romaine batch</t>
  </si>
  <si>
    <t>Distribute ECO157 cells to a package when clustering</t>
  </si>
  <si>
    <t>Proportion of ECO157 cells from contaminated romaine batch in a package</t>
  </si>
  <si>
    <t>Romaine batch size</t>
  </si>
  <si>
    <t>ECO157 count in a contaminated package</t>
  </si>
  <si>
    <r>
      <t>Log</t>
    </r>
    <r>
      <rPr>
        <vertAlign val="subscript"/>
        <sz val="9"/>
        <rFont val="Calibri"/>
        <family val="2"/>
        <scheme val="minor"/>
      </rPr>
      <t>10</t>
    </r>
    <r>
      <rPr>
        <sz val="9"/>
        <rFont val="Calibri"/>
        <family val="2"/>
        <scheme val="minor"/>
      </rPr>
      <t>CFU ECO157 count in a contaminated package</t>
    </r>
  </si>
  <si>
    <r>
      <t>Log</t>
    </r>
    <r>
      <rPr>
        <vertAlign val="subscript"/>
        <sz val="9"/>
        <rFont val="Calibri"/>
        <family val="2"/>
        <scheme val="minor"/>
      </rPr>
      <t>10</t>
    </r>
    <r>
      <rPr>
        <sz val="9"/>
        <rFont val="Calibri"/>
        <family val="2"/>
        <scheme val="minor"/>
      </rPr>
      <t>CFU ECO157 count in a contaminated package after retail storage</t>
    </r>
  </si>
  <si>
    <t xml:space="preserve">Change in ECO157 count during retail storage </t>
  </si>
  <si>
    <r>
      <t>Yellow cells: Change in Log</t>
    </r>
    <r>
      <rPr>
        <vertAlign val="subscript"/>
        <sz val="9"/>
        <color rgb="FF000000"/>
        <rFont val="Calibri"/>
        <family val="2"/>
        <scheme val="minor"/>
      </rPr>
      <t>10</t>
    </r>
    <r>
      <rPr>
        <sz val="9"/>
        <color rgb="FF000000"/>
        <rFont val="Calibri"/>
        <family val="2"/>
        <scheme val="minor"/>
      </rPr>
      <t>CFU ECO157</t>
    </r>
  </si>
  <si>
    <r>
      <t>Log</t>
    </r>
    <r>
      <rPr>
        <vertAlign val="subscript"/>
        <sz val="9"/>
        <color rgb="FF000000"/>
        <rFont val="Calibri"/>
        <family val="2"/>
        <scheme val="minor"/>
      </rPr>
      <t>10</t>
    </r>
    <r>
      <rPr>
        <sz val="9"/>
        <color rgb="FF000000"/>
        <rFont val="Calibri"/>
        <family val="2"/>
        <scheme val="minor"/>
      </rPr>
      <t>CFU/romaine batch</t>
    </r>
  </si>
  <si>
    <r>
      <t>Log</t>
    </r>
    <r>
      <rPr>
        <vertAlign val="subscript"/>
        <sz val="9"/>
        <color rgb="FF000000"/>
        <rFont val="Calibri"/>
        <family val="2"/>
        <scheme val="minor"/>
      </rPr>
      <t>10</t>
    </r>
    <r>
      <rPr>
        <sz val="9"/>
        <color rgb="FF000000"/>
        <rFont val="Calibri"/>
        <family val="2"/>
        <scheme val="minor"/>
      </rPr>
      <t>CFU/h</t>
    </r>
  </si>
  <si>
    <r>
      <t>Log</t>
    </r>
    <r>
      <rPr>
        <vertAlign val="subscript"/>
        <sz val="9"/>
        <color rgb="FF000000"/>
        <rFont val="Calibri"/>
        <family val="2"/>
        <scheme val="minor"/>
      </rPr>
      <t>10</t>
    </r>
    <r>
      <rPr>
        <sz val="9"/>
        <color rgb="FF000000"/>
        <rFont val="Calibri"/>
        <family val="2"/>
        <scheme val="minor"/>
      </rPr>
      <t>CFU/romaine package</t>
    </r>
  </si>
  <si>
    <r>
      <t>Log</t>
    </r>
    <r>
      <rPr>
        <vertAlign val="subscript"/>
        <sz val="9"/>
        <color rgb="FF000000"/>
        <rFont val="Calibri"/>
        <family val="2"/>
        <scheme val="minor"/>
      </rPr>
      <t>10</t>
    </r>
    <r>
      <rPr>
        <sz val="9"/>
        <color rgb="FF000000"/>
        <rFont val="Calibri"/>
        <family val="2"/>
        <scheme val="minor"/>
      </rPr>
      <t>CFU</t>
    </r>
  </si>
  <si>
    <t>Growth or die off based on retail temperature</t>
  </si>
  <si>
    <r>
      <t>Log</t>
    </r>
    <r>
      <rPr>
        <vertAlign val="subscript"/>
        <sz val="9"/>
        <color theme="1"/>
        <rFont val="Calibri"/>
        <family val="2"/>
        <scheme val="minor"/>
      </rPr>
      <t>10</t>
    </r>
    <r>
      <rPr>
        <sz val="9"/>
        <color theme="1"/>
        <rFont val="Calibri"/>
        <family val="2"/>
        <scheme val="minor"/>
      </rPr>
      <t>CFU/romaine package</t>
    </r>
  </si>
  <si>
    <t xml:space="preserve">Package temperature before putting into home refrigerator </t>
  </si>
  <si>
    <t>Growth or die off based on transport temperature</t>
  </si>
  <si>
    <t xml:space="preserve">Change in ECO157 count during transportation </t>
  </si>
  <si>
    <r>
      <t>Log</t>
    </r>
    <r>
      <rPr>
        <vertAlign val="subscript"/>
        <sz val="9"/>
        <rFont val="Calibri"/>
        <family val="2"/>
        <scheme val="minor"/>
      </rPr>
      <t>10</t>
    </r>
    <r>
      <rPr>
        <sz val="9"/>
        <rFont val="Calibri"/>
        <family val="2"/>
        <scheme val="minor"/>
      </rPr>
      <t xml:space="preserve">CFU ECO157 count in a contaminated package after transportation </t>
    </r>
  </si>
  <si>
    <t>Growth or die off based on home storage temperature</t>
  </si>
  <si>
    <t xml:space="preserve">Change in ECO157 count during home storage </t>
  </si>
  <si>
    <r>
      <t>Log</t>
    </r>
    <r>
      <rPr>
        <vertAlign val="subscript"/>
        <sz val="9"/>
        <rFont val="Calibri"/>
        <family val="2"/>
        <scheme val="minor"/>
      </rPr>
      <t>10</t>
    </r>
    <r>
      <rPr>
        <sz val="9"/>
        <rFont val="Calibri"/>
        <family val="2"/>
        <scheme val="minor"/>
      </rPr>
      <t>CFU ECO157 count in a contaminated package after home storage</t>
    </r>
  </si>
  <si>
    <t xml:space="preserve">ECO157 count in a contaminated package after home storage </t>
  </si>
  <si>
    <t>CFU/romaine package</t>
  </si>
  <si>
    <t>Sc_clstrp</t>
  </si>
  <si>
    <t>Distribute ECO157 cells to a serving when clustering</t>
  </si>
  <si>
    <t>Proportion of ECO157 cells from contaminated package in a serving</t>
  </si>
  <si>
    <t>C_serHLog</t>
  </si>
  <si>
    <t xml:space="preserve">ECO157 count in a contaminated serving after home storage </t>
  </si>
  <si>
    <r>
      <t>Log</t>
    </r>
    <r>
      <rPr>
        <vertAlign val="subscript"/>
        <sz val="9"/>
        <rFont val="Calibri"/>
        <family val="2"/>
        <scheme val="minor"/>
      </rPr>
      <t>10</t>
    </r>
    <r>
      <rPr>
        <sz val="9"/>
        <rFont val="Calibri"/>
        <family val="2"/>
        <scheme val="minor"/>
      </rPr>
      <t>CFU ECO157 count in a contaminated serving after home storage</t>
    </r>
  </si>
  <si>
    <t>CFU/romaine serving</t>
  </si>
  <si>
    <t>g romaine/romaine serving</t>
  </si>
  <si>
    <t>romaine servings</t>
  </si>
  <si>
    <r>
      <t>Log</t>
    </r>
    <r>
      <rPr>
        <vertAlign val="subscript"/>
        <sz val="9"/>
        <color theme="1"/>
        <rFont val="Calibri"/>
        <family val="2"/>
        <scheme val="minor"/>
      </rPr>
      <t>10</t>
    </r>
    <r>
      <rPr>
        <sz val="9"/>
        <color theme="1"/>
        <rFont val="Calibri"/>
        <family val="2"/>
        <scheme val="minor"/>
      </rPr>
      <t>CFU/romaine serving</t>
    </r>
  </si>
  <si>
    <t>Sc_ conw</t>
  </si>
  <si>
    <t xml:space="preserve">ECO157 reduction by consumer washing with water prep cell </t>
  </si>
  <si>
    <t>Probability a USA consumer washes the prepacked romaine</t>
  </si>
  <si>
    <t xml:space="preserve">ECO157 count in a contaminated serving after consumer wash </t>
  </si>
  <si>
    <r>
      <t>Log</t>
    </r>
    <r>
      <rPr>
        <vertAlign val="subscript"/>
        <sz val="9"/>
        <color theme="1"/>
        <rFont val="Calibri"/>
        <family val="2"/>
        <scheme val="minor"/>
      </rPr>
      <t>10</t>
    </r>
    <r>
      <rPr>
        <sz val="9"/>
        <color theme="1"/>
        <rFont val="Calibri"/>
        <family val="2"/>
        <scheme val="minor"/>
      </rPr>
      <t>CFU</t>
    </r>
  </si>
  <si>
    <t>g romaine/consumer/year</t>
  </si>
  <si>
    <t xml:space="preserve">Annual romaine consumption in the USA  </t>
  </si>
  <si>
    <t>Probability of illness as a result of consumption of a contaminated romaine serving</t>
  </si>
  <si>
    <t>USA population</t>
  </si>
  <si>
    <t>Number of romaine servings consumed per person per year</t>
  </si>
  <si>
    <t>Total number of servings consumed per year in the USA</t>
  </si>
  <si>
    <t>Number of contaminated romaine servings consumed per year in the USA</t>
  </si>
  <si>
    <t>Number of illness cases per year in the USA due to consumption of contaminated romaine servings</t>
  </si>
  <si>
    <t>mean number of illness cases</t>
  </si>
  <si>
    <t>lower 90%CI</t>
  </si>
  <si>
    <t>upper 90%CI</t>
  </si>
  <si>
    <t xml:space="preserve">Attribution to leafy vegetables min </t>
  </si>
  <si>
    <t xml:space="preserve">Attribution to leafy vegetables max </t>
  </si>
  <si>
    <t>min number of illness cases for leafy vegetable consumption</t>
  </si>
  <si>
    <t>max number of illness cases for leafy vegetable consumption</t>
  </si>
  <si>
    <t>min number of illness cases for leafy vegetable consumption lower 90%CI</t>
  </si>
  <si>
    <t>max number of illness cases for leafy vegetable consumption lower 90%CI</t>
  </si>
  <si>
    <t>min number of illness cases for leafy vegetable consumption upper 90%CI</t>
  </si>
  <si>
    <t>max number of illness cases for leafy vegetable consumption upper 90%CI</t>
  </si>
  <si>
    <t>Overall foodborne illness cases from ECO157 in the USA</t>
  </si>
  <si>
    <r>
      <t>Log</t>
    </r>
    <r>
      <rPr>
        <vertAlign val="subscript"/>
        <sz val="9"/>
        <color rgb="FF000000"/>
        <rFont val="Calibri"/>
        <family val="2"/>
        <scheme val="minor"/>
      </rPr>
      <t>10</t>
    </r>
    <r>
      <rPr>
        <sz val="9"/>
        <color rgb="FF000000"/>
        <rFont val="Calibri"/>
        <family val="2"/>
        <scheme val="minor"/>
      </rPr>
      <t>CFU ECO157 reduction with the agent selected in the washing step</t>
    </r>
  </si>
  <si>
    <r>
      <t>Log</t>
    </r>
    <r>
      <rPr>
        <vertAlign val="subscript"/>
        <sz val="9"/>
        <color rgb="FF000000"/>
        <rFont val="Calibri"/>
        <family val="2"/>
        <scheme val="minor"/>
      </rPr>
      <t>10</t>
    </r>
    <r>
      <rPr>
        <sz val="9"/>
        <color rgb="FF000000"/>
        <rFont val="Calibri"/>
        <family val="2"/>
        <scheme val="minor"/>
      </rPr>
      <t xml:space="preserve">CFU ECO157 reduction by consumer wash with water </t>
    </r>
  </si>
  <si>
    <r>
      <t>Log</t>
    </r>
    <r>
      <rPr>
        <vertAlign val="subscript"/>
        <sz val="9"/>
        <color rgb="FF000000"/>
        <rFont val="Calibri"/>
        <family val="2"/>
        <scheme val="minor"/>
      </rPr>
      <t>10</t>
    </r>
    <r>
      <rPr>
        <sz val="9"/>
        <color rgb="FF000000"/>
        <rFont val="Calibri"/>
        <family val="2"/>
        <scheme val="minor"/>
      </rPr>
      <t>CFU ECO157 reduction with chlorine</t>
    </r>
  </si>
  <si>
    <r>
      <t>Log</t>
    </r>
    <r>
      <rPr>
        <vertAlign val="subscript"/>
        <sz val="9"/>
        <rFont val="Calibri"/>
        <family val="2"/>
        <scheme val="minor"/>
      </rPr>
      <t>10</t>
    </r>
    <r>
      <rPr>
        <sz val="9"/>
        <rFont val="Calibri"/>
        <family val="2"/>
        <scheme val="minor"/>
      </rPr>
      <t>CFU ECO157reduction with chlorine alternative</t>
    </r>
  </si>
  <si>
    <t>romaine serving/consumer/year</t>
  </si>
  <si>
    <t>romaine serving/year</t>
  </si>
  <si>
    <t>GF1_rK0qDwEAEwC8AAwjACcAOgBIAFwAXQBrAHkAlgC4ALIAKwD//wAAAQAAAAEEAAAAAAUjLCMjMAAAAAEITmNhc2VfVVMBAAEBEAACAAEKU3RhdGlzdGljcwMBAQD/AQEBAQEAAQEBAAQAAAABAQEBAQABAQEABAAAAAF9AAIVAAhOY2FzZV9VUwAAAP/cFDwBAAACAAIAngCoAAEBAwGamZmZmZmpPwAAZmZmZmZm7j8AAAUAAQEBAAEBAQA=</t>
  </si>
  <si>
    <r>
      <rPr>
        <i/>
        <sz val="9"/>
        <color rgb="FF000000"/>
        <rFont val="Calibri"/>
        <family val="2"/>
        <scheme val="minor"/>
      </rPr>
      <t>Escherichia coli</t>
    </r>
    <r>
      <rPr>
        <sz val="9"/>
        <color rgb="FF000000"/>
        <rFont val="Calibri"/>
        <family val="2"/>
        <scheme val="minor"/>
      </rPr>
      <t xml:space="preserve"> O157:H7 (ECO157) count in a contaminated harvested romaine batch </t>
    </r>
  </si>
  <si>
    <t>Postharvest model (main) output</t>
  </si>
  <si>
    <t>Select geographic region where the romaine batches were grown</t>
  </si>
  <si>
    <t>Select the month of harvest for the given geographic location</t>
  </si>
  <si>
    <t>Select the temperature at harvest based on location and month of harvest</t>
  </si>
  <si>
    <t>ECO157 prevalence on a romaine package</t>
  </si>
  <si>
    <t>ECO157 prevalence on a romaine serving</t>
  </si>
  <si>
    <t>W_romainepack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</si>
</sst>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4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name val="Calibri"/>
      <family val="2"/>
      <scheme val="minor"/>
    </font>
    <font>
      <i/>
      <sz val="9"/>
      <color rgb="FF000000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9"/>
      <color rgb="FF000000"/>
      <name val="Calibri"/>
      <family val="2"/>
      <scheme val="minor"/>
    </font>
    <font>
      <vertAlign val="subscript"/>
      <sz val="9"/>
      <name val="Calibri"/>
      <family val="2"/>
      <scheme val="minor"/>
    </font>
    <font>
      <vertAlign val="subscript"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sz val="9"/>
      <name val="Aptos Narrow"/>
      <family val="2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0B2E6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rgb="FFB5DAED"/>
        <bgColor indexed="64"/>
      </patternFill>
    </fill>
  </fills>
  <borders count="6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quotePrefix="1" applyAlignment="1">
      <alignment horizontal="left"/>
    </xf>
    <xf numFmtId="0" fontId="0" fillId="5" borderId="0" xfId="0" applyFill="1" applyAlignment="1">
      <alignment horizontal="left"/>
    </xf>
    <xf numFmtId="0" fontId="0" fillId="5" borderId="0" xfId="0" quotePrefix="1" applyFill="1" applyAlignment="1">
      <alignment horizontal="left"/>
    </xf>
    <xf numFmtId="0" fontId="0" fillId="6" borderId="0" xfId="0" applyFill="1" applyAlignment="1">
      <alignment horizontal="left"/>
    </xf>
    <xf numFmtId="2" fontId="2" fillId="0" borderId="0" xfId="0" applyNumberFormat="1" applyFont="1" applyAlignment="1">
      <alignment wrapText="1"/>
    </xf>
    <xf numFmtId="2" fontId="1" fillId="0" borderId="2" xfId="0" applyNumberFormat="1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2" xfId="0" applyFont="1" applyBorder="1" applyAlignment="1">
      <alignment vertical="center"/>
    </xf>
    <xf numFmtId="0" fontId="3" fillId="7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4" fillId="2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4" fillId="2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1" fontId="2" fillId="0" borderId="2" xfId="0" applyNumberFormat="1" applyFont="1" applyBorder="1" applyAlignment="1">
      <alignment vertical="center"/>
    </xf>
    <xf numFmtId="0" fontId="5" fillId="7" borderId="2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/>
    <xf numFmtId="3" fontId="2" fillId="0" borderId="2" xfId="0" applyNumberFormat="1" applyFont="1" applyBorder="1" applyAlignment="1">
      <alignment vertical="center"/>
    </xf>
    <xf numFmtId="0" fontId="2" fillId="7" borderId="2" xfId="0" applyFont="1" applyFill="1" applyBorder="1" applyAlignment="1">
      <alignment vertical="center" wrapText="1"/>
    </xf>
    <xf numFmtId="3" fontId="4" fillId="2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Border="1" applyAlignment="1">
      <alignment vertical="center"/>
    </xf>
    <xf numFmtId="3" fontId="2" fillId="0" borderId="2" xfId="0" applyNumberFormat="1" applyFont="1" applyBorder="1"/>
    <xf numFmtId="164" fontId="2" fillId="0" borderId="0" xfId="0" applyNumberFormat="1" applyFont="1" applyAlignment="1">
      <alignment wrapText="1"/>
    </xf>
    <xf numFmtId="0" fontId="5" fillId="4" borderId="2" xfId="0" applyFont="1" applyFill="1" applyBorder="1" applyAlignment="1">
      <alignment vertical="center"/>
    </xf>
    <xf numFmtId="1" fontId="4" fillId="2" borderId="2" xfId="0" applyNumberFormat="1" applyFont="1" applyFill="1" applyBorder="1" applyAlignment="1">
      <alignment horizontal="center" vertical="center"/>
    </xf>
    <xf numFmtId="1" fontId="2" fillId="7" borderId="2" xfId="0" applyNumberFormat="1" applyFont="1" applyFill="1" applyBorder="1" applyAlignment="1">
      <alignment vertical="center"/>
    </xf>
    <xf numFmtId="1" fontId="5" fillId="7" borderId="2" xfId="0" applyNumberFormat="1" applyFont="1" applyFill="1" applyBorder="1" applyAlignment="1">
      <alignment vertical="center" wrapText="1"/>
    </xf>
    <xf numFmtId="2" fontId="3" fillId="7" borderId="2" xfId="0" applyNumberFormat="1" applyFont="1" applyFill="1" applyBorder="1" applyAlignment="1">
      <alignment vertical="center"/>
    </xf>
    <xf numFmtId="2" fontId="3" fillId="4" borderId="2" xfId="0" applyNumberFormat="1" applyFont="1" applyFill="1" applyBorder="1" applyAlignment="1">
      <alignment vertical="center"/>
    </xf>
    <xf numFmtId="2" fontId="3" fillId="0" borderId="2" xfId="0" applyNumberFormat="1" applyFont="1" applyBorder="1" applyAlignment="1">
      <alignment vertical="center"/>
    </xf>
    <xf numFmtId="3" fontId="3" fillId="0" borderId="2" xfId="0" applyNumberFormat="1" applyFont="1" applyBorder="1" applyAlignment="1">
      <alignment vertical="center"/>
    </xf>
    <xf numFmtId="3" fontId="3" fillId="7" borderId="2" xfId="0" applyNumberFormat="1" applyFont="1" applyFill="1" applyBorder="1" applyAlignment="1">
      <alignment vertical="center"/>
    </xf>
    <xf numFmtId="2" fontId="5" fillId="4" borderId="2" xfId="0" applyNumberFormat="1" applyFont="1" applyFill="1" applyBorder="1" applyAlignment="1">
      <alignment vertical="center"/>
    </xf>
    <xf numFmtId="0" fontId="3" fillId="8" borderId="2" xfId="0" applyFont="1" applyFill="1" applyBorder="1" applyAlignment="1">
      <alignment vertical="center"/>
    </xf>
    <xf numFmtId="2" fontId="3" fillId="8" borderId="2" xfId="0" applyNumberFormat="1" applyFont="1" applyFill="1" applyBorder="1" applyAlignment="1">
      <alignment vertical="center"/>
    </xf>
    <xf numFmtId="1" fontId="5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7" borderId="2" xfId="0" applyNumberFormat="1" applyFont="1" applyFill="1" applyBorder="1" applyAlignment="1">
      <alignment vertical="center"/>
    </xf>
    <xf numFmtId="0" fontId="2" fillId="8" borderId="2" xfId="0" applyFont="1" applyFill="1" applyBorder="1" applyAlignment="1">
      <alignment vertical="center"/>
    </xf>
    <xf numFmtId="2" fontId="2" fillId="8" borderId="2" xfId="0" applyNumberFormat="1" applyFont="1" applyFill="1" applyBorder="1" applyAlignment="1">
      <alignment vertical="center"/>
    </xf>
    <xf numFmtId="0" fontId="11" fillId="0" borderId="2" xfId="0" applyFont="1" applyBorder="1" applyAlignment="1">
      <alignment vertical="center" wrapText="1"/>
    </xf>
    <xf numFmtId="0" fontId="11" fillId="0" borderId="2" xfId="0" applyFont="1" applyBorder="1" applyAlignment="1">
      <alignment vertical="center"/>
    </xf>
    <xf numFmtId="0" fontId="5" fillId="9" borderId="2" xfId="0" applyFont="1" applyFill="1" applyBorder="1" applyAlignment="1">
      <alignment wrapText="1"/>
    </xf>
    <xf numFmtId="0" fontId="2" fillId="9" borderId="2" xfId="0" applyFont="1" applyFill="1" applyBorder="1" applyAlignment="1">
      <alignment wrapText="1"/>
    </xf>
    <xf numFmtId="164" fontId="2" fillId="0" borderId="0" xfId="0" applyNumberFormat="1" applyFont="1"/>
    <xf numFmtId="2" fontId="2" fillId="0" borderId="0" xfId="0" applyNumberFormat="1" applyFont="1" applyAlignment="1">
      <alignment vertical="center" wrapText="1"/>
    </xf>
    <xf numFmtId="0" fontId="2" fillId="4" borderId="2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2" fontId="2" fillId="0" borderId="2" xfId="0" applyNumberFormat="1" applyFont="1" applyBorder="1" applyAlignment="1">
      <alignment vertical="center" wrapText="1"/>
    </xf>
    <xf numFmtId="3" fontId="11" fillId="0" borderId="2" xfId="0" applyNumberFormat="1" applyFont="1" applyBorder="1" applyAlignment="1">
      <alignment vertical="center"/>
    </xf>
    <xf numFmtId="0" fontId="2" fillId="9" borderId="2" xfId="0" applyFont="1" applyFill="1" applyBorder="1" applyAlignment="1">
      <alignment horizontal="left" vertical="center" wrapText="1"/>
    </xf>
    <xf numFmtId="0" fontId="2" fillId="9" borderId="2" xfId="0" applyFont="1" applyFill="1" applyBorder="1" applyAlignment="1">
      <alignment vertical="center" wrapText="1"/>
    </xf>
    <xf numFmtId="2" fontId="2" fillId="0" borderId="2" xfId="0" applyNumberFormat="1" applyFont="1" applyBorder="1" applyAlignment="1">
      <alignment wrapText="1"/>
    </xf>
    <xf numFmtId="1" fontId="2" fillId="0" borderId="2" xfId="0" applyNumberFormat="1" applyFont="1" applyBorder="1"/>
    <xf numFmtId="3" fontId="2" fillId="0" borderId="2" xfId="0" applyNumberFormat="1" applyFont="1" applyBorder="1" applyAlignment="1">
      <alignment wrapText="1"/>
    </xf>
    <xf numFmtId="0" fontId="5" fillId="10" borderId="2" xfId="0" applyFont="1" applyFill="1" applyBorder="1" applyAlignment="1">
      <alignment wrapText="1"/>
    </xf>
    <xf numFmtId="0" fontId="2" fillId="10" borderId="2" xfId="0" applyFont="1" applyFill="1" applyBorder="1"/>
    <xf numFmtId="3" fontId="2" fillId="10" borderId="2" xfId="0" applyNumberFormat="1" applyFont="1" applyFill="1" applyBorder="1"/>
    <xf numFmtId="3" fontId="2" fillId="10" borderId="2" xfId="0" applyNumberFormat="1" applyFont="1" applyFill="1" applyBorder="1" applyAlignment="1">
      <alignment wrapText="1"/>
    </xf>
    <xf numFmtId="0" fontId="2" fillId="10" borderId="2" xfId="0" applyFont="1" applyFill="1" applyBorder="1" applyAlignment="1">
      <alignment wrapText="1"/>
    </xf>
    <xf numFmtId="2" fontId="2" fillId="10" borderId="2" xfId="0" applyNumberFormat="1" applyFont="1" applyFill="1" applyBorder="1"/>
    <xf numFmtId="0" fontId="12" fillId="10" borderId="2" xfId="0" applyFont="1" applyFill="1" applyBorder="1"/>
    <xf numFmtId="3" fontId="12" fillId="10" borderId="2" xfId="0" applyNumberFormat="1" applyFont="1" applyFill="1" applyBorder="1"/>
    <xf numFmtId="3" fontId="5" fillId="10" borderId="2" xfId="0" applyNumberFormat="1" applyFont="1" applyFill="1" applyBorder="1"/>
    <xf numFmtId="0" fontId="5" fillId="9" borderId="2" xfId="0" applyFont="1" applyFill="1" applyBorder="1" applyAlignment="1">
      <alignment horizontal="left" vertical="center" wrapText="1"/>
    </xf>
    <xf numFmtId="0" fontId="13" fillId="9" borderId="2" xfId="0" applyFont="1" applyFill="1" applyBorder="1" applyAlignment="1">
      <alignment horizontal="left" vertical="center" wrapText="1"/>
    </xf>
    <xf numFmtId="0" fontId="2" fillId="9" borderId="3" xfId="0" applyFont="1" applyFill="1" applyBorder="1" applyAlignment="1">
      <alignment horizontal="left" vertical="center" wrapText="1"/>
    </xf>
    <xf numFmtId="0" fontId="2" fillId="9" borderId="4" xfId="0" applyFont="1" applyFill="1" applyBorder="1" applyAlignment="1">
      <alignment horizontal="left" vertical="center" wrapText="1"/>
    </xf>
    <xf numFmtId="0" fontId="2" fillId="9" borderId="5" xfId="0" applyFont="1" applyFill="1" applyBorder="1" applyAlignment="1">
      <alignment horizontal="left" vertical="center" wrapText="1"/>
    </xf>
    <xf numFmtId="0" fontId="5" fillId="9" borderId="3" xfId="0" applyFont="1" applyFill="1" applyBorder="1" applyAlignment="1">
      <alignment horizontal="left" vertical="center" wrapText="1"/>
    </xf>
    <xf numFmtId="0" fontId="5" fillId="9" borderId="4" xfId="0" applyFont="1" applyFill="1" applyBorder="1" applyAlignment="1">
      <alignment horizontal="left" vertical="center" wrapText="1"/>
    </xf>
    <xf numFmtId="0" fontId="5" fillId="9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7">
    <dxf>
      <font>
        <color rgb="FFFFFFFF"/>
      </font>
      <fill>
        <patternFill>
          <bgColor rgb="FF008000"/>
        </patternFill>
      </fill>
    </dxf>
    <dxf>
      <font>
        <color rgb="FFFFFFFF"/>
      </font>
      <fill>
        <patternFill>
          <bgColor rgb="FF0000FF"/>
        </patternFill>
      </fill>
    </dxf>
    <dxf>
      <font>
        <color rgb="FFFFFFFF"/>
      </font>
      <fill>
        <patternFill>
          <bgColor rgb="FFDC143C"/>
        </patternFill>
      </fill>
    </dxf>
    <dxf>
      <font>
        <color rgb="FFFFFFFF"/>
      </font>
      <fill>
        <patternFill>
          <bgColor rgb="FF0000FF"/>
        </patternFill>
      </fill>
    </dxf>
    <dxf>
      <font>
        <color rgb="FFFFFFFF"/>
      </font>
      <fill>
        <patternFill>
          <bgColor rgb="FFDC143C"/>
        </patternFill>
      </fill>
    </dxf>
    <dxf>
      <font>
        <color rgb="FFFFFFFF"/>
      </font>
      <fill>
        <patternFill>
          <bgColor rgb="FF008000"/>
        </patternFill>
      </fill>
    </dxf>
    <dxf>
      <fill>
        <patternFill>
          <bgColor indexed="26"/>
        </patternFill>
      </fill>
    </dxf>
  </dxfs>
  <tableStyles count="0" defaultTableStyle="TableStyleMedium2" defaultPivotStyle="PivotStyleLight16"/>
  <colors>
    <mruColors>
      <color rgb="FFB5DAED"/>
      <color rgb="FFFFD5D5"/>
      <color rgb="FFFFCCCC"/>
      <color rgb="FF97CBE5"/>
      <color rgb="FFD0B2E6"/>
      <color rgb="FF33CC33"/>
      <color rgb="FFFF0000"/>
      <color rgb="FF05CBCB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06B48-1384-45D0-8AC0-23743D2AFB4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0569-4AE7-4A1B-918D-CEB8F8204A8B}">
  <dimension ref="A1:BU6"/>
  <sheetViews>
    <sheetView workbookViewId="0"/>
  </sheetViews>
  <sheetFormatPr defaultRowHeight="15" x14ac:dyDescent="0.25"/>
  <sheetData>
    <row r="1" spans="1:73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</row>
    <row r="2" spans="1:73" x14ac:dyDescent="0.25">
      <c r="A2" t="s">
        <v>91</v>
      </c>
      <c r="B2" t="s">
        <v>91</v>
      </c>
      <c r="C2" t="e">
        <f>#REF!</f>
        <v>#REF!</v>
      </c>
      <c r="D2">
        <v>4</v>
      </c>
      <c r="F2" t="b">
        <v>0</v>
      </c>
      <c r="G2">
        <v>113</v>
      </c>
      <c r="H2">
        <v>2</v>
      </c>
      <c r="I2">
        <v>0</v>
      </c>
      <c r="J2">
        <v>0</v>
      </c>
    </row>
    <row r="4" spans="1:73" x14ac:dyDescent="0.25">
      <c r="A4" t="s">
        <v>105</v>
      </c>
      <c r="B4" t="s">
        <v>106</v>
      </c>
      <c r="C4" t="s">
        <v>107</v>
      </c>
      <c r="D4" t="s">
        <v>108</v>
      </c>
      <c r="E4" t="s">
        <v>109</v>
      </c>
      <c r="F4" t="s">
        <v>110</v>
      </c>
      <c r="G4" t="s">
        <v>111</v>
      </c>
      <c r="H4" t="s">
        <v>112</v>
      </c>
      <c r="I4" t="s">
        <v>113</v>
      </c>
      <c r="J4" t="s">
        <v>114</v>
      </c>
      <c r="AD4" t="s">
        <v>115</v>
      </c>
      <c r="AE4" t="s">
        <v>116</v>
      </c>
      <c r="AY4" t="s">
        <v>117</v>
      </c>
      <c r="AZ4" t="s">
        <v>118</v>
      </c>
      <c r="BT4" t="s">
        <v>119</v>
      </c>
      <c r="BU4" t="s">
        <v>120</v>
      </c>
    </row>
    <row r="6" spans="1:73" x14ac:dyDescent="0.25">
      <c r="A6" t="s">
        <v>121</v>
      </c>
      <c r="B6" t="s">
        <v>122</v>
      </c>
      <c r="C6" t="s">
        <v>123</v>
      </c>
      <c r="D6" t="s">
        <v>124</v>
      </c>
      <c r="E6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3E99B-51CB-4CD9-91A9-D156FB772C3C}">
  <dimension ref="A1:X6"/>
  <sheetViews>
    <sheetView workbookViewId="0"/>
  </sheetViews>
  <sheetFormatPr defaultColWidth="25.7109375" defaultRowHeight="15" x14ac:dyDescent="0.25"/>
  <sheetData>
    <row r="1" spans="1:24" x14ac:dyDescent="0.25">
      <c r="A1" t="s">
        <v>53</v>
      </c>
      <c r="B1" t="s">
        <v>316</v>
      </c>
    </row>
    <row r="2" spans="1:24" x14ac:dyDescent="0.25">
      <c r="A2" t="s">
        <v>54</v>
      </c>
      <c r="B2">
        <v>4</v>
      </c>
    </row>
    <row r="3" spans="1:24" x14ac:dyDescent="0.25">
      <c r="A3" t="s">
        <v>55</v>
      </c>
      <c r="B3">
        <v>0</v>
      </c>
    </row>
    <row r="5" spans="1:24" x14ac:dyDescent="0.25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J5" t="s">
        <v>62</v>
      </c>
      <c r="K5" t="s">
        <v>63</v>
      </c>
      <c r="L5" t="s">
        <v>64</v>
      </c>
      <c r="N5" t="s">
        <v>65</v>
      </c>
      <c r="O5" t="s">
        <v>66</v>
      </c>
      <c r="P5" t="s">
        <v>67</v>
      </c>
      <c r="R5" t="s">
        <v>68</v>
      </c>
      <c r="S5" t="s">
        <v>69</v>
      </c>
      <c r="T5" t="s">
        <v>70</v>
      </c>
      <c r="V5" t="s">
        <v>71</v>
      </c>
      <c r="W5" t="s">
        <v>72</v>
      </c>
      <c r="X5" t="s">
        <v>73</v>
      </c>
    </row>
    <row r="6" spans="1:24" x14ac:dyDescent="0.25">
      <c r="A6" t="e">
        <f ca="1">ModelRef('Postharvest model'!$E$79,1,0,0)</f>
        <v>#NAME?</v>
      </c>
      <c r="B6">
        <v>1</v>
      </c>
      <c r="C6">
        <v>2</v>
      </c>
      <c r="F6">
        <v>0</v>
      </c>
      <c r="J6" t="b">
        <v>1</v>
      </c>
      <c r="K6" t="s">
        <v>409</v>
      </c>
      <c r="L6" t="e">
        <f ca="1">ModelRef('Postharvest model'!$E$79,1,0,0)</f>
        <v>#NAME?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503F-241B-435D-93FE-8D6EC18F32F4}">
  <dimension ref="A1:I124"/>
  <sheetViews>
    <sheetView showGridLines="0" tabSelected="1" topLeftCell="A61" zoomScale="106" zoomScaleNormal="106" workbookViewId="0">
      <selection activeCell="E98" sqref="E98"/>
    </sheetView>
  </sheetViews>
  <sheetFormatPr defaultColWidth="8.85546875" defaultRowHeight="15" customHeight="1" x14ac:dyDescent="0.2"/>
  <cols>
    <col min="1" max="1" width="37.42578125" style="12" customWidth="1"/>
    <col min="2" max="2" width="32.5703125" style="12" bestFit="1" customWidth="1"/>
    <col min="3" max="3" width="19.7109375" style="12" bestFit="1" customWidth="1"/>
    <col min="4" max="4" width="75.42578125" style="13" customWidth="1"/>
    <col min="5" max="5" width="14.140625" style="8" bestFit="1" customWidth="1"/>
    <col min="6" max="6" width="59.5703125" style="12" customWidth="1"/>
    <col min="7" max="7" width="11.140625" style="12" bestFit="1" customWidth="1"/>
    <col min="8" max="8" width="10.42578125" style="12" customWidth="1"/>
    <col min="9" max="9" width="13.140625" style="13" customWidth="1"/>
    <col min="10" max="10" width="13.140625" style="12" customWidth="1"/>
    <col min="11" max="11" width="11.42578125" style="12" customWidth="1"/>
    <col min="12" max="12" width="11.85546875" style="12" customWidth="1"/>
    <col min="13" max="13" width="12.5703125" style="12" bestFit="1" customWidth="1"/>
    <col min="14" max="14" width="15.7109375" style="12" customWidth="1"/>
    <col min="15" max="15" width="17.28515625" style="12" customWidth="1"/>
    <col min="16" max="16" width="12.85546875" style="12" bestFit="1" customWidth="1"/>
    <col min="17" max="17" width="11.140625" style="12" customWidth="1"/>
    <col min="18" max="18" width="12.85546875" style="12" bestFit="1" customWidth="1"/>
    <col min="19" max="19" width="8.85546875" style="12"/>
    <col min="20" max="23" width="14.42578125" style="12" customWidth="1"/>
    <col min="24" max="24" width="12" style="12" bestFit="1" customWidth="1"/>
    <col min="25" max="25" width="10.85546875" style="12" customWidth="1"/>
    <col min="26" max="26" width="11.85546875" style="12" customWidth="1"/>
    <col min="27" max="27" width="14.42578125" style="12" customWidth="1"/>
    <col min="28" max="28" width="14.5703125" style="12" customWidth="1"/>
    <col min="29" max="29" width="12.5703125" style="12" customWidth="1"/>
    <col min="30" max="30" width="8.85546875" style="12"/>
    <col min="31" max="31" width="14.42578125" style="12" customWidth="1"/>
    <col min="32" max="32" width="13.42578125" style="12" customWidth="1"/>
    <col min="33" max="33" width="13.5703125" style="12" customWidth="1"/>
    <col min="34" max="16384" width="8.85546875" style="12"/>
  </cols>
  <sheetData>
    <row r="1" spans="1:8" ht="15" customHeight="1" x14ac:dyDescent="0.2">
      <c r="A1" s="10" t="s">
        <v>86</v>
      </c>
      <c r="B1" s="10" t="s">
        <v>87</v>
      </c>
      <c r="C1" s="10" t="s">
        <v>0</v>
      </c>
      <c r="D1" s="11" t="s">
        <v>1</v>
      </c>
      <c r="E1" s="9" t="s">
        <v>2</v>
      </c>
      <c r="F1" s="10" t="s">
        <v>3</v>
      </c>
      <c r="G1" s="35"/>
    </row>
    <row r="2" spans="1:8" ht="15" customHeight="1" x14ac:dyDescent="0.2">
      <c r="A2" s="14" t="s">
        <v>6</v>
      </c>
      <c r="B2" s="15" t="s">
        <v>327</v>
      </c>
      <c r="C2" s="15" t="s">
        <v>282</v>
      </c>
      <c r="D2" s="15" t="s">
        <v>410</v>
      </c>
      <c r="E2" s="40" t="e" cm="1">
        <f t="array" aca="1" ref="E2" ca="1">_xll.RiskTriang(-0.66183,3.8061,6.3564,_xll.RiskCollect())</f>
        <v>#VALUE!</v>
      </c>
      <c r="F2" s="14" t="s">
        <v>353</v>
      </c>
      <c r="G2" s="35"/>
      <c r="H2" s="35"/>
    </row>
    <row r="3" spans="1:8" ht="15" customHeight="1" x14ac:dyDescent="0.2">
      <c r="A3" s="14"/>
      <c r="B3" s="16" t="s">
        <v>328</v>
      </c>
      <c r="C3" s="36" t="s">
        <v>283</v>
      </c>
      <c r="D3" s="36" t="s">
        <v>334</v>
      </c>
      <c r="E3" s="41" t="e" cm="1">
        <f t="array" aca="1" ref="E3" ca="1">_xll.RiskTriang(0.005,0.01,0.02,_xll.RiskCollect())</f>
        <v>#VALUE!</v>
      </c>
      <c r="F3" s="14" t="s">
        <v>341</v>
      </c>
      <c r="G3" s="35"/>
      <c r="H3" s="35"/>
    </row>
    <row r="4" spans="1:8" ht="15" customHeight="1" x14ac:dyDescent="0.2">
      <c r="A4" s="14"/>
      <c r="B4" s="14"/>
      <c r="C4" s="17" t="s">
        <v>258</v>
      </c>
      <c r="D4" s="14" t="s">
        <v>259</v>
      </c>
      <c r="E4" s="14" t="e" cm="1">
        <f t="array" aca="1" ref="E4" ca="1">_xll.RiskMakeInput(E99,_xll.RiskCollect())</f>
        <v>#VALUE!</v>
      </c>
      <c r="F4" s="14" t="s">
        <v>326</v>
      </c>
      <c r="G4" s="35"/>
      <c r="H4" s="35"/>
    </row>
    <row r="5" spans="1:8" ht="15" customHeight="1" x14ac:dyDescent="0.2">
      <c r="A5" s="14"/>
      <c r="B5" s="14" t="s">
        <v>321</v>
      </c>
      <c r="C5" s="14" t="s">
        <v>291</v>
      </c>
      <c r="D5" s="14" t="s">
        <v>45</v>
      </c>
      <c r="E5" s="42" t="e" cm="1">
        <f t="array" aca="1" ref="E5" ca="1">_xll.RiskTriang(1,24,72,_xll.RiskCollect())</f>
        <v>#VALUE!</v>
      </c>
      <c r="F5" s="14" t="s">
        <v>12</v>
      </c>
      <c r="G5" s="35"/>
      <c r="H5" s="35"/>
    </row>
    <row r="6" spans="1:8" ht="15" customHeight="1" x14ac:dyDescent="0.2">
      <c r="A6" s="14"/>
      <c r="B6" s="14"/>
      <c r="C6" s="14" t="s">
        <v>292</v>
      </c>
      <c r="D6" s="14" t="s">
        <v>49</v>
      </c>
      <c r="E6" s="42" t="e" cm="1">
        <f t="array" aca="1" ref="E6" ca="1">_xll.RiskTriang(0,4.44,E7,_xll.RiskCollect())</f>
        <v>#VALUE!</v>
      </c>
      <c r="F6" s="14" t="s">
        <v>13</v>
      </c>
      <c r="G6" s="35"/>
      <c r="H6" s="35"/>
    </row>
    <row r="7" spans="1:8" ht="15" customHeight="1" x14ac:dyDescent="0.2">
      <c r="A7" s="14"/>
      <c r="B7" s="14"/>
      <c r="C7" s="14" t="s">
        <v>47</v>
      </c>
      <c r="D7" s="14" t="s">
        <v>48</v>
      </c>
      <c r="E7" s="14" t="e" cm="1">
        <f t="array" aca="1" ref="E7" ca="1">_xll.RiskMakeInput(C117,_xll.RiskCollect())</f>
        <v>#VALUE!</v>
      </c>
      <c r="F7" s="14" t="s">
        <v>13</v>
      </c>
      <c r="G7" s="35"/>
      <c r="H7" s="35"/>
    </row>
    <row r="8" spans="1:8" ht="15" customHeight="1" x14ac:dyDescent="0.2">
      <c r="A8" s="14"/>
      <c r="B8" s="14"/>
      <c r="C8" s="14" t="s">
        <v>293</v>
      </c>
      <c r="D8" s="14" t="s">
        <v>46</v>
      </c>
      <c r="E8" s="58" t="e">
        <f ca="1">1/2*(E7+E6)</f>
        <v>#VALUE!</v>
      </c>
      <c r="F8" s="14" t="s">
        <v>13</v>
      </c>
      <c r="G8" s="35"/>
      <c r="H8" s="35"/>
    </row>
    <row r="9" spans="1:8" ht="15" customHeight="1" x14ac:dyDescent="0.2">
      <c r="A9" s="14"/>
      <c r="B9" s="14"/>
      <c r="C9" s="14" t="s">
        <v>294</v>
      </c>
      <c r="D9" s="14" t="s">
        <v>50</v>
      </c>
      <c r="E9" s="42">
        <f>(0.023*(G8-1.2))^2/2.303</f>
        <v>3.3076856274424666E-4</v>
      </c>
      <c r="F9" s="14" t="s">
        <v>354</v>
      </c>
      <c r="G9" s="35"/>
      <c r="H9" s="35"/>
    </row>
    <row r="10" spans="1:8" ht="15" customHeight="1" x14ac:dyDescent="0.2">
      <c r="A10" s="14"/>
      <c r="B10" s="14"/>
      <c r="C10" s="14" t="s">
        <v>288</v>
      </c>
      <c r="D10" s="14" t="s">
        <v>244</v>
      </c>
      <c r="E10" s="42" t="e" cm="1">
        <f t="array" aca="1" ref="E10" ca="1">_xll.RiskMakeInput(_xll.RiskLognorm(0.013,0.001,_xll.RiskShift(0.001))/2.303,_xll.RiskCollect())</f>
        <v>#VALUE!</v>
      </c>
      <c r="F10" s="14" t="s">
        <v>354</v>
      </c>
      <c r="G10" s="35"/>
      <c r="H10" s="35"/>
    </row>
    <row r="11" spans="1:8" ht="15" customHeight="1" x14ac:dyDescent="0.2">
      <c r="A11" s="14"/>
      <c r="B11" s="14"/>
      <c r="C11" s="14" t="s">
        <v>303</v>
      </c>
      <c r="D11" s="14" t="s">
        <v>335</v>
      </c>
      <c r="E11" s="42">
        <f>IF(G8&gt;5,1,0)</f>
        <v>0</v>
      </c>
      <c r="F11" s="14" t="s">
        <v>5</v>
      </c>
      <c r="G11" s="35"/>
      <c r="H11" s="35"/>
    </row>
    <row r="12" spans="1:8" ht="15" customHeight="1" x14ac:dyDescent="0.2">
      <c r="A12" s="14"/>
      <c r="B12" s="46" t="s">
        <v>352</v>
      </c>
      <c r="C12" s="46" t="s">
        <v>289</v>
      </c>
      <c r="D12" s="46" t="s">
        <v>336</v>
      </c>
      <c r="E12" s="47" t="e">
        <f ca="1">IF($E$11=1,E9*E5,-E10*E5)</f>
        <v>#VALUE!</v>
      </c>
      <c r="F12" s="14" t="s">
        <v>356</v>
      </c>
      <c r="G12" s="35"/>
      <c r="H12" s="35"/>
    </row>
    <row r="13" spans="1:8" ht="15" customHeight="1" x14ac:dyDescent="0.2">
      <c r="A13" s="14"/>
      <c r="B13" s="14"/>
      <c r="C13" s="15" t="s">
        <v>290</v>
      </c>
      <c r="D13" s="15" t="s">
        <v>333</v>
      </c>
      <c r="E13" s="40" t="e">
        <f ca="1">LOG10(ROUNDDOWN(10^(IF(E2+E12&lt;=0,0,E2+E12)),0))</f>
        <v>#VALUE!</v>
      </c>
      <c r="F13" s="14" t="s">
        <v>353</v>
      </c>
      <c r="G13" s="35"/>
      <c r="H13" s="35"/>
    </row>
    <row r="14" spans="1:8" ht="15" customHeight="1" x14ac:dyDescent="0.2">
      <c r="A14" s="14"/>
      <c r="B14" s="14" t="s">
        <v>322</v>
      </c>
      <c r="C14" s="14" t="s">
        <v>75</v>
      </c>
      <c r="D14" s="14" t="s">
        <v>347</v>
      </c>
      <c r="E14" s="43">
        <f>300*125*17</f>
        <v>637500</v>
      </c>
      <c r="F14" s="14" t="s">
        <v>74</v>
      </c>
      <c r="G14" s="35"/>
      <c r="H14" s="35"/>
    </row>
    <row r="15" spans="1:8" ht="15" customHeight="1" x14ac:dyDescent="0.2">
      <c r="A15" s="14"/>
      <c r="B15" s="22" t="s">
        <v>329</v>
      </c>
      <c r="C15" s="18" t="s">
        <v>307</v>
      </c>
      <c r="D15" s="18" t="s">
        <v>330</v>
      </c>
      <c r="E15" s="32">
        <v>1</v>
      </c>
      <c r="F15" s="14" t="s">
        <v>341</v>
      </c>
      <c r="G15" s="35"/>
      <c r="H15" s="35"/>
    </row>
    <row r="16" spans="1:8" ht="15" customHeight="1" x14ac:dyDescent="0.2">
      <c r="A16" s="14"/>
      <c r="B16" s="14"/>
      <c r="C16" s="14" t="s">
        <v>308</v>
      </c>
      <c r="D16" s="14" t="s">
        <v>405</v>
      </c>
      <c r="E16" s="42" t="e">
        <f t="array" aca="1" ref="E16" ca="1">_xll.RiskPert(0.01,0.52,1.03,_xll.RiskCollect())</f>
        <v>#VALUE!</v>
      </c>
      <c r="F16" s="14" t="s">
        <v>356</v>
      </c>
      <c r="G16" s="35"/>
      <c r="H16" s="35"/>
    </row>
    <row r="17" spans="1:8" ht="15" customHeight="1" x14ac:dyDescent="0.2">
      <c r="A17" s="14"/>
      <c r="B17" s="14"/>
      <c r="C17" s="23" t="s">
        <v>318</v>
      </c>
      <c r="D17" s="23" t="s">
        <v>406</v>
      </c>
      <c r="E17" s="42" t="e">
        <f t="array" aca="1" ref="E17" ca="1">_xll.RiskPert(3.04,3.22,3.4)</f>
        <v>#VALUE!</v>
      </c>
      <c r="F17" s="14" t="s">
        <v>356</v>
      </c>
      <c r="G17" s="35"/>
      <c r="H17" s="35"/>
    </row>
    <row r="18" spans="1:8" ht="15" customHeight="1" x14ac:dyDescent="0.2">
      <c r="A18" s="14"/>
      <c r="B18" s="14"/>
      <c r="C18" s="46" t="s">
        <v>245</v>
      </c>
      <c r="D18" s="46" t="s">
        <v>403</v>
      </c>
      <c r="E18" s="47" t="e">
        <f ca="1">IF($E$15=1,E16,E17)</f>
        <v>#VALUE!</v>
      </c>
      <c r="F18" s="14" t="s">
        <v>356</v>
      </c>
      <c r="G18" s="35"/>
    </row>
    <row r="19" spans="1:8" ht="15" customHeight="1" x14ac:dyDescent="0.2">
      <c r="A19" s="14"/>
      <c r="B19" s="14"/>
      <c r="C19" s="15" t="s">
        <v>311</v>
      </c>
      <c r="D19" s="15" t="s">
        <v>338</v>
      </c>
      <c r="E19" s="40" t="e">
        <f ca="1">LOG10(ROUNDDOWN(10^(MAX(E13-$E$18,0)),0))</f>
        <v>#VALUE!</v>
      </c>
      <c r="F19" s="14" t="s">
        <v>353</v>
      </c>
      <c r="G19" s="35"/>
    </row>
    <row r="20" spans="1:8" ht="15" customHeight="1" x14ac:dyDescent="0.2">
      <c r="A20" s="14"/>
      <c r="B20" s="14"/>
      <c r="C20" s="15" t="s">
        <v>24</v>
      </c>
      <c r="D20" s="15" t="s">
        <v>337</v>
      </c>
      <c r="E20" s="44" t="e">
        <f ca="1">10^E19</f>
        <v>#VALUE!</v>
      </c>
      <c r="F20" s="14" t="s">
        <v>339</v>
      </c>
      <c r="G20" s="35"/>
    </row>
    <row r="21" spans="1:8" ht="15" customHeight="1" x14ac:dyDescent="0.2">
      <c r="A21" s="14"/>
      <c r="B21" s="19" t="s">
        <v>324</v>
      </c>
      <c r="C21" s="20" t="s">
        <v>248</v>
      </c>
      <c r="D21" s="59" t="s">
        <v>340</v>
      </c>
      <c r="E21" s="45" t="e">
        <f ca="1">EXP(GAMMALN(E24*E26)+GAMMALN(E20)-GAMMALN(E24*E26+E20)-(GAMMALN(E24*(E26-1))+GAMMALN(E20)-GAMMALN(E24*(E26-1)+E20)))</f>
        <v>#VALUE!</v>
      </c>
      <c r="F21" s="14" t="s">
        <v>341</v>
      </c>
      <c r="G21" s="35"/>
    </row>
    <row r="22" spans="1:8" ht="15" customHeight="1" x14ac:dyDescent="0.2">
      <c r="A22" s="14"/>
      <c r="B22" s="19"/>
      <c r="C22" s="20" t="s">
        <v>76</v>
      </c>
      <c r="D22" s="59" t="s">
        <v>415</v>
      </c>
      <c r="E22" s="45" t="e" cm="1">
        <f t="array" aca="1" ref="E22" ca="1">_xll.RiskMakeInput(1-E21)*E3</f>
        <v>#VALUE!</v>
      </c>
      <c r="F22" s="14" t="s">
        <v>341</v>
      </c>
      <c r="G22" s="35"/>
    </row>
    <row r="23" spans="1:8" ht="15" customHeight="1" x14ac:dyDescent="0.2">
      <c r="A23" s="14"/>
      <c r="B23" s="60"/>
      <c r="C23" s="18" t="s">
        <v>304</v>
      </c>
      <c r="D23" s="22" t="s">
        <v>342</v>
      </c>
      <c r="E23" s="37">
        <v>0</v>
      </c>
      <c r="F23" s="14" t="s">
        <v>341</v>
      </c>
      <c r="G23" s="35"/>
    </row>
    <row r="24" spans="1:8" ht="15" customHeight="1" x14ac:dyDescent="0.2">
      <c r="A24" s="14"/>
      <c r="B24" s="19"/>
      <c r="C24" s="19" t="s">
        <v>305</v>
      </c>
      <c r="D24" s="28" t="s">
        <v>80</v>
      </c>
      <c r="E24" s="48">
        <v>1</v>
      </c>
      <c r="F24" s="14" t="s">
        <v>341</v>
      </c>
      <c r="G24" s="35"/>
    </row>
    <row r="25" spans="1:8" ht="15" customHeight="1" x14ac:dyDescent="0.2">
      <c r="A25" s="14"/>
      <c r="B25" s="19"/>
      <c r="C25" s="19" t="s">
        <v>417</v>
      </c>
      <c r="D25" s="23" t="s">
        <v>343</v>
      </c>
      <c r="E25" s="24">
        <v>225</v>
      </c>
      <c r="F25" s="23" t="s">
        <v>74</v>
      </c>
      <c r="G25" s="35"/>
    </row>
    <row r="26" spans="1:8" ht="15" customHeight="1" x14ac:dyDescent="0.2">
      <c r="A26" s="14"/>
      <c r="B26" s="19"/>
      <c r="C26" s="19" t="s">
        <v>77</v>
      </c>
      <c r="D26" s="23" t="s">
        <v>344</v>
      </c>
      <c r="E26" s="24">
        <f>ROUNDDOWN(E14/E25,0)</f>
        <v>2833</v>
      </c>
      <c r="F26" s="23" t="s">
        <v>253</v>
      </c>
      <c r="G26" s="35"/>
    </row>
    <row r="27" spans="1:8" ht="15" customHeight="1" x14ac:dyDescent="0.2">
      <c r="A27" s="14"/>
      <c r="B27" s="19"/>
      <c r="C27" s="19" t="s">
        <v>246</v>
      </c>
      <c r="D27" s="23" t="s">
        <v>345</v>
      </c>
      <c r="E27" s="49" t="e" cm="1">
        <f t="array" aca="1" ref="E27" ca="1">_xll.RiskBeta(E24,E24*(E26-1))</f>
        <v>#VALUE!</v>
      </c>
      <c r="F27" s="14" t="s">
        <v>341</v>
      </c>
      <c r="G27" s="35"/>
    </row>
    <row r="28" spans="1:8" ht="15" customHeight="1" x14ac:dyDescent="0.2">
      <c r="A28" s="14"/>
      <c r="B28" s="23"/>
      <c r="C28" s="19" t="s">
        <v>81</v>
      </c>
      <c r="D28" s="23" t="s">
        <v>346</v>
      </c>
      <c r="E28" s="49" t="e" cm="1">
        <f t="array" aca="1" ref="E28" ca="1">_xll.RiskMakeInput(IF(E23=0,(1/E26),E27),_xll.RiskCollect())</f>
        <v>#VALUE!</v>
      </c>
      <c r="F28" s="14" t="s">
        <v>341</v>
      </c>
      <c r="G28" s="35"/>
    </row>
    <row r="29" spans="1:8" ht="15" customHeight="1" x14ac:dyDescent="0.2">
      <c r="A29" s="14"/>
      <c r="B29" s="23"/>
      <c r="C29" s="25" t="s">
        <v>82</v>
      </c>
      <c r="D29" s="26" t="s">
        <v>348</v>
      </c>
      <c r="E29" s="38" t="e" cm="1">
        <f t="array" aca="1" ref="E29" ca="1">IFERROR(_xll.RiskBinomial(E20,E28)+1,_xll.RiskPoisson(E20*E28)+1)</f>
        <v>#VALUE!</v>
      </c>
      <c r="F29" s="28" t="s">
        <v>367</v>
      </c>
      <c r="G29" s="35"/>
    </row>
    <row r="30" spans="1:8" ht="15" customHeight="1" x14ac:dyDescent="0.2">
      <c r="A30" s="14"/>
      <c r="B30" s="23"/>
      <c r="C30" s="25" t="s">
        <v>310</v>
      </c>
      <c r="D30" s="26" t="s">
        <v>349</v>
      </c>
      <c r="E30" s="50" t="e">
        <f ca="1">MIN(LOG10(E29),LOG10(225*10^7))</f>
        <v>#VALUE!</v>
      </c>
      <c r="F30" s="14" t="s">
        <v>355</v>
      </c>
      <c r="G30" s="35"/>
    </row>
    <row r="31" spans="1:8" ht="15" customHeight="1" x14ac:dyDescent="0.2">
      <c r="A31" s="14"/>
      <c r="B31" s="27" t="s">
        <v>7</v>
      </c>
      <c r="C31" s="27" t="s">
        <v>14</v>
      </c>
      <c r="D31" s="28" t="s">
        <v>8</v>
      </c>
      <c r="E31" s="49" t="e" cm="1">
        <f t="array" aca="1" ref="E31" ca="1">_xll.RiskMakeInput(_xll.RiskTriang(0.5,4,7)*24,_xll.RiskCollect())</f>
        <v>#VALUE!</v>
      </c>
      <c r="F31" s="28" t="s">
        <v>12</v>
      </c>
      <c r="G31" s="35"/>
    </row>
    <row r="32" spans="1:8" ht="15" customHeight="1" x14ac:dyDescent="0.2">
      <c r="A32" s="14"/>
      <c r="B32" s="27"/>
      <c r="C32" s="27" t="s">
        <v>15</v>
      </c>
      <c r="D32" s="28" t="s">
        <v>9</v>
      </c>
      <c r="E32" s="49" t="e">
        <f ca="1">_xll.RiskNormal(4.4441,2.9642,_xll.RiskTruncate(0,20.56),_xll.RiskCollect())</f>
        <v>#VALUE!</v>
      </c>
      <c r="F32" s="28" t="s">
        <v>13</v>
      </c>
      <c r="G32" s="35"/>
    </row>
    <row r="33" spans="1:7" ht="15" customHeight="1" x14ac:dyDescent="0.2">
      <c r="A33" s="14"/>
      <c r="B33" s="27"/>
      <c r="C33" s="27" t="s">
        <v>287</v>
      </c>
      <c r="D33" s="28" t="s">
        <v>10</v>
      </c>
      <c r="E33" s="49" t="e">
        <f ca="1">(0.023*(E32-1.2))^2/2.303</f>
        <v>#VALUE!</v>
      </c>
      <c r="F33" s="14" t="s">
        <v>354</v>
      </c>
      <c r="G33" s="35"/>
    </row>
    <row r="34" spans="1:7" ht="15" customHeight="1" x14ac:dyDescent="0.2">
      <c r="A34" s="14"/>
      <c r="B34" s="27"/>
      <c r="C34" s="27" t="s">
        <v>16</v>
      </c>
      <c r="D34" s="28" t="s">
        <v>11</v>
      </c>
      <c r="E34" s="49" t="e" cm="1">
        <f t="array" aca="1" ref="E34" ca="1">_xll.RiskMakeInput(_xll.RiskLognorm(0.013,0.001,_xll.RiskShift(0.001))/2.303,_xll.RiskCollect())</f>
        <v>#VALUE!</v>
      </c>
      <c r="F34" s="14" t="s">
        <v>354</v>
      </c>
      <c r="G34" s="35"/>
    </row>
    <row r="35" spans="1:7" ht="15" customHeight="1" x14ac:dyDescent="0.2">
      <c r="A35" s="14"/>
      <c r="B35" s="27"/>
      <c r="C35" s="27" t="s">
        <v>285</v>
      </c>
      <c r="D35" s="28" t="s">
        <v>357</v>
      </c>
      <c r="E35" s="49" t="e">
        <f ca="1">IF(E32&gt;5,1,0)</f>
        <v>#VALUE!</v>
      </c>
      <c r="F35" s="14" t="s">
        <v>354</v>
      </c>
      <c r="G35" s="35"/>
    </row>
    <row r="36" spans="1:7" ht="15" customHeight="1" x14ac:dyDescent="0.2">
      <c r="A36" s="14"/>
      <c r="B36" s="27"/>
      <c r="C36" s="46" t="s">
        <v>23</v>
      </c>
      <c r="D36" s="46" t="s">
        <v>351</v>
      </c>
      <c r="E36" s="47" t="e">
        <f ca="1">IF(E35=1,E33*E31,-E34*E31)</f>
        <v>#VALUE!</v>
      </c>
      <c r="F36" s="14" t="s">
        <v>356</v>
      </c>
      <c r="G36" s="35"/>
    </row>
    <row r="37" spans="1:7" ht="15" customHeight="1" x14ac:dyDescent="0.2">
      <c r="A37" s="14"/>
      <c r="B37" s="27"/>
      <c r="C37" s="25" t="s">
        <v>312</v>
      </c>
      <c r="D37" s="26" t="s">
        <v>350</v>
      </c>
      <c r="E37" s="50" t="e" cm="1">
        <f t="array" aca="1" ref="E37" ca="1">_xll.RiskOutput()+MIN(LOG10(ROUNDDOWN(10^(MAX(E30+E36,0)),0)),LOG10(225*10^7))</f>
        <v>#VALUE!</v>
      </c>
      <c r="F37" s="28" t="s">
        <v>358</v>
      </c>
      <c r="G37" s="35"/>
    </row>
    <row r="38" spans="1:7" ht="15" customHeight="1" x14ac:dyDescent="0.2">
      <c r="A38" s="14"/>
      <c r="B38" s="27" t="s">
        <v>17</v>
      </c>
      <c r="C38" s="27" t="s">
        <v>295</v>
      </c>
      <c r="D38" s="28" t="s">
        <v>18</v>
      </c>
      <c r="E38" s="49" t="e">
        <f ca="1">_xll.RiskNormal(1.421,0.46478,_xll.RiskTruncate(0.1833,3.8667),_xll.RiskShift(-0.24609),_xll.RiskCollect())</f>
        <v>#VALUE!</v>
      </c>
      <c r="F38" s="28" t="s">
        <v>12</v>
      </c>
      <c r="G38" s="35"/>
    </row>
    <row r="39" spans="1:7" ht="15" customHeight="1" x14ac:dyDescent="0.2">
      <c r="A39" s="14"/>
      <c r="B39" s="27"/>
      <c r="C39" s="27" t="s">
        <v>309</v>
      </c>
      <c r="D39" s="28" t="s">
        <v>359</v>
      </c>
      <c r="E39" s="49" t="e">
        <f ca="1">_xll.RiskNormal(8.386,3.831,_xll.RiskTruncate(0,20),_xll.RiskCollect())</f>
        <v>#VALUE!</v>
      </c>
      <c r="F39" s="28" t="s">
        <v>13</v>
      </c>
      <c r="G39" s="35"/>
    </row>
    <row r="40" spans="1:7" ht="15" customHeight="1" x14ac:dyDescent="0.2">
      <c r="A40" s="14"/>
      <c r="B40" s="27"/>
      <c r="C40" s="27" t="s">
        <v>296</v>
      </c>
      <c r="D40" s="28" t="s">
        <v>19</v>
      </c>
      <c r="E40" s="49" t="e">
        <f ca="1">1/2*(E32+E39)</f>
        <v>#VALUE!</v>
      </c>
      <c r="F40" s="28" t="s">
        <v>13</v>
      </c>
      <c r="G40" s="35"/>
    </row>
    <row r="41" spans="1:7" ht="15" customHeight="1" x14ac:dyDescent="0.2">
      <c r="A41" s="14"/>
      <c r="B41" s="27"/>
      <c r="C41" s="27" t="s">
        <v>297</v>
      </c>
      <c r="D41" s="28" t="s">
        <v>20</v>
      </c>
      <c r="E41" s="49" t="e">
        <f ca="1">(0.023*(E40-1.2))^2/2.303</f>
        <v>#VALUE!</v>
      </c>
      <c r="F41" s="14" t="s">
        <v>354</v>
      </c>
      <c r="G41" s="35"/>
    </row>
    <row r="42" spans="1:7" ht="15" customHeight="1" x14ac:dyDescent="0.2">
      <c r="A42" s="14"/>
      <c r="B42" s="27"/>
      <c r="C42" s="27" t="s">
        <v>298</v>
      </c>
      <c r="D42" s="28" t="s">
        <v>21</v>
      </c>
      <c r="E42" s="49" t="e" cm="1">
        <f t="array" aca="1" ref="E42" ca="1">_xll.RiskMakeInput(_xll.RiskLognorm(0.013,0.001,_xll.RiskShift(0.001))/2.303,_xll.RiskCollect())</f>
        <v>#VALUE!</v>
      </c>
      <c r="F42" s="14" t="s">
        <v>354</v>
      </c>
      <c r="G42" s="35"/>
    </row>
    <row r="43" spans="1:7" ht="15" customHeight="1" x14ac:dyDescent="0.2">
      <c r="A43" s="14"/>
      <c r="B43" s="27"/>
      <c r="C43" s="27" t="s">
        <v>299</v>
      </c>
      <c r="D43" s="28" t="s">
        <v>360</v>
      </c>
      <c r="E43" s="49" t="e">
        <f ca="1">IF(E40&gt;5,1,0)</f>
        <v>#VALUE!</v>
      </c>
      <c r="F43" s="14" t="s">
        <v>354</v>
      </c>
      <c r="G43" s="35"/>
    </row>
    <row r="44" spans="1:7" ht="15" customHeight="1" x14ac:dyDescent="0.2">
      <c r="A44" s="14"/>
      <c r="B44" s="27"/>
      <c r="C44" s="46" t="s">
        <v>315</v>
      </c>
      <c r="D44" s="46" t="s">
        <v>361</v>
      </c>
      <c r="E44" s="47" t="e">
        <f ca="1">IF(E43=1,E41*E38,-E42*E38)</f>
        <v>#VALUE!</v>
      </c>
      <c r="F44" s="14" t="s">
        <v>356</v>
      </c>
      <c r="G44" s="35"/>
    </row>
    <row r="45" spans="1:7" ht="15" customHeight="1" x14ac:dyDescent="0.2">
      <c r="A45" s="14"/>
      <c r="B45" s="27"/>
      <c r="C45" s="25" t="s">
        <v>313</v>
      </c>
      <c r="D45" s="26" t="s">
        <v>362</v>
      </c>
      <c r="E45" s="50" t="e">
        <f ca="1">MIN(LOG10(ROUNDDOWN(10^(MAX(E37+E44,0)),0)),LOG10(225*10^7))</f>
        <v>#VALUE!</v>
      </c>
      <c r="F45" s="14" t="s">
        <v>355</v>
      </c>
      <c r="G45" s="35"/>
    </row>
    <row r="46" spans="1:7" ht="15" customHeight="1" x14ac:dyDescent="0.2">
      <c r="A46" s="14" t="s">
        <v>25</v>
      </c>
      <c r="B46" s="27" t="s">
        <v>26</v>
      </c>
      <c r="C46" s="27" t="s">
        <v>33</v>
      </c>
      <c r="D46" s="28" t="s">
        <v>27</v>
      </c>
      <c r="E46" s="49" t="e" cm="1">
        <f t="array" aca="1" ref="E46" ca="1">_xll.RiskMakeInput(_xll.RiskWeibull(1.13,2.84)*24,_xll.RiskCollect())</f>
        <v>#VALUE!</v>
      </c>
      <c r="F46" s="28" t="s">
        <v>12</v>
      </c>
      <c r="G46" s="35"/>
    </row>
    <row r="47" spans="1:7" ht="15" customHeight="1" x14ac:dyDescent="0.2">
      <c r="A47" s="14"/>
      <c r="B47" s="27"/>
      <c r="C47" s="27" t="s">
        <v>34</v>
      </c>
      <c r="D47" s="28" t="s">
        <v>28</v>
      </c>
      <c r="E47" s="49" t="e" cm="1">
        <f t="array" aca="1" ref="E47" ca="1">_xll.RiskMakeInput(_xll.RiskWeibull(1.7,7.96)*24,_xll.RiskCollect())</f>
        <v>#VALUE!</v>
      </c>
      <c r="F47" s="28" t="s">
        <v>12</v>
      </c>
      <c r="G47" s="35"/>
    </row>
    <row r="48" spans="1:7" ht="15" customHeight="1" x14ac:dyDescent="0.2">
      <c r="A48" s="14"/>
      <c r="B48" s="27"/>
      <c r="C48" s="27" t="s">
        <v>35</v>
      </c>
      <c r="D48" s="28" t="s">
        <v>29</v>
      </c>
      <c r="E48" s="49" t="e">
        <f ca="1">1/2*(E46+E47)</f>
        <v>#VALUE!</v>
      </c>
      <c r="F48" s="28" t="s">
        <v>12</v>
      </c>
      <c r="G48" s="35"/>
    </row>
    <row r="49" spans="1:7" ht="15" customHeight="1" x14ac:dyDescent="0.2">
      <c r="A49" s="14"/>
      <c r="B49" s="27"/>
      <c r="C49" s="27" t="s">
        <v>22</v>
      </c>
      <c r="D49" s="28" t="s">
        <v>30</v>
      </c>
      <c r="E49" s="49" t="e" cm="1">
        <f t="array" aca="1" ref="E49" ca="1">_xll.RiskNormal(3.4517,2.4442,_xll.RiskTruncate(-5,17.22), _xll.RiskCollect())</f>
        <v>#VALUE!</v>
      </c>
      <c r="F49" s="28" t="s">
        <v>13</v>
      </c>
      <c r="G49" s="35"/>
    </row>
    <row r="50" spans="1:7" ht="15" customHeight="1" x14ac:dyDescent="0.2">
      <c r="A50" s="14"/>
      <c r="B50" s="27"/>
      <c r="C50" s="27" t="s">
        <v>286</v>
      </c>
      <c r="D50" s="28" t="s">
        <v>31</v>
      </c>
      <c r="E50" s="49" t="e">
        <f ca="1">(0.023*(E49-1.2))^2/2.303</f>
        <v>#VALUE!</v>
      </c>
      <c r="F50" s="14" t="s">
        <v>354</v>
      </c>
      <c r="G50" s="35"/>
    </row>
    <row r="51" spans="1:7" ht="15" customHeight="1" x14ac:dyDescent="0.2">
      <c r="A51" s="14"/>
      <c r="B51" s="27"/>
      <c r="C51" s="27" t="s">
        <v>36</v>
      </c>
      <c r="D51" s="28" t="s">
        <v>32</v>
      </c>
      <c r="E51" s="49" t="e" cm="1">
        <f t="array" aca="1" ref="E51" ca="1">_xll.RiskMakeInput(_xll.RiskLognorm(0.013,0.001,_xll.RiskShift(0.001))/2.303,_xll.RiskCollect())</f>
        <v>#VALUE!</v>
      </c>
      <c r="F51" s="14" t="s">
        <v>354</v>
      </c>
      <c r="G51" s="35"/>
    </row>
    <row r="52" spans="1:7" ht="15" customHeight="1" x14ac:dyDescent="0.2">
      <c r="A52" s="14"/>
      <c r="B52" s="27"/>
      <c r="C52" s="27" t="s">
        <v>284</v>
      </c>
      <c r="D52" s="28" t="s">
        <v>363</v>
      </c>
      <c r="E52" s="49" t="e">
        <f ca="1">IF(E49&gt;5,1,0)</f>
        <v>#VALUE!</v>
      </c>
      <c r="F52" s="14" t="s">
        <v>354</v>
      </c>
      <c r="G52" s="35"/>
    </row>
    <row r="53" spans="1:7" ht="15" customHeight="1" x14ac:dyDescent="0.2">
      <c r="A53" s="14"/>
      <c r="B53" s="27"/>
      <c r="C53" s="51" t="s">
        <v>37</v>
      </c>
      <c r="D53" s="51" t="s">
        <v>364</v>
      </c>
      <c r="E53" s="52" t="e">
        <f ca="1">IF(E52=1,E50*E48,-E51*E48)</f>
        <v>#VALUE!</v>
      </c>
      <c r="F53" s="14" t="s">
        <v>356</v>
      </c>
      <c r="G53" s="35"/>
    </row>
    <row r="54" spans="1:7" ht="15" customHeight="1" x14ac:dyDescent="0.2">
      <c r="A54" s="14"/>
      <c r="B54" s="27"/>
      <c r="C54" s="25" t="s">
        <v>314</v>
      </c>
      <c r="D54" s="26" t="s">
        <v>365</v>
      </c>
      <c r="E54" s="50" t="e">
        <f ca="1">MIN(LOG10(ROUNDDOWN(10^(MAX(E53+E45,0)),0)),LOG(225*10^7))</f>
        <v>#VALUE!</v>
      </c>
      <c r="F54" s="28" t="s">
        <v>358</v>
      </c>
      <c r="G54" s="35"/>
    </row>
    <row r="55" spans="1:7" ht="15" customHeight="1" x14ac:dyDescent="0.2">
      <c r="A55" s="14"/>
      <c r="B55" s="27"/>
      <c r="C55" s="25" t="s">
        <v>250</v>
      </c>
      <c r="D55" s="25" t="s">
        <v>366</v>
      </c>
      <c r="E55" s="39" t="e">
        <f ca="1">10^E54</f>
        <v>#VALUE!</v>
      </c>
      <c r="F55" s="28" t="s">
        <v>367</v>
      </c>
      <c r="G55" s="35"/>
    </row>
    <row r="56" spans="1:7" ht="15" customHeight="1" x14ac:dyDescent="0.2">
      <c r="A56" s="19"/>
      <c r="B56" s="19" t="s">
        <v>323</v>
      </c>
      <c r="C56" s="20" t="s">
        <v>249</v>
      </c>
      <c r="D56" s="59" t="s">
        <v>317</v>
      </c>
      <c r="E56" s="45" t="e">
        <f ca="1">EXP((GAMMALN(E59*E61)+GAMMALN(E55)-GAMMALN((E59*E61)+E55))-(GAMMALN(E59*(E61-1))+GAMMALN(E55)-GAMMALN((E59*(E61-1))+E55)))</f>
        <v>#VALUE!</v>
      </c>
      <c r="F56" s="14" t="s">
        <v>341</v>
      </c>
      <c r="G56" s="35"/>
    </row>
    <row r="57" spans="1:7" ht="15" customHeight="1" x14ac:dyDescent="0.2">
      <c r="A57" s="27"/>
      <c r="B57" s="19"/>
      <c r="C57" s="20" t="s">
        <v>84</v>
      </c>
      <c r="D57" s="59" t="s">
        <v>416</v>
      </c>
      <c r="E57" s="45" t="e" cm="1">
        <f t="array" aca="1" ref="E57" ca="1">_xll.RiskOutput()+(1-E56)*E22</f>
        <v>#VALUE!</v>
      </c>
      <c r="F57" s="14" t="s">
        <v>341</v>
      </c>
      <c r="G57" s="35"/>
    </row>
    <row r="58" spans="1:7" ht="15" customHeight="1" x14ac:dyDescent="0.2">
      <c r="A58" s="19"/>
      <c r="B58" s="27"/>
      <c r="C58" s="18" t="s">
        <v>368</v>
      </c>
      <c r="D58" s="22" t="s">
        <v>331</v>
      </c>
      <c r="E58" s="37">
        <v>0</v>
      </c>
      <c r="F58" s="14" t="s">
        <v>341</v>
      </c>
      <c r="G58" s="35"/>
    </row>
    <row r="59" spans="1:7" ht="15" customHeight="1" x14ac:dyDescent="0.2">
      <c r="A59" s="19"/>
      <c r="B59" s="27"/>
      <c r="C59" s="27" t="s">
        <v>306</v>
      </c>
      <c r="D59" s="28" t="s">
        <v>80</v>
      </c>
      <c r="E59" s="48">
        <v>1</v>
      </c>
      <c r="F59" s="14" t="s">
        <v>341</v>
      </c>
      <c r="G59" s="35"/>
    </row>
    <row r="60" spans="1:7" ht="15" customHeight="1" x14ac:dyDescent="0.2">
      <c r="A60" s="19"/>
      <c r="B60" s="27"/>
      <c r="C60" s="27" t="s">
        <v>39</v>
      </c>
      <c r="D60" s="28" t="s">
        <v>40</v>
      </c>
      <c r="E60" s="30">
        <v>85</v>
      </c>
      <c r="F60" s="28" t="s">
        <v>375</v>
      </c>
      <c r="G60" s="35"/>
    </row>
    <row r="61" spans="1:7" ht="15" customHeight="1" x14ac:dyDescent="0.2">
      <c r="A61" s="19"/>
      <c r="B61" s="19" t="s">
        <v>83</v>
      </c>
      <c r="C61" s="19" t="s">
        <v>78</v>
      </c>
      <c r="D61" s="23" t="s">
        <v>79</v>
      </c>
      <c r="E61" s="49">
        <f>E25/E60</f>
        <v>2.6470588235294117</v>
      </c>
      <c r="F61" s="23" t="s">
        <v>376</v>
      </c>
      <c r="G61" s="35"/>
    </row>
    <row r="62" spans="1:7" ht="15" customHeight="1" x14ac:dyDescent="0.2">
      <c r="A62" s="19"/>
      <c r="B62" s="27"/>
      <c r="C62" s="27" t="s">
        <v>88</v>
      </c>
      <c r="D62" s="23" t="s">
        <v>369</v>
      </c>
      <c r="E62" s="49" t="e" cm="1">
        <f t="array" aca="1" ref="E62" ca="1">_xll.RiskBeta(E59,E59*(E61-1))</f>
        <v>#VALUE!</v>
      </c>
      <c r="F62" s="14" t="s">
        <v>341</v>
      </c>
      <c r="G62" s="35"/>
    </row>
    <row r="63" spans="1:7" ht="15" customHeight="1" x14ac:dyDescent="0.2">
      <c r="A63" s="19"/>
      <c r="B63" s="23"/>
      <c r="C63" s="19" t="s">
        <v>85</v>
      </c>
      <c r="D63" s="23" t="s">
        <v>370</v>
      </c>
      <c r="E63" s="49" t="e" cm="1">
        <f t="array" aca="1" ref="E63" ca="1">_xll.RiskMakeInput(IF(E58=0,(1/E61),E62), _xll.RiskCollect())</f>
        <v>#VALUE!</v>
      </c>
      <c r="F63" s="14" t="s">
        <v>341</v>
      </c>
      <c r="G63" s="35"/>
    </row>
    <row r="64" spans="1:7" ht="15" customHeight="1" x14ac:dyDescent="0.2">
      <c r="A64" s="19"/>
      <c r="B64" s="23"/>
      <c r="C64" s="31" t="s">
        <v>251</v>
      </c>
      <c r="D64" s="25" t="s">
        <v>372</v>
      </c>
      <c r="E64" s="38" t="e" cm="1">
        <f t="array" aca="1" ref="E64" ca="1">IFERROR(_xll.RiskBinomial(E55,E63)+1,_xll.RiskPoisson(E55*E63)+1)</f>
        <v>#VALUE!</v>
      </c>
      <c r="F64" s="23" t="s">
        <v>374</v>
      </c>
      <c r="G64" s="35"/>
    </row>
    <row r="65" spans="1:7" ht="15" customHeight="1" x14ac:dyDescent="0.2">
      <c r="A65" s="19"/>
      <c r="B65" s="23"/>
      <c r="C65" s="31" t="s">
        <v>371</v>
      </c>
      <c r="D65" s="26" t="s">
        <v>373</v>
      </c>
      <c r="E65" s="50" t="e">
        <f ca="1">MIN(LOG10(E64),LOG10((10^7)*85))</f>
        <v>#VALUE!</v>
      </c>
      <c r="F65" s="28" t="s">
        <v>377</v>
      </c>
      <c r="G65" s="35"/>
    </row>
    <row r="66" spans="1:7" ht="15" customHeight="1" x14ac:dyDescent="0.2">
      <c r="A66" s="19"/>
      <c r="B66" s="23"/>
      <c r="C66" s="18" t="s">
        <v>378</v>
      </c>
      <c r="D66" s="18" t="s">
        <v>332</v>
      </c>
      <c r="E66" s="32">
        <v>0</v>
      </c>
      <c r="F66" s="14" t="s">
        <v>341</v>
      </c>
      <c r="G66" s="35"/>
    </row>
    <row r="67" spans="1:7" ht="15" customHeight="1" x14ac:dyDescent="0.2">
      <c r="A67" s="19"/>
      <c r="B67" s="27" t="s">
        <v>38</v>
      </c>
      <c r="C67" s="27" t="s">
        <v>300</v>
      </c>
      <c r="D67" s="28" t="s">
        <v>380</v>
      </c>
      <c r="E67" s="49">
        <v>0.62</v>
      </c>
      <c r="F67" s="14" t="s">
        <v>341</v>
      </c>
      <c r="G67" s="35"/>
    </row>
    <row r="68" spans="1:7" ht="15" customHeight="1" x14ac:dyDescent="0.2">
      <c r="A68" s="14"/>
      <c r="B68" s="27"/>
      <c r="C68" s="27" t="s">
        <v>301</v>
      </c>
      <c r="D68" s="28" t="s">
        <v>379</v>
      </c>
      <c r="E68" s="49" t="e" cm="1">
        <f t="array" aca="1" ref="E68" ca="1">_xll.RiskTriang(0.65,0.99,0.99)*E67</f>
        <v>#VALUE!</v>
      </c>
      <c r="F68" s="28" t="s">
        <v>382</v>
      </c>
      <c r="G68" s="35"/>
    </row>
    <row r="69" spans="1:7" ht="15" customHeight="1" x14ac:dyDescent="0.2">
      <c r="A69" s="14"/>
      <c r="B69" s="23"/>
      <c r="C69" s="46" t="s">
        <v>302</v>
      </c>
      <c r="D69" s="46" t="s">
        <v>404</v>
      </c>
      <c r="E69" s="47">
        <f>IF(E66=1,E68,0)</f>
        <v>0</v>
      </c>
      <c r="F69" s="28" t="s">
        <v>382</v>
      </c>
      <c r="G69" s="35"/>
    </row>
    <row r="70" spans="1:7" ht="15" customHeight="1" x14ac:dyDescent="0.2">
      <c r="A70" s="14"/>
      <c r="B70" s="23"/>
      <c r="C70" s="31" t="s">
        <v>252</v>
      </c>
      <c r="D70" s="31" t="s">
        <v>381</v>
      </c>
      <c r="E70" s="38" t="e" cm="1">
        <f t="array" aca="1" ref="E70" ca="1">_xll.RiskOutput("No of EC cells in a contaminated serving after consumer wash")+ROUNDDOWN(MIN(10^MAX(E65-E69,0),(10^7)*85),0)</f>
        <v>#VALUE!</v>
      </c>
      <c r="F70" s="23" t="s">
        <v>374</v>
      </c>
      <c r="G70" s="35"/>
    </row>
    <row r="71" spans="1:7" ht="15" customHeight="1" x14ac:dyDescent="0.2">
      <c r="A71" s="14"/>
      <c r="B71" s="27" t="s">
        <v>325</v>
      </c>
      <c r="C71" s="27" t="s">
        <v>254</v>
      </c>
      <c r="D71" s="27" t="s">
        <v>255</v>
      </c>
      <c r="E71" s="61">
        <v>0.26700000000000002</v>
      </c>
      <c r="F71" s="14" t="s">
        <v>341</v>
      </c>
      <c r="G71" s="35"/>
    </row>
    <row r="72" spans="1:7" ht="15" customHeight="1" x14ac:dyDescent="0.2">
      <c r="A72" s="14"/>
      <c r="B72" s="23"/>
      <c r="C72" s="27" t="s">
        <v>256</v>
      </c>
      <c r="D72" s="27" t="s">
        <v>257</v>
      </c>
      <c r="E72" s="61">
        <v>229.2928</v>
      </c>
      <c r="F72" s="14" t="s">
        <v>341</v>
      </c>
      <c r="G72" s="35"/>
    </row>
    <row r="73" spans="1:7" ht="15" customHeight="1" x14ac:dyDescent="0.2">
      <c r="A73" s="27"/>
      <c r="B73" s="27"/>
      <c r="C73" s="27" t="s">
        <v>41</v>
      </c>
      <c r="D73" s="28" t="s">
        <v>385</v>
      </c>
      <c r="E73" s="49" t="e">
        <f ca="1">(1-(1+E70/E72)^-E71)</f>
        <v>#VALUE!</v>
      </c>
      <c r="F73" s="14" t="s">
        <v>341</v>
      </c>
      <c r="G73" s="35"/>
    </row>
    <row r="74" spans="1:7" ht="15" customHeight="1" x14ac:dyDescent="0.2">
      <c r="A74" s="19"/>
      <c r="B74" s="23"/>
      <c r="C74" s="19" t="s">
        <v>42</v>
      </c>
      <c r="D74" s="23" t="s">
        <v>386</v>
      </c>
      <c r="E74" s="33">
        <v>311556874</v>
      </c>
      <c r="F74" s="23" t="s">
        <v>243</v>
      </c>
      <c r="G74" s="35"/>
    </row>
    <row r="75" spans="1:7" ht="15" customHeight="1" x14ac:dyDescent="0.2">
      <c r="A75" s="19"/>
      <c r="B75" s="19"/>
      <c r="C75" s="19" t="s">
        <v>43</v>
      </c>
      <c r="D75" s="23" t="s">
        <v>384</v>
      </c>
      <c r="E75" s="33">
        <v>3946</v>
      </c>
      <c r="F75" s="23" t="s">
        <v>383</v>
      </c>
      <c r="G75" s="35"/>
    </row>
    <row r="76" spans="1:7" ht="15" customHeight="1" x14ac:dyDescent="0.2">
      <c r="A76" s="19"/>
      <c r="B76" s="19"/>
      <c r="C76" s="19" t="s">
        <v>44</v>
      </c>
      <c r="D76" s="23" t="s">
        <v>387</v>
      </c>
      <c r="E76" s="49">
        <f>E75/E60</f>
        <v>46.423529411764704</v>
      </c>
      <c r="F76" s="23" t="s">
        <v>407</v>
      </c>
      <c r="G76" s="35"/>
    </row>
    <row r="77" spans="1:7" ht="15" customHeight="1" x14ac:dyDescent="0.2">
      <c r="A77" s="27"/>
      <c r="B77" s="27"/>
      <c r="C77" s="27" t="s">
        <v>93</v>
      </c>
      <c r="D77" s="28" t="s">
        <v>388</v>
      </c>
      <c r="E77" s="30">
        <f>E74*E76</f>
        <v>14463569703.576469</v>
      </c>
      <c r="F77" s="28" t="s">
        <v>408</v>
      </c>
      <c r="G77" s="35"/>
    </row>
    <row r="78" spans="1:7" ht="15" customHeight="1" x14ac:dyDescent="0.2">
      <c r="A78" s="27"/>
      <c r="B78" s="27"/>
      <c r="C78" s="27" t="s">
        <v>94</v>
      </c>
      <c r="D78" s="23" t="s">
        <v>389</v>
      </c>
      <c r="E78" s="30" t="e">
        <f ca="1">ROUNDDOWN(E77*E57,0)</f>
        <v>#VALUE!</v>
      </c>
      <c r="F78" s="28" t="s">
        <v>408</v>
      </c>
      <c r="G78" s="35"/>
    </row>
    <row r="79" spans="1:7" ht="15" customHeight="1" x14ac:dyDescent="0.2">
      <c r="A79" s="27"/>
      <c r="B79" s="53" t="s">
        <v>411</v>
      </c>
      <c r="C79" s="53" t="s">
        <v>92</v>
      </c>
      <c r="D79" s="54" t="s">
        <v>390</v>
      </c>
      <c r="E79" s="62" t="e" cm="1">
        <f t="array" aca="1" ref="E79" ca="1">_xll.RiskOutput("Ncase_US")+ROUNDDOWN(E78*E73,0)</f>
        <v>#VALUE!</v>
      </c>
      <c r="F79" s="54" t="s">
        <v>243</v>
      </c>
      <c r="G79" s="35"/>
    </row>
    <row r="80" spans="1:7" ht="15" customHeight="1" x14ac:dyDescent="0.2">
      <c r="A80" s="27"/>
      <c r="B80" s="27"/>
      <c r="C80" s="21"/>
      <c r="D80" s="29"/>
      <c r="E80" s="34"/>
      <c r="F80" s="28"/>
      <c r="G80" s="35"/>
    </row>
    <row r="81" spans="1:6" ht="15" customHeight="1" x14ac:dyDescent="0.2">
      <c r="A81" s="68" t="s">
        <v>319</v>
      </c>
      <c r="B81" s="69"/>
      <c r="C81" s="69"/>
      <c r="D81" s="69" t="s">
        <v>402</v>
      </c>
      <c r="E81" s="70">
        <v>63153</v>
      </c>
      <c r="F81" s="69" t="s">
        <v>391</v>
      </c>
    </row>
    <row r="82" spans="1:6" ht="15" customHeight="1" x14ac:dyDescent="0.2">
      <c r="A82" s="68"/>
      <c r="B82" s="69"/>
      <c r="C82" s="69"/>
      <c r="D82" s="69" t="s">
        <v>402</v>
      </c>
      <c r="E82" s="70">
        <v>17587</v>
      </c>
      <c r="F82" s="69" t="s">
        <v>392</v>
      </c>
    </row>
    <row r="83" spans="1:6" ht="15" customHeight="1" x14ac:dyDescent="0.2">
      <c r="A83" s="68"/>
      <c r="B83" s="69"/>
      <c r="C83" s="69"/>
      <c r="D83" s="69" t="s">
        <v>402</v>
      </c>
      <c r="E83" s="71">
        <v>149631</v>
      </c>
      <c r="F83" s="69" t="s">
        <v>393</v>
      </c>
    </row>
    <row r="84" spans="1:6" ht="15" customHeight="1" x14ac:dyDescent="0.2">
      <c r="A84" s="68"/>
      <c r="B84" s="72"/>
      <c r="C84" s="72"/>
      <c r="D84" s="69" t="s">
        <v>394</v>
      </c>
      <c r="E84" s="73">
        <v>0.193</v>
      </c>
      <c r="F84" s="69" t="s">
        <v>341</v>
      </c>
    </row>
    <row r="85" spans="1:6" ht="15" customHeight="1" x14ac:dyDescent="0.2">
      <c r="A85" s="68"/>
      <c r="B85" s="72"/>
      <c r="C85" s="72"/>
      <c r="D85" s="69" t="s">
        <v>395</v>
      </c>
      <c r="E85" s="73">
        <v>0.315</v>
      </c>
      <c r="F85" s="69" t="s">
        <v>341</v>
      </c>
    </row>
    <row r="86" spans="1:6" ht="15" customHeight="1" x14ac:dyDescent="0.2">
      <c r="A86" s="68"/>
      <c r="B86" s="72"/>
      <c r="C86" s="72"/>
      <c r="D86" s="74" t="s">
        <v>51</v>
      </c>
      <c r="E86" s="75">
        <f>E81*E84</f>
        <v>12188.529</v>
      </c>
      <c r="F86" s="74" t="s">
        <v>396</v>
      </c>
    </row>
    <row r="87" spans="1:6" ht="15" customHeight="1" x14ac:dyDescent="0.2">
      <c r="A87" s="68"/>
      <c r="B87" s="72"/>
      <c r="C87" s="72"/>
      <c r="D87" s="69" t="s">
        <v>51</v>
      </c>
      <c r="E87" s="76">
        <f>E82*E84</f>
        <v>3394.2910000000002</v>
      </c>
      <c r="F87" s="69" t="s">
        <v>398</v>
      </c>
    </row>
    <row r="88" spans="1:6" ht="15" customHeight="1" x14ac:dyDescent="0.2">
      <c r="A88" s="68"/>
      <c r="B88" s="72"/>
      <c r="C88" s="72"/>
      <c r="D88" s="69" t="s">
        <v>51</v>
      </c>
      <c r="E88" s="76">
        <f>E83*E84</f>
        <v>28878.782999999999</v>
      </c>
      <c r="F88" s="69" t="s">
        <v>400</v>
      </c>
    </row>
    <row r="89" spans="1:6" ht="15" customHeight="1" x14ac:dyDescent="0.2">
      <c r="A89" s="72"/>
      <c r="B89" s="72"/>
      <c r="C89" s="72"/>
      <c r="D89" s="74" t="s">
        <v>52</v>
      </c>
      <c r="E89" s="75">
        <f>E81*E85</f>
        <v>19893.195</v>
      </c>
      <c r="F89" s="74" t="s">
        <v>397</v>
      </c>
    </row>
    <row r="90" spans="1:6" ht="15" customHeight="1" x14ac:dyDescent="0.2">
      <c r="A90" s="72"/>
      <c r="B90" s="72"/>
      <c r="C90" s="72"/>
      <c r="D90" s="69" t="s">
        <v>52</v>
      </c>
      <c r="E90" s="76">
        <f>E82*E85</f>
        <v>5539.9049999999997</v>
      </c>
      <c r="F90" s="69" t="s">
        <v>399</v>
      </c>
    </row>
    <row r="91" spans="1:6" ht="15" customHeight="1" x14ac:dyDescent="0.2">
      <c r="A91" s="72"/>
      <c r="B91" s="72"/>
      <c r="C91" s="72"/>
      <c r="D91" s="69" t="s">
        <v>52</v>
      </c>
      <c r="E91" s="76">
        <f>E83*E85</f>
        <v>47133.764999999999</v>
      </c>
      <c r="F91" s="69" t="s">
        <v>401</v>
      </c>
    </row>
    <row r="92" spans="1:6" ht="15" customHeight="1" x14ac:dyDescent="0.2">
      <c r="D92" s="12"/>
      <c r="E92" s="57"/>
      <c r="F92" s="13"/>
    </row>
    <row r="93" spans="1:6" ht="15" customHeight="1" x14ac:dyDescent="0.2">
      <c r="A93" s="55" t="s">
        <v>260</v>
      </c>
      <c r="B93" s="56" t="s">
        <v>261</v>
      </c>
      <c r="C93" s="56" t="s">
        <v>262</v>
      </c>
      <c r="D93" s="56" t="s">
        <v>263</v>
      </c>
      <c r="E93" s="56" t="s">
        <v>264</v>
      </c>
    </row>
    <row r="94" spans="1:6" ht="60" customHeight="1" x14ac:dyDescent="0.2">
      <c r="A94" s="79" t="s">
        <v>412</v>
      </c>
      <c r="B94" s="80"/>
      <c r="C94" s="80"/>
      <c r="D94" s="81"/>
      <c r="E94" s="56" t="s">
        <v>413</v>
      </c>
    </row>
    <row r="95" spans="1:6" ht="15" customHeight="1" x14ac:dyDescent="0.2">
      <c r="A95" s="63" t="s">
        <v>341</v>
      </c>
      <c r="B95" s="63" t="s">
        <v>341</v>
      </c>
      <c r="C95" s="63" t="s">
        <v>341</v>
      </c>
      <c r="D95" s="63" t="s">
        <v>341</v>
      </c>
      <c r="E95" s="56" t="s">
        <v>326</v>
      </c>
    </row>
    <row r="96" spans="1:6" ht="15" customHeight="1" x14ac:dyDescent="0.2">
      <c r="A96" s="63" t="s">
        <v>265</v>
      </c>
      <c r="B96" s="21">
        <v>1</v>
      </c>
      <c r="C96" s="21">
        <v>0.6</v>
      </c>
      <c r="D96" s="65">
        <f>C96</f>
        <v>0.6</v>
      </c>
      <c r="E96" s="66" t="e" cm="1">
        <f t="array" aca="1" ref="E96" ca="1">_xll.RiskDiscrete({4,5,6,7,8,9,10,11},{0.125,0.125,0.125,0.125,0.125,0.125,0.125,0.125})</f>
        <v>#VALUE!</v>
      </c>
    </row>
    <row r="97" spans="1:5" ht="15" customHeight="1" x14ac:dyDescent="0.2">
      <c r="A97" s="63" t="s">
        <v>320</v>
      </c>
      <c r="B97" s="21">
        <v>2</v>
      </c>
      <c r="C97" s="21">
        <v>0.1</v>
      </c>
      <c r="D97" s="21">
        <f>C97+D96</f>
        <v>0.7</v>
      </c>
      <c r="E97" s="66" t="e" cm="1">
        <f t="array" aca="1" ref="E97" ca="1">_xll.RiskDiscrete({1,2,3,12},{0.25,0.25,0.25,0.25})</f>
        <v>#VALUE!</v>
      </c>
    </row>
    <row r="98" spans="1:5" ht="15" customHeight="1" x14ac:dyDescent="0.2">
      <c r="A98" s="63" t="s">
        <v>267</v>
      </c>
      <c r="B98" s="21">
        <v>3</v>
      </c>
      <c r="C98" s="21">
        <v>0.3</v>
      </c>
      <c r="D98" s="65">
        <f>C98+D97</f>
        <v>1</v>
      </c>
      <c r="E98" s="66" t="e" cm="1">
        <f t="array" aca="1" ref="E98" ca="1">_xll.RiskDiscrete({1,2,3,12},{0.25,0.25,0.25,0.25})</f>
        <v>#VALUE!</v>
      </c>
    </row>
    <row r="99" spans="1:5" ht="15" customHeight="1" x14ac:dyDescent="0.2">
      <c r="A99" s="64" t="s">
        <v>266</v>
      </c>
      <c r="B99" s="21" cm="1">
        <f t="array" aca="1" ref="B99" ca="1">INDEX(B96:B98,COUNTIF(D96:D98,"&lt;="&amp;RAND())+1)</f>
        <v>1</v>
      </c>
      <c r="C99" s="21">
        <f ca="1">LOOKUP(B99,B96:B98,C96:C98)</f>
        <v>0.6</v>
      </c>
      <c r="D99" s="21"/>
      <c r="E99" s="67" t="e">
        <f ca="1">LOOKUP(B99,B96:B98,E96:E98)</f>
        <v>#VALUE!</v>
      </c>
    </row>
    <row r="102" spans="1:5" ht="15" customHeight="1" x14ac:dyDescent="0.2">
      <c r="A102" s="55" t="s">
        <v>268</v>
      </c>
      <c r="B102" s="56" t="s">
        <v>269</v>
      </c>
      <c r="C102" s="56" t="s">
        <v>47</v>
      </c>
    </row>
    <row r="103" spans="1:5" ht="15" customHeight="1" x14ac:dyDescent="0.2">
      <c r="A103" s="82" t="s">
        <v>414</v>
      </c>
      <c r="B103" s="83"/>
      <c r="C103" s="84"/>
    </row>
    <row r="104" spans="1:5" ht="15" customHeight="1" x14ac:dyDescent="0.2">
      <c r="A104" s="77" t="s">
        <v>341</v>
      </c>
      <c r="B104" s="77" t="s">
        <v>341</v>
      </c>
      <c r="C104" s="78" t="s">
        <v>13</v>
      </c>
    </row>
    <row r="105" spans="1:5" ht="15" customHeight="1" x14ac:dyDescent="0.2">
      <c r="A105" s="56" t="s">
        <v>270</v>
      </c>
      <c r="B105" s="21">
        <v>1</v>
      </c>
      <c r="C105" s="21">
        <f ca="1">IF($B$99=2,7.2, 8.9)</f>
        <v>8.9</v>
      </c>
    </row>
    <row r="106" spans="1:5" ht="15" customHeight="1" x14ac:dyDescent="0.2">
      <c r="A106" s="56" t="s">
        <v>271</v>
      </c>
      <c r="B106" s="21">
        <v>2</v>
      </c>
      <c r="C106" s="21">
        <f ca="1">IF($B$99=2,7.2, 9.9)</f>
        <v>9.9</v>
      </c>
    </row>
    <row r="107" spans="1:5" ht="15" customHeight="1" x14ac:dyDescent="0.2">
      <c r="A107" s="56" t="s">
        <v>272</v>
      </c>
      <c r="B107" s="21">
        <v>3</v>
      </c>
      <c r="C107" s="21">
        <f ca="1">IF($B$99=2,12.7, 12.9)</f>
        <v>12.9</v>
      </c>
    </row>
    <row r="108" spans="1:5" ht="15" customHeight="1" x14ac:dyDescent="0.2">
      <c r="A108" s="56" t="s">
        <v>273</v>
      </c>
      <c r="B108" s="21">
        <v>4</v>
      </c>
      <c r="C108" s="21">
        <v>8.1999999999999993</v>
      </c>
    </row>
    <row r="109" spans="1:5" ht="15" customHeight="1" x14ac:dyDescent="0.2">
      <c r="A109" s="56" t="s">
        <v>274</v>
      </c>
      <c r="B109" s="21">
        <v>5</v>
      </c>
      <c r="C109" s="21">
        <v>9.6999999999999993</v>
      </c>
    </row>
    <row r="110" spans="1:5" ht="15" customHeight="1" x14ac:dyDescent="0.2">
      <c r="A110" s="56" t="s">
        <v>275</v>
      </c>
      <c r="B110" s="21">
        <v>6</v>
      </c>
      <c r="C110" s="21">
        <v>11.4</v>
      </c>
    </row>
    <row r="111" spans="1:5" ht="15" customHeight="1" x14ac:dyDescent="0.2">
      <c r="A111" s="56" t="s">
        <v>276</v>
      </c>
      <c r="B111" s="21">
        <v>7</v>
      </c>
      <c r="C111" s="21">
        <v>13</v>
      </c>
    </row>
    <row r="112" spans="1:5" ht="15" customHeight="1" x14ac:dyDescent="0.2">
      <c r="A112" s="56" t="s">
        <v>277</v>
      </c>
      <c r="B112" s="21">
        <v>8</v>
      </c>
      <c r="C112" s="21">
        <v>13.3</v>
      </c>
    </row>
    <row r="113" spans="1:3" ht="15" customHeight="1" x14ac:dyDescent="0.2">
      <c r="A113" s="56" t="s">
        <v>278</v>
      </c>
      <c r="B113" s="21">
        <v>9</v>
      </c>
      <c r="C113" s="21">
        <v>13.1</v>
      </c>
    </row>
    <row r="114" spans="1:3" ht="15" customHeight="1" x14ac:dyDescent="0.2">
      <c r="A114" s="56" t="s">
        <v>279</v>
      </c>
      <c r="B114" s="21">
        <v>10</v>
      </c>
      <c r="C114" s="21">
        <v>11.2</v>
      </c>
    </row>
    <row r="115" spans="1:3" ht="15" customHeight="1" x14ac:dyDescent="0.2">
      <c r="A115" s="56" t="s">
        <v>280</v>
      </c>
      <c r="B115" s="21">
        <v>11</v>
      </c>
      <c r="C115" s="21">
        <v>8</v>
      </c>
    </row>
    <row r="116" spans="1:3" ht="15" customHeight="1" x14ac:dyDescent="0.2">
      <c r="A116" s="56" t="s">
        <v>281</v>
      </c>
      <c r="B116" s="21">
        <v>12</v>
      </c>
      <c r="C116" s="21">
        <f ca="1">IF($B$99=2,7.2, 8.3)</f>
        <v>8.3000000000000007</v>
      </c>
    </row>
    <row r="117" spans="1:3" ht="15" customHeight="1" x14ac:dyDescent="0.2">
      <c r="A117" s="56" t="s">
        <v>266</v>
      </c>
      <c r="B117" s="67" t="e">
        <f ca="1">E99</f>
        <v>#VALUE!</v>
      </c>
      <c r="C117" s="21" t="e">
        <f ca="1">LOOKUP(B117,B105:B116,C105:C116)</f>
        <v>#VALUE!</v>
      </c>
    </row>
    <row r="119" spans="1:3" ht="15" customHeight="1" x14ac:dyDescent="0.2">
      <c r="A119" s="13"/>
      <c r="B119" s="13"/>
    </row>
    <row r="120" spans="1:3" ht="15" customHeight="1" x14ac:dyDescent="0.2">
      <c r="A120" s="13"/>
      <c r="B120" s="13"/>
    </row>
    <row r="121" spans="1:3" ht="15" customHeight="1" x14ac:dyDescent="0.2">
      <c r="A121" s="13"/>
      <c r="B121" s="13"/>
    </row>
    <row r="122" spans="1:3" ht="15" customHeight="1" x14ac:dyDescent="0.2">
      <c r="A122" s="13"/>
      <c r="B122" s="13"/>
    </row>
    <row r="123" spans="1:3" ht="15" customHeight="1" x14ac:dyDescent="0.2">
      <c r="A123" s="13"/>
      <c r="B123" s="13"/>
    </row>
    <row r="124" spans="1:3" ht="15" customHeight="1" x14ac:dyDescent="0.2">
      <c r="A124" s="13"/>
      <c r="B124" s="13"/>
    </row>
  </sheetData>
  <mergeCells count="2">
    <mergeCell ref="A94:D94"/>
    <mergeCell ref="A103:C103"/>
  </mergeCells>
  <phoneticPr fontId="7" type="noConversion"/>
  <conditionalFormatting sqref="D79:D80">
    <cfRule type="expression" dxfId="6" priority="10" stopIfTrue="1">
      <formula>IF(RiskSelectedNameCell1=CELL("address",$C$333),TRUE)</formula>
    </cfRule>
  </conditionalFormatting>
  <conditionalFormatting sqref="E2:E7 E10 E16:E17 E22 E27:E29 E31:E32 E34 E37:E39 E42 E46:E47 E49 E51 E57 E62:E64 E68 E70 E79 E96:E98">
    <cfRule type="expression" dxfId="2" priority="11" stopIfTrue="1">
      <formula>RiskColorCellsSimOutput</formula>
    </cfRule>
    <cfRule type="expression" dxfId="1" priority="12" stopIfTrue="1">
      <formula>RiskColorCellsSimInput</formula>
    </cfRule>
    <cfRule type="expression" dxfId="0" priority="13" stopIfTrue="1">
      <formula>RiskColorCellsSimStatistics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898E4-C3B8-4D25-AE46-B46E5F0A75AD}">
  <dimension ref="A1:BU28"/>
  <sheetViews>
    <sheetView workbookViewId="0"/>
  </sheetViews>
  <sheetFormatPr defaultColWidth="15.7109375" defaultRowHeight="15" x14ac:dyDescent="0.25"/>
  <cols>
    <col min="1" max="16384" width="15.7109375" style="1"/>
  </cols>
  <sheetData>
    <row r="1" spans="1:73" x14ac:dyDescent="0.25">
      <c r="A1" s="1" t="s">
        <v>176</v>
      </c>
      <c r="B1" s="7" t="e">
        <f>#REF!</f>
        <v>#REF!</v>
      </c>
      <c r="C1" s="3">
        <v>8</v>
      </c>
      <c r="D1" s="3">
        <v>0.5</v>
      </c>
      <c r="E1" s="5"/>
      <c r="F1" s="1" t="s">
        <v>213</v>
      </c>
      <c r="I1" s="1" t="s">
        <v>169</v>
      </c>
      <c r="J1" s="5">
        <v>4</v>
      </c>
      <c r="L1" s="1" t="s">
        <v>166</v>
      </c>
      <c r="M1" s="5" t="b">
        <v>1</v>
      </c>
      <c r="O1" s="1" t="s">
        <v>161</v>
      </c>
      <c r="Y1" s="1" t="s">
        <v>178</v>
      </c>
      <c r="AA1" s="1" t="s">
        <v>221</v>
      </c>
      <c r="AD1" s="1" t="s">
        <v>196</v>
      </c>
      <c r="AG1" s="1" t="s">
        <v>193</v>
      </c>
    </row>
    <row r="2" spans="1:73" x14ac:dyDescent="0.25">
      <c r="A2" s="1" t="s">
        <v>177</v>
      </c>
      <c r="B2" s="7">
        <v>3</v>
      </c>
      <c r="C2" s="7">
        <v>1</v>
      </c>
      <c r="F2" s="1" t="s">
        <v>214</v>
      </c>
      <c r="G2" s="7" t="b">
        <v>0</v>
      </c>
      <c r="H2" s="7"/>
      <c r="I2" s="1" t="s">
        <v>159</v>
      </c>
      <c r="J2" s="5"/>
      <c r="L2" s="1" t="s">
        <v>207</v>
      </c>
      <c r="M2" s="3">
        <v>1000</v>
      </c>
      <c r="O2" s="1" t="s">
        <v>162</v>
      </c>
      <c r="P2" s="5"/>
      <c r="R2" s="1" t="s">
        <v>170</v>
      </c>
      <c r="S2" s="6" t="s">
        <v>91</v>
      </c>
      <c r="U2" s="1" t="s">
        <v>174</v>
      </c>
      <c r="V2" s="5"/>
      <c r="X2" s="1" t="s">
        <v>179</v>
      </c>
      <c r="Y2" s="7">
        <v>0</v>
      </c>
      <c r="AA2" s="1" t="s">
        <v>222</v>
      </c>
      <c r="AB2" s="7">
        <v>0</v>
      </c>
      <c r="AD2" s="1" t="s">
        <v>197</v>
      </c>
      <c r="AE2" s="7" t="b">
        <v>1</v>
      </c>
      <c r="AG2" s="1" t="s">
        <v>194</v>
      </c>
      <c r="AH2" s="3">
        <v>1</v>
      </c>
    </row>
    <row r="3" spans="1:73" x14ac:dyDescent="0.25">
      <c r="A3" s="1" t="s">
        <v>189</v>
      </c>
      <c r="B3" s="7" t="b">
        <v>1</v>
      </c>
      <c r="C3" s="7">
        <v>1000</v>
      </c>
      <c r="F3" s="1" t="s">
        <v>215</v>
      </c>
      <c r="G3" s="7" t="b">
        <v>0</v>
      </c>
      <c r="H3" s="7"/>
      <c r="I3" s="1" t="s">
        <v>160</v>
      </c>
      <c r="J3" s="5"/>
      <c r="L3" s="1" t="s">
        <v>206</v>
      </c>
      <c r="M3" s="3">
        <v>1</v>
      </c>
      <c r="N3" s="3">
        <v>0</v>
      </c>
      <c r="O3" s="1" t="s">
        <v>163</v>
      </c>
      <c r="P3" s="5"/>
      <c r="R3" s="1" t="s">
        <v>89</v>
      </c>
      <c r="S3" s="6" t="s">
        <v>242</v>
      </c>
      <c r="U3" s="1" t="s">
        <v>175</v>
      </c>
      <c r="V3" s="5"/>
      <c r="X3" s="1" t="s">
        <v>180</v>
      </c>
      <c r="Y3" s="7">
        <v>0.1</v>
      </c>
      <c r="AA3" s="1" t="s">
        <v>223</v>
      </c>
      <c r="AB3" s="5"/>
      <c r="AD3" s="1" t="s">
        <v>198</v>
      </c>
      <c r="AE3" s="7">
        <v>250</v>
      </c>
      <c r="AG3" s="1" t="s">
        <v>195</v>
      </c>
      <c r="AH3" s="3">
        <v>-1</v>
      </c>
    </row>
    <row r="4" spans="1:73" x14ac:dyDescent="0.25">
      <c r="A4" s="1" t="s">
        <v>191</v>
      </c>
      <c r="B4" s="7" t="b">
        <v>0</v>
      </c>
      <c r="C4" s="7">
        <v>5</v>
      </c>
      <c r="D4" s="7">
        <v>2</v>
      </c>
      <c r="F4" s="1" t="s">
        <v>216</v>
      </c>
      <c r="G4" s="7" t="b">
        <v>0</v>
      </c>
      <c r="H4" s="7"/>
      <c r="L4" s="1" t="s">
        <v>186</v>
      </c>
      <c r="M4" s="3" t="b">
        <v>1</v>
      </c>
      <c r="O4" s="1" t="s">
        <v>164</v>
      </c>
      <c r="P4" s="5"/>
      <c r="R4" s="1" t="s">
        <v>90</v>
      </c>
      <c r="S4" s="6" t="s">
        <v>228</v>
      </c>
      <c r="X4" s="1" t="s">
        <v>181</v>
      </c>
      <c r="Y4" s="7">
        <v>0.5</v>
      </c>
      <c r="AA4" s="1" t="s">
        <v>224</v>
      </c>
      <c r="AB4" s="5"/>
      <c r="AD4" s="1" t="s">
        <v>199</v>
      </c>
      <c r="AE4" s="7" t="b">
        <v>0</v>
      </c>
    </row>
    <row r="5" spans="1:73" x14ac:dyDescent="0.25">
      <c r="A5" s="1" t="s">
        <v>192</v>
      </c>
      <c r="B5" s="7" t="b">
        <v>0</v>
      </c>
      <c r="C5" s="7">
        <v>100</v>
      </c>
      <c r="D5" s="7">
        <v>0.01</v>
      </c>
      <c r="E5" s="7" t="b">
        <v>1</v>
      </c>
      <c r="F5" s="1" t="s">
        <v>217</v>
      </c>
      <c r="G5" s="7" t="b">
        <v>0</v>
      </c>
      <c r="H5" s="7"/>
      <c r="L5" s="1" t="s">
        <v>187</v>
      </c>
      <c r="M5" s="3">
        <v>3</v>
      </c>
      <c r="O5" s="1" t="s">
        <v>165</v>
      </c>
      <c r="P5" s="5"/>
      <c r="R5" s="1" t="s">
        <v>171</v>
      </c>
      <c r="S5" s="6" t="s">
        <v>316</v>
      </c>
      <c r="X5" s="1" t="s">
        <v>182</v>
      </c>
      <c r="Y5" s="7" t="s">
        <v>227</v>
      </c>
      <c r="AA5" s="1" t="s">
        <v>225</v>
      </c>
      <c r="AB5" s="5"/>
      <c r="AD5" s="1" t="s">
        <v>200</v>
      </c>
      <c r="AE5" s="7">
        <v>15</v>
      </c>
    </row>
    <row r="6" spans="1:73" x14ac:dyDescent="0.25">
      <c r="A6" s="1" t="s">
        <v>190</v>
      </c>
      <c r="B6" s="7" t="b">
        <v>0</v>
      </c>
      <c r="C6" s="7"/>
      <c r="F6" s="1" t="s">
        <v>218</v>
      </c>
      <c r="G6" s="7" t="b">
        <v>0</v>
      </c>
      <c r="H6" s="7"/>
      <c r="L6" s="1" t="s">
        <v>219</v>
      </c>
      <c r="M6" s="3" t="b">
        <v>0</v>
      </c>
      <c r="N6" s="3"/>
      <c r="R6" s="1" t="s">
        <v>172</v>
      </c>
      <c r="S6" s="5"/>
      <c r="X6" s="1" t="s">
        <v>183</v>
      </c>
      <c r="Y6" s="3" t="b">
        <v>1</v>
      </c>
      <c r="AA6" s="1" t="s">
        <v>226</v>
      </c>
      <c r="AB6" s="5"/>
      <c r="AD6" s="1" t="s">
        <v>201</v>
      </c>
      <c r="AE6" s="7">
        <v>2</v>
      </c>
    </row>
    <row r="7" spans="1:73" x14ac:dyDescent="0.25">
      <c r="A7" s="1" t="s">
        <v>184</v>
      </c>
      <c r="B7" s="7">
        <v>50</v>
      </c>
      <c r="L7" s="1" t="s">
        <v>220</v>
      </c>
      <c r="M7" s="3" t="b">
        <v>0</v>
      </c>
      <c r="N7" s="3"/>
      <c r="R7" s="1" t="s">
        <v>173</v>
      </c>
      <c r="S7" s="5" t="b">
        <v>1</v>
      </c>
      <c r="AD7" s="1" t="s">
        <v>202</v>
      </c>
      <c r="AE7" s="7" t="b">
        <v>0</v>
      </c>
    </row>
    <row r="8" spans="1:73" x14ac:dyDescent="0.25">
      <c r="A8" s="1" t="s">
        <v>126</v>
      </c>
      <c r="B8" s="1" t="s">
        <v>126</v>
      </c>
      <c r="F8" s="1" t="s">
        <v>185</v>
      </c>
      <c r="G8" s="7" t="b">
        <v>1</v>
      </c>
      <c r="H8" s="7">
        <v>1</v>
      </c>
      <c r="AD8" s="1" t="s">
        <v>203</v>
      </c>
      <c r="AE8" s="7">
        <v>100</v>
      </c>
    </row>
    <row r="9" spans="1:73" x14ac:dyDescent="0.25">
      <c r="A9" s="1" t="s">
        <v>212</v>
      </c>
      <c r="B9" s="7">
        <v>3</v>
      </c>
      <c r="F9" s="1" t="s">
        <v>209</v>
      </c>
      <c r="G9" s="7" t="b">
        <v>0</v>
      </c>
      <c r="AD9" s="1" t="s">
        <v>204</v>
      </c>
      <c r="AE9" s="7">
        <v>0.01</v>
      </c>
    </row>
    <row r="10" spans="1:73" x14ac:dyDescent="0.25">
      <c r="A10" s="1" t="s">
        <v>188</v>
      </c>
      <c r="B10" s="7" t="b">
        <v>0</v>
      </c>
      <c r="AD10" s="1" t="s">
        <v>205</v>
      </c>
      <c r="AE10" s="7" t="b">
        <v>1</v>
      </c>
    </row>
    <row r="11" spans="1:73" x14ac:dyDescent="0.25">
      <c r="A11" s="1" t="s">
        <v>208</v>
      </c>
      <c r="B11" s="7" t="b">
        <v>1</v>
      </c>
    </row>
    <row r="12" spans="1:73" x14ac:dyDescent="0.25">
      <c r="A12" s="1" t="s">
        <v>211</v>
      </c>
      <c r="B12" s="7" t="b">
        <v>0</v>
      </c>
      <c r="F12" s="1" t="s">
        <v>210</v>
      </c>
      <c r="G12" s="7">
        <v>2</v>
      </c>
    </row>
    <row r="14" spans="1:73" ht="15.75" thickBot="1" x14ac:dyDescent="0.3">
      <c r="A14" s="1" t="s">
        <v>167</v>
      </c>
      <c r="B14" s="5">
        <v>1</v>
      </c>
      <c r="AX14" s="1" t="s">
        <v>168</v>
      </c>
      <c r="AY14" s="5">
        <v>1</v>
      </c>
    </row>
    <row r="15" spans="1:73" s="2" customFormat="1" ht="15.75" thickTop="1" x14ac:dyDescent="0.25">
      <c r="A15" s="2" t="s">
        <v>127</v>
      </c>
      <c r="B15" s="2" t="s">
        <v>128</v>
      </c>
      <c r="C15" s="2" t="s">
        <v>129</v>
      </c>
      <c r="D15" s="2" t="s">
        <v>1</v>
      </c>
      <c r="E15" s="2" t="s">
        <v>130</v>
      </c>
      <c r="F15" s="2" t="s">
        <v>131</v>
      </c>
      <c r="G15" s="2" t="s">
        <v>132</v>
      </c>
      <c r="H15" s="2" t="s">
        <v>133</v>
      </c>
      <c r="I15" s="2" t="s">
        <v>134</v>
      </c>
      <c r="J15" s="2" t="s">
        <v>135</v>
      </c>
      <c r="K15" s="2" t="s">
        <v>136</v>
      </c>
      <c r="AX15" s="2" t="s">
        <v>137</v>
      </c>
      <c r="AY15" s="2" t="s">
        <v>138</v>
      </c>
      <c r="AZ15" s="2" t="s">
        <v>4</v>
      </c>
      <c r="BA15" s="2" t="s">
        <v>1</v>
      </c>
      <c r="BB15" s="2" t="s">
        <v>139</v>
      </c>
      <c r="BC15" s="2" t="s">
        <v>140</v>
      </c>
      <c r="BD15" s="2" t="s">
        <v>141</v>
      </c>
      <c r="BE15" s="2" t="s">
        <v>142</v>
      </c>
      <c r="BF15" s="2" t="s">
        <v>143</v>
      </c>
      <c r="BG15" s="2" t="s">
        <v>144</v>
      </c>
      <c r="BH15" s="2" t="s">
        <v>145</v>
      </c>
      <c r="BI15" s="2" t="s">
        <v>146</v>
      </c>
      <c r="BJ15" s="2" t="s">
        <v>147</v>
      </c>
      <c r="BK15" s="2" t="s">
        <v>148</v>
      </c>
      <c r="BL15" s="2" t="s">
        <v>149</v>
      </c>
      <c r="BM15" s="2" t="s">
        <v>150</v>
      </c>
      <c r="BN15" s="2" t="s">
        <v>151</v>
      </c>
      <c r="BO15" s="2" t="s">
        <v>152</v>
      </c>
      <c r="BP15" s="2" t="s">
        <v>153</v>
      </c>
      <c r="BQ15" s="2" t="s">
        <v>154</v>
      </c>
      <c r="BR15" s="2" t="s">
        <v>155</v>
      </c>
      <c r="BS15" s="2" t="s">
        <v>156</v>
      </c>
      <c r="BT15" s="2" t="s">
        <v>157</v>
      </c>
      <c r="BU15" s="2" t="s">
        <v>158</v>
      </c>
    </row>
    <row r="16" spans="1:73" x14ac:dyDescent="0.25">
      <c r="A16" s="1" t="s">
        <v>247</v>
      </c>
      <c r="B16" s="1">
        <v>0.1</v>
      </c>
      <c r="C16" s="1">
        <v>0.5</v>
      </c>
      <c r="D16" s="4" t="s">
        <v>240</v>
      </c>
      <c r="G16" s="1">
        <v>1</v>
      </c>
      <c r="H16" s="1" t="e">
        <f>#REF!</f>
        <v>#REF!</v>
      </c>
      <c r="M16" s="1" t="b">
        <v>0</v>
      </c>
      <c r="AX16" s="1">
        <v>2</v>
      </c>
      <c r="AY16" s="1">
        <v>1</v>
      </c>
      <c r="BA16" s="1" t="s">
        <v>241</v>
      </c>
      <c r="BB16" s="1">
        <v>0</v>
      </c>
      <c r="BC16" s="1">
        <v>6</v>
      </c>
      <c r="BD16" s="1" t="e">
        <f>#REF!</f>
        <v>#REF!</v>
      </c>
      <c r="BE16" s="1">
        <v>4</v>
      </c>
      <c r="BF16" s="1">
        <v>1</v>
      </c>
      <c r="BH16" s="1">
        <v>1</v>
      </c>
      <c r="BI16" s="1">
        <v>6</v>
      </c>
      <c r="BJ16" s="1">
        <v>0</v>
      </c>
      <c r="BK16" s="1">
        <v>-1</v>
      </c>
      <c r="BL16" s="1" t="b">
        <v>1</v>
      </c>
      <c r="BM16" s="1" t="b">
        <v>0</v>
      </c>
      <c r="BN16" s="1" t="b">
        <v>0</v>
      </c>
    </row>
    <row r="17" spans="1:1" x14ac:dyDescent="0.25">
      <c r="A17" s="1" t="s">
        <v>229</v>
      </c>
    </row>
    <row r="18" spans="1:1" x14ac:dyDescent="0.25">
      <c r="A18" s="1" t="s">
        <v>230</v>
      </c>
    </row>
    <row r="19" spans="1:1" x14ac:dyDescent="0.25">
      <c r="A19" s="1" t="s">
        <v>231</v>
      </c>
    </row>
    <row r="20" spans="1:1" x14ac:dyDescent="0.25">
      <c r="A20" s="1" t="s">
        <v>232</v>
      </c>
    </row>
    <row r="21" spans="1:1" x14ac:dyDescent="0.25">
      <c r="A21" s="1" t="s">
        <v>233</v>
      </c>
    </row>
    <row r="22" spans="1:1" x14ac:dyDescent="0.25">
      <c r="A22" s="1" t="s">
        <v>234</v>
      </c>
    </row>
    <row r="23" spans="1:1" x14ac:dyDescent="0.25">
      <c r="A23" s="1" t="s">
        <v>235</v>
      </c>
    </row>
    <row r="24" spans="1:1" x14ac:dyDescent="0.25">
      <c r="A24" s="1" t="s">
        <v>236</v>
      </c>
    </row>
    <row r="25" spans="1:1" x14ac:dyDescent="0.25">
      <c r="A25" s="1" t="s">
        <v>237</v>
      </c>
    </row>
    <row r="26" spans="1:1" x14ac:dyDescent="0.25">
      <c r="A26" s="1" t="s">
        <v>238</v>
      </c>
    </row>
    <row r="27" spans="1:1" x14ac:dyDescent="0.25">
      <c r="A27" s="1" t="s">
        <v>239</v>
      </c>
    </row>
    <row r="28" spans="1:1" x14ac:dyDescent="0.25">
      <c r="A28" s="1" t="s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C843-9B10-409A-87D4-7264EA83D886}">
  <dimension ref="C3"/>
  <sheetViews>
    <sheetView workbookViewId="0"/>
  </sheetViews>
  <sheetFormatPr defaultRowHeight="15" x14ac:dyDescent="0.25"/>
  <sheetData>
    <row r="3" spans="3:3" x14ac:dyDescent="0.25"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senseInfo</vt:lpstr>
      <vt:lpstr>_AdvSensInfo_</vt:lpstr>
      <vt:lpstr>RiskSerializationData8</vt:lpstr>
      <vt:lpstr>Postharvest model</vt:lpstr>
      <vt:lpstr>ro_HiddenInfo</vt:lpstr>
      <vt:lpstr>_PalUtilTempWorksheet</vt:lpstr>
      <vt:lpstr>RiskSerializationData8!BrowseRecords</vt:lpstr>
      <vt:lpstr>RiskSerializationData8!SerializationHeader</vt:lpstr>
    </vt:vector>
  </TitlesOfParts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 Bulut</dc:creator>
  <cp:lastModifiedBy>Ece Bulut</cp:lastModifiedBy>
  <dcterms:created xsi:type="dcterms:W3CDTF">2021-01-14T00:48:39Z</dcterms:created>
  <dcterms:modified xsi:type="dcterms:W3CDTF">2025-01-28T01:43:46Z</dcterms:modified>
</cp:coreProperties>
</file>