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ivano\OneDrive\Рабочий стол\"/>
    </mc:Choice>
  </mc:AlternateContent>
  <xr:revisionPtr revIDLastSave="0" documentId="13_ncr:1_{9F386B78-6E54-49B8-93BE-016730F50556}" xr6:coauthVersionLast="47" xr6:coauthVersionMax="47" xr10:uidLastSave="{00000000-0000-0000-0000-000000000000}"/>
  <bookViews>
    <workbookView xWindow="-110" yWindow="-110" windowWidth="19420" windowHeight="10300" firstSheet="10" activeTab="11" xr2:uid="{00000000-000D-0000-FFFF-FFFF00000000}"/>
  </bookViews>
  <sheets>
    <sheet name="ЛР1-1" sheetId="2" r:id="rId1"/>
    <sheet name="ЛР1-2" sheetId="3" r:id="rId2"/>
    <sheet name="ЛР1-3" sheetId="4" r:id="rId3"/>
    <sheet name="ЛР3" sheetId="5" r:id="rId4"/>
    <sheet name="ЛР4" sheetId="6" r:id="rId5"/>
    <sheet name="ЛР5" sheetId="7" r:id="rId6"/>
    <sheet name="ЛР7" sheetId="8" r:id="rId7"/>
    <sheet name="ЛР8" sheetId="9" r:id="rId8"/>
    <sheet name="ЛР8 чоу" sheetId="10" r:id="rId9"/>
    <sheet name="Диаграмма расеинивания" sheetId="11" r:id="rId10"/>
    <sheet name="Диагр рас" sheetId="12" r:id="rId11"/>
    <sheet name="недоконца 6" sheetId="13" r:id="rId12"/>
  </sheets>
  <externalReferences>
    <externalReference r:id="rId13"/>
  </externalReferences>
  <definedNames>
    <definedName name="solver_adj" localSheetId="9" hidden="1">'Диаграмма расеинивания'!$M$2:$N$2</definedName>
    <definedName name="solver_adj" localSheetId="11" hidden="1">'недоконца 6'!$F$2:$I$2</definedName>
    <definedName name="solver_cvg" localSheetId="9" hidden="1">0.0001</definedName>
    <definedName name="solver_cvg" localSheetId="11" hidden="1">0.0001</definedName>
    <definedName name="solver_drv" localSheetId="9" hidden="1">1</definedName>
    <definedName name="solver_drv" localSheetId="11" hidden="1">1</definedName>
    <definedName name="solver_eng" localSheetId="9" hidden="1">1</definedName>
    <definedName name="solver_eng" localSheetId="7" hidden="1">1</definedName>
    <definedName name="solver_eng" localSheetId="8" hidden="1">1</definedName>
    <definedName name="solver_eng" localSheetId="11" hidden="1">3</definedName>
    <definedName name="solver_est" localSheetId="9" hidden="1">1</definedName>
    <definedName name="solver_est" localSheetId="11" hidden="1">1</definedName>
    <definedName name="solver_itr" localSheetId="9" hidden="1">2147483647</definedName>
    <definedName name="solver_itr" localSheetId="11" hidden="1">2147483647</definedName>
    <definedName name="solver_lhs1" localSheetId="11" hidden="1">'недоконца 6'!$F$2</definedName>
    <definedName name="solver_lhs2" localSheetId="11" hidden="1">'недоконца 6'!$F$2</definedName>
    <definedName name="solver_lhs3" localSheetId="11" hidden="1">'недоконца 6'!$G$2</definedName>
    <definedName name="solver_lhs4" localSheetId="11" hidden="1">'недоконца 6'!$G$2</definedName>
    <definedName name="solver_lhs5" localSheetId="11" hidden="1">'недоконца 6'!$H$2</definedName>
    <definedName name="solver_lhs6" localSheetId="11" hidden="1">'недоконца 6'!$H$2</definedName>
    <definedName name="solver_lhs7" localSheetId="11" hidden="1">'недоконца 6'!$I$2</definedName>
    <definedName name="solver_lhs8" localSheetId="11" hidden="1">'недоконца 6'!$I$2</definedName>
    <definedName name="solver_mip" localSheetId="9" hidden="1">2147483647</definedName>
    <definedName name="solver_mip" localSheetId="11" hidden="1">2147483647</definedName>
    <definedName name="solver_mni" localSheetId="9" hidden="1">30</definedName>
    <definedName name="solver_mni" localSheetId="11" hidden="1">30</definedName>
    <definedName name="solver_mrt" localSheetId="9" hidden="1">0.075</definedName>
    <definedName name="solver_mrt" localSheetId="11" hidden="1">0.075</definedName>
    <definedName name="solver_msl" localSheetId="9" hidden="1">2</definedName>
    <definedName name="solver_msl" localSheetId="11" hidden="1">2</definedName>
    <definedName name="solver_neg" localSheetId="9" hidden="1">2</definedName>
    <definedName name="solver_neg" localSheetId="7" hidden="1">1</definedName>
    <definedName name="solver_neg" localSheetId="8" hidden="1">1</definedName>
    <definedName name="solver_neg" localSheetId="11" hidden="1">1</definedName>
    <definedName name="solver_nod" localSheetId="9" hidden="1">2147483647</definedName>
    <definedName name="solver_nod" localSheetId="11" hidden="1">2147483647</definedName>
    <definedName name="solver_num" localSheetId="9" hidden="1">0</definedName>
    <definedName name="solver_num" localSheetId="7" hidden="1">0</definedName>
    <definedName name="solver_num" localSheetId="8" hidden="1">0</definedName>
    <definedName name="solver_num" localSheetId="11" hidden="1">8</definedName>
    <definedName name="solver_nwt" localSheetId="9" hidden="1">1</definedName>
    <definedName name="solver_nwt" localSheetId="11" hidden="1">1</definedName>
    <definedName name="solver_opt" localSheetId="9" hidden="1">'Диаграмма расеинивания'!$Q$2</definedName>
    <definedName name="solver_opt" localSheetId="7" hidden="1">ЛР8!$H$3</definedName>
    <definedName name="solver_opt" localSheetId="8" hidden="1">'ЛР8 чоу'!$A$93</definedName>
    <definedName name="solver_opt" localSheetId="11" hidden="1">'недоконца 6'!$M$2</definedName>
    <definedName name="solver_pre" localSheetId="9" hidden="1">0.000001</definedName>
    <definedName name="solver_pre" localSheetId="11" hidden="1">0.000001</definedName>
    <definedName name="solver_rbv" localSheetId="9" hidden="1">1</definedName>
    <definedName name="solver_rbv" localSheetId="11" hidden="1">1</definedName>
    <definedName name="solver_rel1" localSheetId="11" hidden="1">1</definedName>
    <definedName name="solver_rel2" localSheetId="11" hidden="1">3</definedName>
    <definedName name="solver_rel3" localSheetId="11" hidden="1">1</definedName>
    <definedName name="solver_rel4" localSheetId="11" hidden="1">3</definedName>
    <definedName name="solver_rel5" localSheetId="11" hidden="1">1</definedName>
    <definedName name="solver_rel6" localSheetId="11" hidden="1">3</definedName>
    <definedName name="solver_rel7" localSheetId="11" hidden="1">1</definedName>
    <definedName name="solver_rel8" localSheetId="11" hidden="1">3</definedName>
    <definedName name="solver_rhs1" localSheetId="11" hidden="1">10</definedName>
    <definedName name="solver_rhs2" localSheetId="11" hidden="1">-10</definedName>
    <definedName name="solver_rhs3" localSheetId="11" hidden="1">10</definedName>
    <definedName name="solver_rhs4" localSheetId="11" hidden="1">-10</definedName>
    <definedName name="solver_rhs5" localSheetId="11" hidden="1">10</definedName>
    <definedName name="solver_rhs6" localSheetId="11" hidden="1">-10</definedName>
    <definedName name="solver_rhs7" localSheetId="11" hidden="1">10</definedName>
    <definedName name="solver_rhs8" localSheetId="11" hidden="1">-10</definedName>
    <definedName name="solver_rlx" localSheetId="9" hidden="1">2</definedName>
    <definedName name="solver_rlx" localSheetId="11" hidden="1">2</definedName>
    <definedName name="solver_rsd" localSheetId="9" hidden="1">0</definedName>
    <definedName name="solver_rsd" localSheetId="11" hidden="1">0</definedName>
    <definedName name="solver_scl" localSheetId="9" hidden="1">1</definedName>
    <definedName name="solver_scl" localSheetId="11" hidden="1">1</definedName>
    <definedName name="solver_sho" localSheetId="9" hidden="1">2</definedName>
    <definedName name="solver_sho" localSheetId="11" hidden="1">2</definedName>
    <definedName name="solver_ssz" localSheetId="9" hidden="1">100</definedName>
    <definedName name="solver_ssz" localSheetId="11" hidden="1">100</definedName>
    <definedName name="solver_tim" localSheetId="9" hidden="1">2147483647</definedName>
    <definedName name="solver_tim" localSheetId="11" hidden="1">2147483647</definedName>
    <definedName name="solver_tol" localSheetId="9" hidden="1">0.01</definedName>
    <definedName name="solver_tol" localSheetId="11" hidden="1">0.01</definedName>
    <definedName name="solver_typ" localSheetId="9" hidden="1">2</definedName>
    <definedName name="solver_typ" localSheetId="7" hidden="1">1</definedName>
    <definedName name="solver_typ" localSheetId="8" hidden="1">1</definedName>
    <definedName name="solver_typ" localSheetId="11" hidden="1">2</definedName>
    <definedName name="solver_val" localSheetId="9" hidden="1">0</definedName>
    <definedName name="solver_val" localSheetId="7" hidden="1">0</definedName>
    <definedName name="solver_val" localSheetId="8" hidden="1">0</definedName>
    <definedName name="solver_val" localSheetId="11" hidden="1">0</definedName>
    <definedName name="solver_ver" localSheetId="9" hidden="1">3</definedName>
    <definedName name="solver_ver" localSheetId="7" hidden="1">3</definedName>
    <definedName name="solver_ver" localSheetId="8" hidden="1">3</definedName>
    <definedName name="solver_ver" localSheetId="1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3" l="1"/>
  <c r="L2" i="13" s="1"/>
  <c r="K3" i="13"/>
  <c r="L3" i="13" s="1"/>
  <c r="K4" i="13"/>
  <c r="L4" i="13"/>
  <c r="K5" i="13"/>
  <c r="L5" i="13" s="1"/>
  <c r="K6" i="13"/>
  <c r="L6" i="13"/>
  <c r="K7" i="13"/>
  <c r="L7" i="13"/>
  <c r="K8" i="13"/>
  <c r="L8" i="13"/>
  <c r="T8" i="13" a="1"/>
  <c r="U9" i="13" s="1"/>
  <c r="Y8" i="13" a="1"/>
  <c r="Y8" i="13" s="1"/>
  <c r="K9" i="13"/>
  <c r="L9" i="13" s="1"/>
  <c r="K10" i="13"/>
  <c r="L10" i="13"/>
  <c r="K11" i="13"/>
  <c r="L11" i="13" s="1"/>
  <c r="K12" i="13"/>
  <c r="L12" i="13"/>
  <c r="K13" i="13"/>
  <c r="L13" i="13"/>
  <c r="K14" i="13"/>
  <c r="L14" i="13" s="1"/>
  <c r="K15" i="13"/>
  <c r="L15" i="13" s="1"/>
  <c r="K16" i="13"/>
  <c r="L16" i="13" s="1"/>
  <c r="K17" i="13"/>
  <c r="L17" i="13"/>
  <c r="K18" i="13"/>
  <c r="L18" i="13" s="1"/>
  <c r="K19" i="13"/>
  <c r="L19" i="13"/>
  <c r="K20" i="13"/>
  <c r="L20" i="13"/>
  <c r="K21" i="13"/>
  <c r="L21" i="13"/>
  <c r="D45" i="12"/>
  <c r="E45" i="12" s="1"/>
  <c r="D46" i="12"/>
  <c r="D47" i="12"/>
  <c r="D48" i="12"/>
  <c r="D49" i="12"/>
  <c r="D50" i="12"/>
  <c r="D51" i="12"/>
  <c r="D52" i="12"/>
  <c r="D53" i="12"/>
  <c r="D54" i="12"/>
  <c r="D55" i="12"/>
  <c r="D56" i="12"/>
  <c r="D57" i="12"/>
  <c r="D58" i="12"/>
  <c r="D59" i="12"/>
  <c r="D72" i="12"/>
  <c r="D73" i="12"/>
  <c r="D74" i="12"/>
  <c r="D75" i="12"/>
  <c r="D76" i="12"/>
  <c r="D77" i="12"/>
  <c r="D78" i="12"/>
  <c r="D79" i="12"/>
  <c r="D80" i="12"/>
  <c r="D81" i="12"/>
  <c r="D82" i="12"/>
  <c r="D83" i="12"/>
  <c r="D84" i="12"/>
  <c r="D85" i="12"/>
  <c r="D86" i="12"/>
  <c r="B87" i="12"/>
  <c r="I115" i="12" s="1"/>
  <c r="D113" i="12"/>
  <c r="H113" i="12" s="1"/>
  <c r="E113" i="12"/>
  <c r="F113" i="12"/>
  <c r="D114" i="12"/>
  <c r="H114" i="12" s="1"/>
  <c r="E114" i="12"/>
  <c r="F114" i="12"/>
  <c r="I114" i="12"/>
  <c r="D115" i="12"/>
  <c r="E115" i="12"/>
  <c r="F115" i="12"/>
  <c r="H115" i="12"/>
  <c r="D116" i="12"/>
  <c r="E116" i="12" s="1"/>
  <c r="F116" i="12" s="1"/>
  <c r="H116" i="12"/>
  <c r="I116" i="12"/>
  <c r="D117" i="12"/>
  <c r="E117" i="12"/>
  <c r="F117" i="12"/>
  <c r="H117" i="12"/>
  <c r="I117" i="12"/>
  <c r="D118" i="12"/>
  <c r="E118" i="12" s="1"/>
  <c r="F118" i="12" s="1"/>
  <c r="D119" i="12"/>
  <c r="H119" i="12" s="1"/>
  <c r="E119" i="12"/>
  <c r="F119" i="12" s="1"/>
  <c r="I119" i="12"/>
  <c r="D120" i="12"/>
  <c r="H120" i="12" s="1"/>
  <c r="E120" i="12"/>
  <c r="F120" i="12"/>
  <c r="D121" i="12"/>
  <c r="E121" i="12"/>
  <c r="F121" i="12"/>
  <c r="H121" i="12"/>
  <c r="D122" i="12"/>
  <c r="E122" i="12"/>
  <c r="F122" i="12"/>
  <c r="H122" i="12"/>
  <c r="I122" i="12"/>
  <c r="D123" i="12"/>
  <c r="E123" i="12" s="1"/>
  <c r="F123" i="12" s="1"/>
  <c r="I123" i="12"/>
  <c r="D124" i="12"/>
  <c r="E124" i="12" s="1"/>
  <c r="F124" i="12" s="1"/>
  <c r="H124" i="12"/>
  <c r="I124" i="12"/>
  <c r="D125" i="12"/>
  <c r="H125" i="12" s="1"/>
  <c r="E125" i="12"/>
  <c r="F125" i="12" s="1"/>
  <c r="D126" i="12"/>
  <c r="H126" i="12" s="1"/>
  <c r="E126" i="12"/>
  <c r="F126" i="12"/>
  <c r="I126" i="12"/>
  <c r="D127" i="12"/>
  <c r="E127" i="12"/>
  <c r="F127" i="12"/>
  <c r="H127" i="12"/>
  <c r="O2" i="11"/>
  <c r="P2" i="11" s="1"/>
  <c r="O3" i="11"/>
  <c r="R3" i="11" s="1"/>
  <c r="P3" i="11"/>
  <c r="O4" i="11"/>
  <c r="P4" i="11"/>
  <c r="R4" i="11"/>
  <c r="O5" i="11"/>
  <c r="P5" i="11" s="1"/>
  <c r="O6" i="11"/>
  <c r="P6" i="11"/>
  <c r="O7" i="11"/>
  <c r="P7" i="11"/>
  <c r="R7" i="11"/>
  <c r="O8" i="11"/>
  <c r="P8" i="11"/>
  <c r="R8" i="11"/>
  <c r="O9" i="11"/>
  <c r="P9" i="11"/>
  <c r="O10" i="11"/>
  <c r="P10" i="11"/>
  <c r="O11" i="11"/>
  <c r="P11" i="11"/>
  <c r="R11" i="11"/>
  <c r="O12" i="11"/>
  <c r="P12" i="11"/>
  <c r="R12" i="11"/>
  <c r="O13" i="11"/>
  <c r="P13" i="11"/>
  <c r="P14" i="11"/>
  <c r="A15" i="11"/>
  <c r="C63" i="11" s="1"/>
  <c r="B15" i="11"/>
  <c r="R10" i="11" s="1"/>
  <c r="A19" i="11"/>
  <c r="C66" i="11" s="1"/>
  <c r="B19" i="11"/>
  <c r="E19" i="11"/>
  <c r="F19" i="11"/>
  <c r="G19" i="11"/>
  <c r="E20" i="11"/>
  <c r="F20" i="11"/>
  <c r="G20" i="11"/>
  <c r="F36" i="11"/>
  <c r="E42" i="11"/>
  <c r="C43" i="11"/>
  <c r="C60" i="11"/>
  <c r="C62" i="11"/>
  <c r="D62" i="11"/>
  <c r="D66" i="11"/>
  <c r="C67" i="11"/>
  <c r="D67" i="11"/>
  <c r="C68" i="11"/>
  <c r="D68" i="11"/>
  <c r="D72" i="11"/>
  <c r="C73" i="11"/>
  <c r="D73" i="11"/>
  <c r="A184" i="10"/>
  <c r="M184" i="10"/>
  <c r="A190" i="10"/>
  <c r="M190" i="10"/>
  <c r="I2" i="9"/>
  <c r="J2" i="9"/>
  <c r="S2" i="9"/>
  <c r="U2" i="9"/>
  <c r="I3" i="9"/>
  <c r="J3" i="9"/>
  <c r="I4" i="9"/>
  <c r="J4" i="9"/>
  <c r="S4" i="9"/>
  <c r="U4" i="9"/>
  <c r="I5" i="9"/>
  <c r="J5" i="9"/>
  <c r="I6" i="9"/>
  <c r="J6" i="9"/>
  <c r="S6" i="9"/>
  <c r="U6" i="9"/>
  <c r="I7" i="9"/>
  <c r="J7" i="9"/>
  <c r="I8" i="9"/>
  <c r="J8" i="9"/>
  <c r="S8" i="9"/>
  <c r="U8" i="9"/>
  <c r="I9" i="9"/>
  <c r="J9" i="9"/>
  <c r="I10" i="9"/>
  <c r="J10" i="9"/>
  <c r="S10" i="9"/>
  <c r="U10" i="9"/>
  <c r="I11" i="9"/>
  <c r="J11" i="9"/>
  <c r="I12" i="9"/>
  <c r="J12" i="9"/>
  <c r="I13" i="9"/>
  <c r="J13" i="9"/>
  <c r="I14" i="9"/>
  <c r="J14" i="9"/>
  <c r="I15" i="9"/>
  <c r="J15" i="9"/>
  <c r="I16" i="9"/>
  <c r="J16" i="9"/>
  <c r="I17" i="9"/>
  <c r="J17" i="9"/>
  <c r="I18" i="9"/>
  <c r="J18" i="9"/>
  <c r="I19" i="9"/>
  <c r="J19" i="9"/>
  <c r="I20" i="9"/>
  <c r="J20" i="9"/>
  <c r="I21" i="9"/>
  <c r="J21" i="9"/>
  <c r="I22" i="9"/>
  <c r="J22" i="9"/>
  <c r="I23" i="9"/>
  <c r="J23" i="9"/>
  <c r="I24" i="9"/>
  <c r="J24" i="9"/>
  <c r="I25" i="9"/>
  <c r="J25" i="9"/>
  <c r="I167" i="9"/>
  <c r="R167" i="9"/>
  <c r="X167" i="9"/>
  <c r="D45" i="7"/>
  <c r="D46" i="7"/>
  <c r="D47" i="7"/>
  <c r="E45" i="7" s="1"/>
  <c r="D48" i="7"/>
  <c r="D49" i="7"/>
  <c r="D50" i="7"/>
  <c r="D51" i="7"/>
  <c r="D52" i="7"/>
  <c r="D53" i="7"/>
  <c r="D54" i="7"/>
  <c r="D55" i="7"/>
  <c r="D56" i="7"/>
  <c r="B60" i="7"/>
  <c r="B61" i="7"/>
  <c r="B62" i="7"/>
  <c r="B63" i="7"/>
  <c r="B64" i="7"/>
  <c r="B65" i="7"/>
  <c r="B66" i="7"/>
  <c r="B67" i="7"/>
  <c r="B68" i="7"/>
  <c r="B69" i="7"/>
  <c r="B70" i="7"/>
  <c r="B71" i="7"/>
  <c r="L95" i="7"/>
  <c r="I106" i="7" s="1"/>
  <c r="D98" i="7"/>
  <c r="E98" i="7"/>
  <c r="F98" i="7"/>
  <c r="H98" i="7"/>
  <c r="I98" i="7"/>
  <c r="D99" i="7"/>
  <c r="H99" i="7" s="1"/>
  <c r="E99" i="7"/>
  <c r="F99" i="7"/>
  <c r="I99" i="7"/>
  <c r="D100" i="7"/>
  <c r="E100" i="7"/>
  <c r="F100" i="7"/>
  <c r="H100" i="7"/>
  <c r="I100" i="7"/>
  <c r="D101" i="7"/>
  <c r="E101" i="7"/>
  <c r="F101" i="7"/>
  <c r="H101" i="7"/>
  <c r="I101" i="7"/>
  <c r="D102" i="7"/>
  <c r="E102" i="7"/>
  <c r="F102" i="7" s="1"/>
  <c r="H102" i="7"/>
  <c r="I102" i="7"/>
  <c r="D103" i="7"/>
  <c r="E103" i="7"/>
  <c r="F103" i="7"/>
  <c r="H103" i="7"/>
  <c r="I103" i="7"/>
  <c r="D104" i="7"/>
  <c r="H104" i="7" s="1"/>
  <c r="E104" i="7"/>
  <c r="F104" i="7" s="1"/>
  <c r="D105" i="7"/>
  <c r="E105" i="7"/>
  <c r="F105" i="7"/>
  <c r="H105" i="7"/>
  <c r="I105" i="7"/>
  <c r="D106" i="7"/>
  <c r="E106" i="7"/>
  <c r="F106" i="7"/>
  <c r="H106" i="7"/>
  <c r="D107" i="7"/>
  <c r="E107" i="7" s="1"/>
  <c r="F107" i="7" s="1"/>
  <c r="H107" i="7"/>
  <c r="I107" i="7"/>
  <c r="D108" i="7"/>
  <c r="E108" i="7"/>
  <c r="F108" i="7"/>
  <c r="H108" i="7"/>
  <c r="I108" i="7"/>
  <c r="D109" i="7"/>
  <c r="E109" i="7" s="1"/>
  <c r="F109" i="7" s="1"/>
  <c r="I109" i="7"/>
  <c r="J48" i="6"/>
  <c r="J49" i="6"/>
  <c r="I51" i="6"/>
  <c r="J51" i="6"/>
  <c r="C70" i="6"/>
  <c r="D70" i="6"/>
  <c r="C73" i="6"/>
  <c r="D73" i="6"/>
  <c r="C79" i="6"/>
  <c r="D79" i="6"/>
  <c r="A86" i="6"/>
  <c r="C74" i="6" s="1"/>
  <c r="B86" i="6"/>
  <c r="D72" i="6" s="1"/>
  <c r="B7" i="5"/>
  <c r="E25" i="5"/>
  <c r="F25" i="5"/>
  <c r="E26" i="5"/>
  <c r="F26" i="5"/>
  <c r="E27" i="5"/>
  <c r="F27" i="5"/>
  <c r="H9" i="4"/>
  <c r="I9" i="4"/>
  <c r="J9" i="4"/>
  <c r="L9" i="4"/>
  <c r="H10" i="4"/>
  <c r="I10" i="4" s="1"/>
  <c r="J10" i="4" s="1"/>
  <c r="K9" i="4" s="1"/>
  <c r="H11" i="4"/>
  <c r="I11" i="4"/>
  <c r="J11" i="4"/>
  <c r="H12" i="4"/>
  <c r="I12" i="4" s="1"/>
  <c r="J12" i="4" s="1"/>
  <c r="H13" i="4"/>
  <c r="I13" i="4"/>
  <c r="J13" i="4"/>
  <c r="H14" i="4"/>
  <c r="I14" i="4" s="1"/>
  <c r="J14" i="4" s="1"/>
  <c r="H15" i="4"/>
  <c r="I15" i="4"/>
  <c r="J15" i="4"/>
  <c r="H16" i="4"/>
  <c r="I16" i="4" s="1"/>
  <c r="J16" i="4" s="1"/>
  <c r="F17" i="4"/>
  <c r="B30" i="3"/>
  <c r="B31" i="3"/>
  <c r="B32" i="3"/>
  <c r="A40" i="3" s="1"/>
  <c r="A39" i="3"/>
  <c r="B39" i="3"/>
  <c r="C39" i="3"/>
  <c r="A43" i="3"/>
  <c r="B43" i="3"/>
  <c r="C43" i="3"/>
  <c r="C2" i="2"/>
  <c r="G2" i="2" s="1"/>
  <c r="H2" i="2" s="1"/>
  <c r="G6" i="2" s="1"/>
  <c r="D2" i="2"/>
  <c r="E2" i="2"/>
  <c r="F2" i="2"/>
  <c r="F6" i="2"/>
  <c r="H6" i="2"/>
  <c r="I6" i="2" s="1"/>
  <c r="J6" i="2"/>
  <c r="H7" i="2"/>
  <c r="J7" i="2" s="1"/>
  <c r="H8" i="2"/>
  <c r="J8" i="2"/>
  <c r="H9" i="2"/>
  <c r="J9" i="2" s="1"/>
  <c r="H10" i="2"/>
  <c r="J10" i="2"/>
  <c r="H11" i="2"/>
  <c r="J11" i="2" s="1"/>
  <c r="H12" i="2"/>
  <c r="J12" i="2"/>
  <c r="H13" i="2"/>
  <c r="J13" i="2" s="1"/>
  <c r="J25" i="2"/>
  <c r="T9" i="13" l="1"/>
  <c r="M2" i="13"/>
  <c r="Y10" i="13"/>
  <c r="V10" i="13"/>
  <c r="U10" i="13"/>
  <c r="T10" i="13"/>
  <c r="W8" i="13"/>
  <c r="V8" i="13"/>
  <c r="W11" i="13"/>
  <c r="U8" i="13"/>
  <c r="Y11" i="13"/>
  <c r="V11" i="13"/>
  <c r="Y9" i="13"/>
  <c r="T8" i="13"/>
  <c r="W10" i="13"/>
  <c r="U11" i="13"/>
  <c r="W9" i="13"/>
  <c r="T11" i="13"/>
  <c r="V9" i="13"/>
  <c r="G113" i="12"/>
  <c r="I121" i="12"/>
  <c r="H123" i="12"/>
  <c r="I118" i="12"/>
  <c r="I125" i="12"/>
  <c r="H118" i="12"/>
  <c r="J113" i="12" s="1"/>
  <c r="I120" i="12"/>
  <c r="I113" i="12"/>
  <c r="I127" i="12"/>
  <c r="Q2" i="11"/>
  <c r="E29" i="11" s="1"/>
  <c r="A17" i="11"/>
  <c r="N5" i="11" s="1"/>
  <c r="M5" i="11" s="1"/>
  <c r="C72" i="11"/>
  <c r="D71" i="11"/>
  <c r="D65" i="11"/>
  <c r="R6" i="11"/>
  <c r="C71" i="11"/>
  <c r="C65" i="11"/>
  <c r="D70" i="11"/>
  <c r="D64" i="11"/>
  <c r="R2" i="11"/>
  <c r="D27" i="11" s="1"/>
  <c r="D26" i="11" s="1"/>
  <c r="R13" i="11"/>
  <c r="R9" i="11"/>
  <c r="R5" i="11"/>
  <c r="C70" i="11"/>
  <c r="C64" i="11"/>
  <c r="D69" i="11"/>
  <c r="D63" i="11"/>
  <c r="C69" i="11"/>
  <c r="G98" i="7"/>
  <c r="H109" i="7"/>
  <c r="K98" i="7" s="1"/>
  <c r="I104" i="7"/>
  <c r="D78" i="6"/>
  <c r="C78" i="6"/>
  <c r="C72" i="6"/>
  <c r="D83" i="6"/>
  <c r="D77" i="6"/>
  <c r="D71" i="6"/>
  <c r="C83" i="6"/>
  <c r="C77" i="6"/>
  <c r="C71" i="6"/>
  <c r="D82" i="6"/>
  <c r="D76" i="6"/>
  <c r="C76" i="6"/>
  <c r="C82" i="6"/>
  <c r="D81" i="6"/>
  <c r="D75" i="6"/>
  <c r="C81" i="6"/>
  <c r="C75" i="6"/>
  <c r="D80" i="6"/>
  <c r="D74" i="6"/>
  <c r="C80" i="6"/>
  <c r="A45" i="3"/>
  <c r="A41" i="3"/>
  <c r="B33" i="3" s="1"/>
  <c r="B34" i="3" s="1"/>
  <c r="C44" i="3"/>
  <c r="C40" i="3"/>
  <c r="B42" i="3"/>
  <c r="A46" i="3"/>
  <c r="C45" i="3"/>
  <c r="C41" i="3"/>
  <c r="B40" i="3"/>
  <c r="B35" i="3" s="1"/>
  <c r="C46" i="3"/>
  <c r="C42" i="3"/>
  <c r="B46" i="3"/>
  <c r="A42" i="3"/>
  <c r="B45" i="3"/>
  <c r="B41" i="3"/>
  <c r="B44" i="3"/>
  <c r="A44" i="3"/>
  <c r="K6" i="2"/>
  <c r="I7" i="2"/>
  <c r="J14" i="2"/>
  <c r="F7" i="2"/>
  <c r="G17" i="2"/>
  <c r="T15" i="13" l="1" a="1"/>
  <c r="B36" i="3"/>
  <c r="F31" i="3"/>
  <c r="E31" i="3"/>
  <c r="G7" i="2"/>
  <c r="F8" i="2" s="1"/>
  <c r="G18" i="2"/>
  <c r="K7" i="2"/>
  <c r="I8" i="2"/>
  <c r="U16" i="13" l="1"/>
  <c r="V16" i="13"/>
  <c r="T18" i="13"/>
  <c r="W16" i="13"/>
  <c r="U18" i="13"/>
  <c r="V17" i="13"/>
  <c r="T15" i="13"/>
  <c r="V18" i="13"/>
  <c r="U15" i="13"/>
  <c r="W18" i="13"/>
  <c r="V15" i="13"/>
  <c r="W15" i="13"/>
  <c r="T17" i="13"/>
  <c r="U17" i="13"/>
  <c r="W17" i="13"/>
  <c r="T16" i="13"/>
  <c r="I9" i="2"/>
  <c r="K8" i="2"/>
  <c r="G8" i="2"/>
  <c r="F9" i="2" s="1"/>
  <c r="Y15" i="13" l="1" a="1"/>
  <c r="Y15" i="13" s="1"/>
  <c r="G9" i="2"/>
  <c r="F10" i="2" s="1"/>
  <c r="G20" i="2"/>
  <c r="G19" i="2"/>
  <c r="I10" i="2"/>
  <c r="K9" i="2"/>
  <c r="Y16" i="13" l="1"/>
  <c r="Y17" i="13"/>
  <c r="Y18" i="13"/>
  <c r="I11" i="2"/>
  <c r="K10" i="2"/>
  <c r="G10" i="2"/>
  <c r="F11" i="2" s="1"/>
  <c r="G21" i="2"/>
  <c r="G11" i="2" l="1"/>
  <c r="F12" i="2" s="1"/>
  <c r="K11" i="2"/>
  <c r="I12" i="2"/>
  <c r="G12" i="2" l="1"/>
  <c r="F13" i="2" s="1"/>
  <c r="I13" i="2"/>
  <c r="K13" i="2" s="1"/>
  <c r="K12" i="2"/>
  <c r="G22" i="2"/>
  <c r="G13" i="2" l="1"/>
  <c r="G24" i="2"/>
  <c r="G23" i="2"/>
</calcChain>
</file>

<file path=xl/sharedStrings.xml><?xml version="1.0" encoding="utf-8"?>
<sst xmlns="http://schemas.openxmlformats.org/spreadsheetml/2006/main" count="1192" uniqueCount="229">
  <si>
    <t>mi  / n</t>
  </si>
  <si>
    <t>ni /n</t>
  </si>
  <si>
    <t>mi</t>
  </si>
  <si>
    <t>ni</t>
  </si>
  <si>
    <t>x0i</t>
  </si>
  <si>
    <t>№</t>
  </si>
  <si>
    <t>Точечный вариационный ряд</t>
  </si>
  <si>
    <t>Ci</t>
  </si>
  <si>
    <t>Ci-1</t>
  </si>
  <si>
    <t>Интервальный вариационный ряд</t>
  </si>
  <si>
    <t>Вариант 4. Оценить закон распределения и числовые характеристики генеральной совокупности – месячной заработной платы (тыс. руб.) рабочих одной профессии по приведенным результатам 110 наблюдений. N(30,6).</t>
  </si>
  <si>
    <t>h = R/k</t>
  </si>
  <si>
    <t>k = log2(n) + 1</t>
  </si>
  <si>
    <t>R = xmax - xmin</t>
  </si>
  <si>
    <t>xmax</t>
  </si>
  <si>
    <t>xmin</t>
  </si>
  <si>
    <t>n</t>
  </si>
  <si>
    <t>xi (вариацион. ряд)</t>
  </si>
  <si>
    <t>xi (выборка)</t>
  </si>
  <si>
    <t>(xi - xmean)4</t>
  </si>
  <si>
    <t>(xi - xmean)3</t>
  </si>
  <si>
    <t>(xi - xmean)2</t>
  </si>
  <si>
    <t>E</t>
  </si>
  <si>
    <t>A</t>
  </si>
  <si>
    <t>sd</t>
  </si>
  <si>
    <t>var</t>
  </si>
  <si>
    <t>xmean</t>
  </si>
  <si>
    <t>xmed</t>
  </si>
  <si>
    <t>xmean + sd</t>
  </si>
  <si>
    <t>xmean - sd</t>
  </si>
  <si>
    <t>xmod</t>
  </si>
  <si>
    <t>Числовые характеристики:</t>
  </si>
  <si>
    <t>ФОРМУЛЫ</t>
  </si>
  <si>
    <t>χ2кр</t>
  </si>
  <si>
    <t>χ2</t>
  </si>
  <si>
    <t>(ni - npi)2/npi</t>
  </si>
  <si>
    <t>npi</t>
  </si>
  <si>
    <t>pi</t>
  </si>
  <si>
    <t>α</t>
  </si>
  <si>
    <t>Формулы:</t>
  </si>
  <si>
    <t>σ</t>
  </si>
  <si>
    <t>a</t>
  </si>
  <si>
    <t>H0 : X ~ N(a, σ)</t>
  </si>
  <si>
    <t>верхняя граница</t>
  </si>
  <si>
    <t>нижняя граница</t>
  </si>
  <si>
    <t xml:space="preserve">Интервальные оценки </t>
  </si>
  <si>
    <t>Итого</t>
  </si>
  <si>
    <t>Внутри групп</t>
  </si>
  <si>
    <t>Между группами</t>
  </si>
  <si>
    <t>F критическое</t>
  </si>
  <si>
    <t>P-Значение</t>
  </si>
  <si>
    <t>F</t>
  </si>
  <si>
    <t>MS</t>
  </si>
  <si>
    <t>df</t>
  </si>
  <si>
    <t>SS</t>
  </si>
  <si>
    <t>Источник вариации</t>
  </si>
  <si>
    <t>Дисперсионный анализ</t>
  </si>
  <si>
    <t>Строка 3</t>
  </si>
  <si>
    <t>Строка 2</t>
  </si>
  <si>
    <t>Строка 1</t>
  </si>
  <si>
    <t>На уровне значимости α=0,05 установить значимость влияния уровня потребления кофеина на скорость ввода текста.</t>
  </si>
  <si>
    <t>Дисперсия</t>
  </si>
  <si>
    <t>Среднее</t>
  </si>
  <si>
    <t>Сумма</t>
  </si>
  <si>
    <t>Счет</t>
  </si>
  <si>
    <t>Группы</t>
  </si>
  <si>
    <t>ИТОГИ</t>
  </si>
  <si>
    <t>n = &gt;</t>
  </si>
  <si>
    <t>3-я группа</t>
  </si>
  <si>
    <t>2-я группа</t>
  </si>
  <si>
    <t>1-я группа</t>
  </si>
  <si>
    <t>(время на набор текста студентом)</t>
  </si>
  <si>
    <t xml:space="preserve">Вариант 4. На тридцати студентах, обладающих примерно одинаковыми физическими данными и примерно одинаковым уровнем освоения текстового редактора, был проведен «слепой» эксперимент по определению влияния потребления кофеина на скорость их работы. Для этого они были разбиты на три группы по десять человек, первая группа получила 0 мг кофеина, вторая группа – 100 мг кофеина третья – 200мг кофеина. После чего каждый набрал один и тот же текст. Время (в сек.), затраченное на набор текста, по группам (уровням фактора) приведено в таблице. </t>
  </si>
  <si>
    <t>Кофеин(мг.)</t>
  </si>
  <si>
    <t>Наблюдения</t>
  </si>
  <si>
    <t>Группа (фактор)</t>
  </si>
  <si>
    <t>Дисперсия N</t>
  </si>
  <si>
    <t>Среднее N</t>
  </si>
  <si>
    <t>Верхняя граница</t>
  </si>
  <si>
    <t>Нижняя граница</t>
  </si>
  <si>
    <t>Предсказанное K</t>
  </si>
  <si>
    <t>N</t>
  </si>
  <si>
    <t>Доверительный интервал</t>
  </si>
  <si>
    <t>t(1-a, n-2)</t>
  </si>
  <si>
    <t>t-статистика</t>
  </si>
  <si>
    <t>Остатки</t>
  </si>
  <si>
    <t>Наблюдение</t>
  </si>
  <si>
    <t>ВЫВОД ОСТАТКА</t>
  </si>
  <si>
    <t>Y-пересечение</t>
  </si>
  <si>
    <t>Верхние 95,0%</t>
  </si>
  <si>
    <t>Нижние 95,0%</t>
  </si>
  <si>
    <t>Верхние 95%</t>
  </si>
  <si>
    <t>Нижние 95%</t>
  </si>
  <si>
    <t>Стандартная ошибка</t>
  </si>
  <si>
    <t>Коэффициенты</t>
  </si>
  <si>
    <t>Остаток</t>
  </si>
  <si>
    <t>Регрессия</t>
  </si>
  <si>
    <t>Значимость F</t>
  </si>
  <si>
    <t>Нормированный R-квадрат</t>
  </si>
  <si>
    <t>R-квадрат</t>
  </si>
  <si>
    <t>Множественный R</t>
  </si>
  <si>
    <t>Регрессионная статистика</t>
  </si>
  <si>
    <t>ВЫВОД ИТОГОВ</t>
  </si>
  <si>
    <t>Построить линейную регрессионную зависимость численности населения N от стоимости основных фондов К по данным городов Приволжского федерального окру-га приведенным в таблице.</t>
  </si>
  <si>
    <t>K</t>
  </si>
  <si>
    <t>Вычисления</t>
  </si>
  <si>
    <t>СОА</t>
  </si>
  <si>
    <t>Модуль Y</t>
  </si>
  <si>
    <t>Остатки Y</t>
  </si>
  <si>
    <t>Предсказанное Y</t>
  </si>
  <si>
    <t>Предсказанное Y*</t>
  </si>
  <si>
    <t>y среднее</t>
  </si>
  <si>
    <t>X</t>
  </si>
  <si>
    <t>Y*</t>
  </si>
  <si>
    <t>Мод. Остатка /  Y</t>
  </si>
  <si>
    <t>Предсказанное X</t>
  </si>
  <si>
    <t>Y</t>
  </si>
  <si>
    <t>Вариант 4. Построить нелинейную регрессию y=1/(1+e^(a+bx) ) зависимости доли Y годовых доходов семьи из трех человек направляемых на отдых от совокупного годового дохода X (млн. руб.) по результатам обследования 12 семей приведенным в таблице.</t>
  </si>
  <si>
    <t>yi = 1,25xi + 0,19xiti +ei</t>
  </si>
  <si>
    <t>XT</t>
  </si>
  <si>
    <t>ПОБЕДА</t>
  </si>
  <si>
    <t>XZ</t>
  </si>
  <si>
    <t>вот эти запомним</t>
  </si>
  <si>
    <t>T</t>
  </si>
  <si>
    <t>Z</t>
  </si>
  <si>
    <t>y1= a1xi + a5xiti + ei</t>
  </si>
  <si>
    <t>y1= a1xi +a2zi + a5xiti + ei</t>
  </si>
  <si>
    <t>y1= a0 +a1xi +a2zi + a5xiti + ei</t>
  </si>
  <si>
    <t>y1= a0 +a1xi +a2zi + a4xizi + a5xiti + ei</t>
  </si>
  <si>
    <t>y1= a0 +a1xi +a2zi + a3ti+ a4xizi + a5xiti + ei</t>
  </si>
  <si>
    <t>ну тут уже годно</t>
  </si>
  <si>
    <t>убрали z</t>
  </si>
  <si>
    <t>Переменная X 1</t>
  </si>
  <si>
    <t>Предсказанное yi = 1,25xi + 0,19xiti +ei</t>
  </si>
  <si>
    <t>zi =1 ti = 1</t>
  </si>
  <si>
    <t>y0 = (a0 + a2 + a3) + (a1 + a4 +a5)xi + ei</t>
  </si>
  <si>
    <t>Тех. 2</t>
  </si>
  <si>
    <t>B</t>
  </si>
  <si>
    <t>zi = 1 ti = 0</t>
  </si>
  <si>
    <t>y0 = (a0+a2) + (a1 + a4)xi + ei</t>
  </si>
  <si>
    <t>zi = 0 ti = 1</t>
  </si>
  <si>
    <t>y0 = (a0+a3) + (a1+a5)xi +ei</t>
  </si>
  <si>
    <t>zi = 0 ti = 0</t>
  </si>
  <si>
    <t>y0 = a0 + a1xi + ei</t>
  </si>
  <si>
    <t>Тех. 1</t>
  </si>
  <si>
    <t>Предсказанное yi = 1,42xi</t>
  </si>
  <si>
    <t>Сорт B, Технология 1</t>
  </si>
  <si>
    <t>Предсказанное yi = 1,25xi</t>
  </si>
  <si>
    <t>Предсказанное yi = 1,48xi</t>
  </si>
  <si>
    <r>
      <t xml:space="preserve">Урожайность, </t>
    </r>
    <r>
      <rPr>
        <i/>
        <sz val="11"/>
        <color theme="1"/>
        <rFont val="Calibri"/>
        <family val="2"/>
        <charset val="204"/>
        <scheme val="minor"/>
      </rPr>
      <t>Y</t>
    </r>
  </si>
  <si>
    <r>
      <t xml:space="preserve">Удобрения, </t>
    </r>
    <r>
      <rPr>
        <i/>
        <sz val="11"/>
        <color theme="1"/>
        <rFont val="Calibri"/>
        <family val="2"/>
        <charset val="204"/>
        <scheme val="minor"/>
      </rPr>
      <t>X</t>
    </r>
  </si>
  <si>
    <t>Технология</t>
  </si>
  <si>
    <t>Сорт</t>
  </si>
  <si>
    <t>№ п/п</t>
  </si>
  <si>
    <t>Сорт А, Технология 2</t>
  </si>
  <si>
    <t>Предсказанное yi = 1,26xi</t>
  </si>
  <si>
    <t>Сорт А, Технология 1</t>
  </si>
  <si>
    <t>КРИТЕРИЙ ЧОУ</t>
  </si>
  <si>
    <t>Предсказанное yi = 1,36xi</t>
  </si>
  <si>
    <t>Константа - ноль</t>
  </si>
  <si>
    <t>Общая модель</t>
  </si>
  <si>
    <r>
      <t xml:space="preserve">Вариант 10. Исследовать урожайность </t>
    </r>
    <r>
      <rPr>
        <b/>
        <i/>
        <sz val="11"/>
        <color theme="1"/>
        <rFont val="Calibri"/>
        <family val="2"/>
        <charset val="204"/>
        <scheme val="minor"/>
      </rPr>
      <t>Y</t>
    </r>
    <r>
      <rPr>
        <b/>
        <sz val="11"/>
        <color theme="1"/>
        <rFont val="Calibri"/>
        <family val="2"/>
        <charset val="204"/>
        <scheme val="minor"/>
      </rPr>
      <t xml:space="preserve"> (ц/га) двух сортов пшеницы (сорт А и сорт В) в зависимости от двух используемых технологий (Тех. 1 и Тех. 2) и количества внесенных органических удобрений </t>
    </r>
    <r>
      <rPr>
        <b/>
        <i/>
        <sz val="11"/>
        <color theme="1"/>
        <rFont val="Calibri"/>
        <family val="2"/>
        <charset val="204"/>
        <scheme val="minor"/>
      </rPr>
      <t>X</t>
    </r>
    <r>
      <rPr>
        <b/>
        <sz val="11"/>
        <color theme="1"/>
        <rFont val="Calibri"/>
        <family val="2"/>
        <charset val="204"/>
        <scheme val="minor"/>
      </rPr>
      <t xml:space="preserve"> (т/га) по данным приведенным в таблице. </t>
    </r>
  </si>
  <si>
    <t>по признаку СОРТ выборка однородная</t>
  </si>
  <si>
    <t>Гипотеза принимается</t>
  </si>
  <si>
    <t>F-статистика &lt; F критич</t>
  </si>
  <si>
    <t>F критич</t>
  </si>
  <si>
    <t>F-статистика</t>
  </si>
  <si>
    <t>поменяны местами для удобства</t>
  </si>
  <si>
    <r>
      <t>H</t>
    </r>
    <r>
      <rPr>
        <i/>
        <vertAlign val="subscript"/>
        <sz val="11"/>
        <color theme="1"/>
        <rFont val="Calibri"/>
        <family val="2"/>
        <charset val="204"/>
        <scheme val="minor"/>
      </rPr>
      <t>1</t>
    </r>
  </si>
  <si>
    <r>
      <t>H</t>
    </r>
    <r>
      <rPr>
        <i/>
        <vertAlign val="subscript"/>
        <sz val="11"/>
        <color theme="1"/>
        <rFont val="Calibri"/>
        <family val="2"/>
        <charset val="204"/>
        <scheme val="minor"/>
      </rPr>
      <t>0</t>
    </r>
    <r>
      <rPr>
        <i/>
        <sz val="11"/>
        <color theme="1"/>
        <rFont val="Calibri"/>
        <family val="2"/>
        <charset val="204"/>
        <scheme val="minor"/>
      </rPr>
      <t>: a</t>
    </r>
    <r>
      <rPr>
        <i/>
        <vertAlign val="subscript"/>
        <sz val="11"/>
        <color theme="1"/>
        <rFont val="Calibri"/>
        <family val="2"/>
        <charset val="204"/>
        <scheme val="minor"/>
      </rPr>
      <t xml:space="preserve">1 </t>
    </r>
    <r>
      <rPr>
        <i/>
        <sz val="11"/>
        <color theme="1"/>
        <rFont val="Calibri"/>
        <family val="2"/>
        <charset val="204"/>
        <scheme val="minor"/>
      </rPr>
      <t>= 0</t>
    </r>
  </si>
  <si>
    <r>
      <t>H</t>
    </r>
    <r>
      <rPr>
        <i/>
        <vertAlign val="subscript"/>
        <sz val="11"/>
        <color theme="1"/>
        <rFont val="Calibri"/>
        <family val="2"/>
        <charset val="204"/>
        <scheme val="minor"/>
      </rPr>
      <t>0</t>
    </r>
    <r>
      <rPr>
        <i/>
        <sz val="11"/>
        <color theme="1"/>
        <rFont val="Calibri"/>
        <family val="2"/>
        <charset val="204"/>
        <scheme val="minor"/>
      </rPr>
      <t>: a</t>
    </r>
    <r>
      <rPr>
        <i/>
        <vertAlign val="subscript"/>
        <sz val="11"/>
        <color theme="1"/>
        <rFont val="Calibri"/>
        <family val="2"/>
        <charset val="204"/>
        <scheme val="minor"/>
      </rPr>
      <t xml:space="preserve">0 </t>
    </r>
    <r>
      <rPr>
        <i/>
        <sz val="11"/>
        <color theme="1"/>
        <rFont val="Calibri"/>
        <family val="2"/>
        <charset val="204"/>
        <scheme val="minor"/>
      </rPr>
      <t>= 0</t>
    </r>
  </si>
  <si>
    <t>tкр</t>
  </si>
  <si>
    <t>tкр(α) = t-test</t>
  </si>
  <si>
    <r>
      <t>X (a</t>
    </r>
    <r>
      <rPr>
        <i/>
        <vertAlign val="subscript"/>
        <sz val="11"/>
        <color theme="1"/>
        <rFont val="Calibri"/>
        <family val="2"/>
        <charset val="204"/>
        <scheme val="minor"/>
      </rPr>
      <t>1</t>
    </r>
    <r>
      <rPr>
        <i/>
        <sz val="11"/>
        <color theme="1"/>
        <rFont val="Calibri"/>
        <family val="2"/>
        <charset val="204"/>
        <scheme val="minor"/>
      </rPr>
      <t>)</t>
    </r>
  </si>
  <si>
    <r>
      <t>Y-пересечение (a</t>
    </r>
    <r>
      <rPr>
        <i/>
        <vertAlign val="subscript"/>
        <sz val="11"/>
        <color theme="1"/>
        <rFont val="Calibri"/>
        <family val="2"/>
        <charset val="204"/>
        <scheme val="minor"/>
      </rPr>
      <t>0</t>
    </r>
    <r>
      <rPr>
        <i/>
        <sz val="11"/>
        <color theme="1"/>
        <rFont val="Calibri"/>
        <family val="2"/>
        <charset val="204"/>
        <scheme val="minor"/>
      </rPr>
      <t>)</t>
    </r>
  </si>
  <si>
    <t>Верхние 99,0%</t>
  </si>
  <si>
    <t>Нижние 99,0%</t>
  </si>
  <si>
    <t>Итого (SST)</t>
  </si>
  <si>
    <r>
      <t>F = Fкр(</t>
    </r>
    <r>
      <rPr>
        <sz val="11"/>
        <color theme="1"/>
        <rFont val="Calibri"/>
        <family val="2"/>
        <charset val="204"/>
      </rPr>
      <t>α)</t>
    </r>
  </si>
  <si>
    <t>Остаток (SSR)</t>
  </si>
  <si>
    <r>
      <t>H</t>
    </r>
    <r>
      <rPr>
        <i/>
        <vertAlign val="subscript"/>
        <sz val="11"/>
        <color theme="1"/>
        <rFont val="Calibri"/>
        <family val="2"/>
        <charset val="204"/>
        <scheme val="minor"/>
      </rPr>
      <t>0</t>
    </r>
  </si>
  <si>
    <t>Регрессия (SSE)</t>
  </si>
  <si>
    <r>
      <t>y</t>
    </r>
    <r>
      <rPr>
        <i/>
        <vertAlign val="subscript"/>
        <sz val="11"/>
        <color theme="1"/>
        <rFont val="Calibri"/>
        <family val="2"/>
        <charset val="204"/>
        <scheme val="minor"/>
      </rPr>
      <t xml:space="preserve">i </t>
    </r>
    <r>
      <rPr>
        <i/>
        <sz val="11"/>
        <color theme="1"/>
        <rFont val="Calibri"/>
        <family val="2"/>
        <charset val="204"/>
        <scheme val="minor"/>
      </rPr>
      <t>=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i</t>
    </r>
  </si>
  <si>
    <t>Вариация</t>
  </si>
  <si>
    <t>Ковариация</t>
  </si>
  <si>
    <r>
      <t>a</t>
    </r>
    <r>
      <rPr>
        <i/>
        <vertAlign val="subscript"/>
        <sz val="11"/>
        <color theme="1"/>
        <rFont val="Calibri"/>
        <family val="2"/>
        <charset val="204"/>
        <scheme val="minor"/>
      </rPr>
      <t>1</t>
    </r>
  </si>
  <si>
    <r>
      <t>a</t>
    </r>
    <r>
      <rPr>
        <i/>
        <vertAlign val="subscript"/>
        <sz val="11"/>
        <color theme="1"/>
        <rFont val="Calibri"/>
        <family val="2"/>
        <charset val="204"/>
        <scheme val="minor"/>
      </rPr>
      <t>0</t>
    </r>
  </si>
  <si>
    <t>Предсказанное Y - Среднее Y</t>
  </si>
  <si>
    <t>SSR</t>
  </si>
  <si>
    <t>Предсказанное Y - Y</t>
  </si>
  <si>
    <r>
      <t>R</t>
    </r>
    <r>
      <rPr>
        <i/>
        <vertAlign val="superscript"/>
        <sz val="11"/>
        <color theme="1"/>
        <rFont val="Calibri"/>
        <family val="2"/>
        <charset val="204"/>
        <scheme val="minor"/>
      </rPr>
      <t>2</t>
    </r>
  </si>
  <si>
    <t>Y - Среднее Y</t>
  </si>
  <si>
    <t>COA</t>
  </si>
  <si>
    <t>|Остатки Y/Y|</t>
  </si>
  <si>
    <t>Предсказанное Y = 1/(1+exp(Y*))</t>
  </si>
  <si>
    <t>Остатки Y*</t>
  </si>
  <si>
    <t>Предсказанное Y* = ln(1/Y - 1)</t>
  </si>
  <si>
    <t>Y* = ln(1/Y - 1)</t>
  </si>
  <si>
    <r>
      <t>Предсказанное y</t>
    </r>
    <r>
      <rPr>
        <i/>
        <vertAlign val="subscript"/>
        <sz val="11"/>
        <color theme="1"/>
        <rFont val="Calibri"/>
        <family val="2"/>
        <charset val="204"/>
        <scheme val="minor"/>
      </rPr>
      <t xml:space="preserve">i </t>
    </r>
    <r>
      <rPr>
        <i/>
        <sz val="11"/>
        <color theme="1"/>
        <rFont val="Calibri"/>
        <family val="2"/>
        <charset val="204"/>
        <scheme val="minor"/>
      </rPr>
      <t>= 1/(1 + exp( 6,09 - 0,41x</t>
    </r>
    <r>
      <rPr>
        <i/>
        <vertAlign val="subscript"/>
        <sz val="11"/>
        <color theme="1"/>
        <rFont val="Calibri"/>
        <family val="2"/>
        <charset val="204"/>
        <scheme val="minor"/>
      </rPr>
      <t>i</t>
    </r>
    <r>
      <rPr>
        <i/>
        <sz val="11"/>
        <color theme="1"/>
        <rFont val="Calibri"/>
        <family val="2"/>
        <charset val="204"/>
      </rPr>
      <t>))</t>
    </r>
  </si>
  <si>
    <r>
      <t>Предсказанное y</t>
    </r>
    <r>
      <rPr>
        <i/>
        <vertAlign val="superscript"/>
        <sz val="11"/>
        <color theme="1"/>
        <rFont val="Calibri"/>
        <family val="2"/>
        <charset val="204"/>
        <scheme val="minor"/>
      </rPr>
      <t>*</t>
    </r>
    <r>
      <rPr>
        <i/>
        <vertAlign val="subscript"/>
        <sz val="11"/>
        <color theme="1"/>
        <rFont val="Calibri"/>
        <family val="2"/>
        <charset val="204"/>
        <scheme val="minor"/>
      </rPr>
      <t>i</t>
    </r>
    <r>
      <rPr>
        <i/>
        <sz val="11"/>
        <color theme="1"/>
        <rFont val="Calibri"/>
        <family val="2"/>
        <charset val="204"/>
        <scheme val="minor"/>
      </rPr>
      <t xml:space="preserve"> = 6,09 - 0,41x</t>
    </r>
    <r>
      <rPr>
        <i/>
        <vertAlign val="subscript"/>
        <sz val="11"/>
        <color theme="1"/>
        <rFont val="Calibri"/>
        <family val="2"/>
        <charset val="204"/>
        <scheme val="minor"/>
      </rPr>
      <t xml:space="preserve">i </t>
    </r>
    <r>
      <rPr>
        <i/>
        <sz val="11"/>
        <color theme="1"/>
        <rFont val="Calibri"/>
        <family val="2"/>
        <charset val="204"/>
      </rPr>
      <t/>
    </r>
  </si>
  <si>
    <r>
      <t>y</t>
    </r>
    <r>
      <rPr>
        <i/>
        <vertAlign val="superscript"/>
        <sz val="11"/>
        <color theme="1"/>
        <rFont val="Calibri"/>
        <family val="2"/>
        <charset val="204"/>
        <scheme val="minor"/>
      </rPr>
      <t>*</t>
    </r>
    <r>
      <rPr>
        <i/>
        <vertAlign val="subscript"/>
        <sz val="11"/>
        <color theme="1"/>
        <rFont val="Calibri"/>
        <family val="2"/>
        <charset val="204"/>
        <scheme val="minor"/>
      </rPr>
      <t>i</t>
    </r>
    <r>
      <rPr>
        <i/>
        <sz val="11"/>
        <color theme="1"/>
        <rFont val="Calibri"/>
        <family val="2"/>
        <charset val="204"/>
        <scheme val="minor"/>
      </rPr>
      <t xml:space="preserve"> =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 xml:space="preserve">i </t>
    </r>
    <r>
      <rPr>
        <i/>
        <sz val="11"/>
        <color theme="1"/>
        <rFont val="Calibri"/>
        <family val="2"/>
        <charset val="204"/>
      </rPr>
      <t/>
    </r>
  </si>
  <si>
    <r>
      <t xml:space="preserve"> y</t>
    </r>
    <r>
      <rPr>
        <i/>
        <vertAlign val="superscript"/>
        <sz val="11"/>
        <color theme="1"/>
        <rFont val="Calibri"/>
        <family val="2"/>
        <charset val="204"/>
        <scheme val="minor"/>
      </rPr>
      <t>*</t>
    </r>
    <r>
      <rPr>
        <i/>
        <vertAlign val="subscript"/>
        <sz val="11"/>
        <color theme="1"/>
        <rFont val="Calibri"/>
        <family val="2"/>
        <charset val="204"/>
      </rPr>
      <t xml:space="preserve">i </t>
    </r>
    <r>
      <rPr>
        <i/>
        <sz val="11"/>
        <color theme="1"/>
        <rFont val="Calibri"/>
        <family val="2"/>
        <charset val="204"/>
      </rPr>
      <t>= ln(1/y</t>
    </r>
    <r>
      <rPr>
        <i/>
        <vertAlign val="subscript"/>
        <sz val="11"/>
        <color theme="1"/>
        <rFont val="Calibri"/>
        <family val="2"/>
        <charset val="204"/>
      </rPr>
      <t>i</t>
    </r>
    <r>
      <rPr>
        <i/>
        <sz val="11"/>
        <color theme="1"/>
        <rFont val="Calibri"/>
        <family val="2"/>
        <charset val="204"/>
      </rPr>
      <t xml:space="preserve"> - 1)</t>
    </r>
  </si>
  <si>
    <r>
      <t xml:space="preserve">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 xml:space="preserve">i </t>
    </r>
    <r>
      <rPr>
        <i/>
        <sz val="11"/>
        <color theme="1"/>
        <rFont val="Calibri"/>
        <family val="2"/>
        <charset val="204"/>
      </rPr>
      <t>= ln(1/y</t>
    </r>
    <r>
      <rPr>
        <i/>
        <vertAlign val="subscript"/>
        <sz val="11"/>
        <color theme="1"/>
        <rFont val="Calibri"/>
        <family val="2"/>
        <charset val="204"/>
      </rPr>
      <t>i</t>
    </r>
    <r>
      <rPr>
        <i/>
        <sz val="11"/>
        <color theme="1"/>
        <rFont val="Calibri"/>
        <family val="2"/>
        <charset val="204"/>
      </rPr>
      <t xml:space="preserve"> - 1)</t>
    </r>
  </si>
  <si>
    <r>
      <t>exp(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i</t>
    </r>
    <r>
      <rPr>
        <i/>
        <sz val="11"/>
        <color theme="1"/>
        <rFont val="Calibri"/>
        <family val="2"/>
        <charset val="204"/>
      </rPr>
      <t>) = 1/y</t>
    </r>
    <r>
      <rPr>
        <i/>
        <vertAlign val="subscript"/>
        <sz val="11"/>
        <color theme="1"/>
        <rFont val="Calibri"/>
        <family val="2"/>
        <charset val="204"/>
      </rPr>
      <t>i</t>
    </r>
    <r>
      <rPr>
        <i/>
        <sz val="11"/>
        <color theme="1"/>
        <rFont val="Calibri"/>
        <family val="2"/>
        <charset val="204"/>
      </rPr>
      <t xml:space="preserve"> - 1</t>
    </r>
  </si>
  <si>
    <r>
      <t>1 + exp(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i</t>
    </r>
    <r>
      <rPr>
        <i/>
        <sz val="11"/>
        <color theme="1"/>
        <rFont val="Calibri"/>
        <family val="2"/>
        <charset val="204"/>
      </rPr>
      <t>) = 1/y</t>
    </r>
    <r>
      <rPr>
        <i/>
        <vertAlign val="subscript"/>
        <sz val="11"/>
        <color theme="1"/>
        <rFont val="Calibri"/>
        <family val="2"/>
        <charset val="204"/>
      </rPr>
      <t>i</t>
    </r>
    <r>
      <rPr>
        <i/>
        <sz val="11"/>
        <color theme="1"/>
        <rFont val="Calibri"/>
        <family val="2"/>
        <charset val="204"/>
      </rPr>
      <t xml:space="preserve"> </t>
    </r>
  </si>
  <si>
    <r>
      <t>y</t>
    </r>
    <r>
      <rPr>
        <i/>
        <vertAlign val="subscript"/>
        <sz val="11"/>
        <color theme="1"/>
        <rFont val="Calibri"/>
        <family val="2"/>
        <charset val="204"/>
        <scheme val="minor"/>
      </rPr>
      <t xml:space="preserve">i </t>
    </r>
    <r>
      <rPr>
        <i/>
        <sz val="11"/>
        <color theme="1"/>
        <rFont val="Calibri"/>
        <family val="2"/>
        <charset val="204"/>
        <scheme val="minor"/>
      </rPr>
      <t>= 1/(1 + exp(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 xml:space="preserve">i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i</t>
    </r>
    <r>
      <rPr>
        <i/>
        <sz val="11"/>
        <color theme="1"/>
        <rFont val="Calibri"/>
        <family val="2"/>
        <charset val="204"/>
      </rPr>
      <t>))</t>
    </r>
  </si>
  <si>
    <t>|Остатки/Y|</t>
  </si>
  <si>
    <r>
      <t>Предсказанное y</t>
    </r>
    <r>
      <rPr>
        <i/>
        <vertAlign val="subscript"/>
        <sz val="11"/>
        <color theme="1"/>
        <rFont val="Calibri"/>
        <family val="2"/>
        <charset val="204"/>
        <scheme val="minor"/>
      </rPr>
      <t xml:space="preserve">i </t>
    </r>
    <r>
      <rPr>
        <i/>
        <sz val="11"/>
        <color theme="1"/>
        <rFont val="Calibri"/>
        <family val="2"/>
        <charset val="204"/>
        <scheme val="minor"/>
      </rPr>
      <t>= - 0,45 + 0,06x</t>
    </r>
    <r>
      <rPr>
        <i/>
        <vertAlign val="subscript"/>
        <sz val="11"/>
        <color theme="1"/>
        <rFont val="Calibri"/>
        <family val="2"/>
        <charset val="204"/>
        <scheme val="minor"/>
      </rPr>
      <t>i</t>
    </r>
  </si>
  <si>
    <t>α = 0,05</t>
  </si>
  <si>
    <r>
      <t>H</t>
    </r>
    <r>
      <rPr>
        <i/>
        <vertAlign val="subscript"/>
        <sz val="11"/>
        <color theme="1"/>
        <rFont val="Calibri"/>
        <family val="2"/>
        <charset val="204"/>
        <scheme val="minor"/>
      </rPr>
      <t xml:space="preserve">0 </t>
    </r>
    <r>
      <rPr>
        <i/>
        <sz val="11"/>
        <color theme="1"/>
        <rFont val="Calibri"/>
        <family val="2"/>
        <charset val="204"/>
        <scheme val="minor"/>
      </rPr>
      <t>: a</t>
    </r>
    <r>
      <rPr>
        <i/>
        <vertAlign val="subscript"/>
        <sz val="11"/>
        <color theme="1"/>
        <rFont val="Calibri"/>
        <family val="2"/>
        <charset val="204"/>
        <scheme val="minor"/>
      </rPr>
      <t>3</t>
    </r>
    <r>
      <rPr>
        <i/>
        <sz val="11"/>
        <color theme="1"/>
        <rFont val="Calibri"/>
        <family val="2"/>
        <charset val="204"/>
        <scheme val="minor"/>
      </rPr>
      <t xml:space="preserve"> = 0</t>
    </r>
  </si>
  <si>
    <r>
      <t>H</t>
    </r>
    <r>
      <rPr>
        <i/>
        <vertAlign val="subscript"/>
        <sz val="11"/>
        <color theme="1"/>
        <rFont val="Calibri"/>
        <family val="2"/>
        <charset val="204"/>
        <scheme val="minor"/>
      </rPr>
      <t xml:space="preserve">0 </t>
    </r>
    <r>
      <rPr>
        <i/>
        <sz val="11"/>
        <color theme="1"/>
        <rFont val="Calibri"/>
        <family val="2"/>
        <charset val="204"/>
        <scheme val="minor"/>
      </rPr>
      <t>: a</t>
    </r>
    <r>
      <rPr>
        <i/>
        <vertAlign val="subscript"/>
        <sz val="11"/>
        <color theme="1"/>
        <rFont val="Calibri"/>
        <family val="2"/>
        <charset val="204"/>
        <scheme val="minor"/>
      </rPr>
      <t>2</t>
    </r>
    <r>
      <rPr>
        <i/>
        <sz val="11"/>
        <color theme="1"/>
        <rFont val="Calibri"/>
        <family val="2"/>
        <charset val="204"/>
        <scheme val="minor"/>
      </rPr>
      <t xml:space="preserve"> = 0</t>
    </r>
  </si>
  <si>
    <r>
      <t>H</t>
    </r>
    <r>
      <rPr>
        <i/>
        <vertAlign val="subscript"/>
        <sz val="11"/>
        <color theme="1"/>
        <rFont val="Calibri"/>
        <family val="2"/>
        <charset val="204"/>
        <scheme val="minor"/>
      </rPr>
      <t xml:space="preserve">0 </t>
    </r>
    <r>
      <rPr>
        <i/>
        <sz val="11"/>
        <color theme="1"/>
        <rFont val="Calibri"/>
        <family val="2"/>
        <charset val="204"/>
        <scheme val="minor"/>
      </rPr>
      <t>: a</t>
    </r>
    <r>
      <rPr>
        <i/>
        <vertAlign val="subscript"/>
        <sz val="11"/>
        <color theme="1"/>
        <rFont val="Calibri"/>
        <family val="2"/>
        <charset val="204"/>
        <scheme val="minor"/>
      </rPr>
      <t>1</t>
    </r>
    <r>
      <rPr>
        <i/>
        <sz val="11"/>
        <color theme="1"/>
        <rFont val="Calibri"/>
        <family val="2"/>
        <charset val="204"/>
        <scheme val="minor"/>
      </rPr>
      <t xml:space="preserve"> = 0</t>
    </r>
  </si>
  <si>
    <r>
      <t>H</t>
    </r>
    <r>
      <rPr>
        <i/>
        <vertAlign val="subscript"/>
        <sz val="11"/>
        <color theme="1"/>
        <rFont val="Calibri"/>
        <family val="2"/>
        <charset val="204"/>
        <scheme val="minor"/>
      </rPr>
      <t xml:space="preserve">0 </t>
    </r>
    <r>
      <rPr>
        <i/>
        <sz val="11"/>
        <color theme="1"/>
        <rFont val="Calibri"/>
        <family val="2"/>
        <charset val="204"/>
        <scheme val="minor"/>
      </rPr>
      <t>: a</t>
    </r>
    <r>
      <rPr>
        <i/>
        <vertAlign val="subscript"/>
        <sz val="11"/>
        <color theme="1"/>
        <rFont val="Calibri"/>
        <family val="2"/>
        <charset val="204"/>
        <scheme val="minor"/>
      </rPr>
      <t>0</t>
    </r>
    <r>
      <rPr>
        <i/>
        <sz val="11"/>
        <color theme="1"/>
        <rFont val="Calibri"/>
        <family val="2"/>
        <charset val="204"/>
        <scheme val="minor"/>
      </rPr>
      <t xml:space="preserve"> = 0</t>
    </r>
  </si>
  <si>
    <t>X3</t>
  </si>
  <si>
    <t>X2</t>
  </si>
  <si>
    <t>X1</t>
  </si>
  <si>
    <r>
      <t>H</t>
    </r>
    <r>
      <rPr>
        <i/>
        <vertAlign val="subscript"/>
        <sz val="11"/>
        <color theme="1"/>
        <rFont val="Calibri"/>
        <family val="2"/>
        <charset val="204"/>
        <scheme val="minor"/>
      </rPr>
      <t xml:space="preserve">0 </t>
    </r>
    <r>
      <rPr>
        <i/>
        <sz val="11"/>
        <color theme="1"/>
        <rFont val="Calibri"/>
        <family val="2"/>
        <charset val="204"/>
        <scheme val="minor"/>
      </rPr>
      <t>: a</t>
    </r>
    <r>
      <rPr>
        <i/>
        <vertAlign val="subscript"/>
        <sz val="11"/>
        <color theme="1"/>
        <rFont val="Calibri"/>
        <family val="2"/>
        <charset val="204"/>
        <scheme val="minor"/>
      </rPr>
      <t>1</t>
    </r>
    <r>
      <rPr>
        <i/>
        <sz val="11"/>
        <color theme="1"/>
        <rFont val="Calibri"/>
        <family val="2"/>
        <charset val="204"/>
        <scheme val="minor"/>
      </rPr>
      <t xml:space="preserve"> = a</t>
    </r>
    <r>
      <rPr>
        <i/>
        <vertAlign val="subscript"/>
        <sz val="11"/>
        <color theme="1"/>
        <rFont val="Calibri"/>
        <family val="2"/>
        <charset val="204"/>
        <scheme val="minor"/>
      </rPr>
      <t>2</t>
    </r>
    <r>
      <rPr>
        <i/>
        <sz val="11"/>
        <color theme="1"/>
        <rFont val="Calibri"/>
        <family val="2"/>
        <charset val="204"/>
        <scheme val="minor"/>
      </rPr>
      <t xml:space="preserve"> = a</t>
    </r>
    <r>
      <rPr>
        <i/>
        <vertAlign val="subscript"/>
        <sz val="11"/>
        <color theme="1"/>
        <rFont val="Calibri"/>
        <family val="2"/>
        <charset val="204"/>
        <scheme val="minor"/>
      </rPr>
      <t>3</t>
    </r>
  </si>
  <si>
    <r>
      <t>y</t>
    </r>
    <r>
      <rPr>
        <i/>
        <vertAlign val="subscript"/>
        <sz val="11"/>
        <color theme="1"/>
        <rFont val="Calibri"/>
        <family val="2"/>
        <charset val="204"/>
        <scheme val="minor"/>
      </rPr>
      <t xml:space="preserve">i </t>
    </r>
    <r>
      <rPr>
        <i/>
        <sz val="11"/>
        <color theme="1"/>
        <rFont val="Calibri"/>
        <family val="2"/>
        <charset val="204"/>
        <scheme val="minor"/>
      </rPr>
      <t>= a</t>
    </r>
    <r>
      <rPr>
        <i/>
        <vertAlign val="subscript"/>
        <sz val="11"/>
        <color theme="1"/>
        <rFont val="Calibri"/>
        <family val="2"/>
        <charset val="204"/>
        <scheme val="minor"/>
      </rPr>
      <t>0</t>
    </r>
    <r>
      <rPr>
        <i/>
        <sz val="11"/>
        <color theme="1"/>
        <rFont val="Calibri"/>
        <family val="2"/>
        <charset val="204"/>
        <scheme val="minor"/>
      </rPr>
      <t xml:space="preserve"> + a</t>
    </r>
    <r>
      <rPr>
        <i/>
        <vertAlign val="subscript"/>
        <sz val="11"/>
        <color theme="1"/>
        <rFont val="Calibri"/>
        <family val="2"/>
        <charset val="204"/>
        <scheme val="minor"/>
      </rPr>
      <t>1</t>
    </r>
    <r>
      <rPr>
        <i/>
        <sz val="11"/>
        <color theme="1"/>
        <rFont val="Calibri"/>
        <family val="2"/>
        <charset val="204"/>
        <scheme val="minor"/>
      </rPr>
      <t>x</t>
    </r>
    <r>
      <rPr>
        <i/>
        <vertAlign val="subscript"/>
        <sz val="11"/>
        <color theme="1"/>
        <rFont val="Calibri"/>
        <family val="2"/>
        <charset val="204"/>
        <scheme val="minor"/>
      </rPr>
      <t>i1</t>
    </r>
    <r>
      <rPr>
        <i/>
        <sz val="11"/>
        <color theme="1"/>
        <rFont val="Calibri"/>
        <family val="2"/>
        <charset val="204"/>
        <scheme val="minor"/>
      </rPr>
      <t xml:space="preserve"> +  a</t>
    </r>
    <r>
      <rPr>
        <i/>
        <vertAlign val="subscript"/>
        <sz val="11"/>
        <color theme="1"/>
        <rFont val="Calibri"/>
        <family val="2"/>
        <charset val="204"/>
        <scheme val="minor"/>
      </rPr>
      <t>2</t>
    </r>
    <r>
      <rPr>
        <i/>
        <sz val="11"/>
        <color theme="1"/>
        <rFont val="Calibri"/>
        <family val="2"/>
        <charset val="204"/>
        <scheme val="minor"/>
      </rPr>
      <t>x</t>
    </r>
    <r>
      <rPr>
        <i/>
        <vertAlign val="subscript"/>
        <sz val="11"/>
        <color theme="1"/>
        <rFont val="Calibri"/>
        <family val="2"/>
        <charset val="204"/>
        <scheme val="minor"/>
      </rPr>
      <t>i2</t>
    </r>
    <r>
      <rPr>
        <i/>
        <sz val="11"/>
        <color theme="1"/>
        <rFont val="Calibri"/>
        <family val="2"/>
        <charset val="204"/>
        <scheme val="minor"/>
      </rPr>
      <t xml:space="preserve"> + a</t>
    </r>
    <r>
      <rPr>
        <i/>
        <vertAlign val="subscript"/>
        <sz val="11"/>
        <color theme="1"/>
        <rFont val="Calibri"/>
        <family val="2"/>
        <charset val="204"/>
        <scheme val="minor"/>
      </rPr>
      <t>3</t>
    </r>
    <r>
      <rPr>
        <i/>
        <sz val="11"/>
        <color theme="1"/>
        <rFont val="Calibri"/>
        <family val="2"/>
        <charset val="204"/>
        <scheme val="minor"/>
      </rPr>
      <t>x</t>
    </r>
    <r>
      <rPr>
        <i/>
        <vertAlign val="subscript"/>
        <sz val="11"/>
        <color theme="1"/>
        <rFont val="Calibri"/>
        <family val="2"/>
        <charset val="204"/>
        <scheme val="minor"/>
      </rPr>
      <t xml:space="preserve">i3 </t>
    </r>
    <r>
      <rPr>
        <i/>
        <sz val="11"/>
        <color theme="1"/>
        <rFont val="Calibri"/>
        <family val="2"/>
        <charset val="204"/>
        <scheme val="minor"/>
      </rPr>
      <t xml:space="preserve">+ </t>
    </r>
    <r>
      <rPr>
        <i/>
        <sz val="11"/>
        <color theme="1"/>
        <rFont val="Calibri"/>
        <family val="2"/>
        <charset val="204"/>
      </rPr>
      <t>ε</t>
    </r>
    <r>
      <rPr>
        <i/>
        <vertAlign val="subscript"/>
        <sz val="11"/>
        <color theme="1"/>
        <rFont val="Calibri"/>
        <family val="2"/>
        <charset val="204"/>
      </rPr>
      <t>i</t>
    </r>
  </si>
  <si>
    <r>
      <t>Матрица (X</t>
    </r>
    <r>
      <rPr>
        <vertAlign val="superscript"/>
        <sz val="11"/>
        <color theme="1"/>
        <rFont val="Calibri"/>
        <family val="2"/>
        <charset val="204"/>
        <scheme val="minor"/>
      </rPr>
      <t>T</t>
    </r>
    <r>
      <rPr>
        <sz val="11"/>
        <color theme="1"/>
        <rFont val="Calibri"/>
        <family val="2"/>
        <scheme val="minor"/>
      </rPr>
      <t>X)</t>
    </r>
    <r>
      <rPr>
        <vertAlign val="superscript"/>
        <sz val="11"/>
        <color theme="1"/>
        <rFont val="Calibri"/>
        <family val="2"/>
        <charset val="204"/>
        <scheme val="minor"/>
      </rPr>
      <t>-1</t>
    </r>
  </si>
  <si>
    <t>Control + Shift + Enter</t>
  </si>
  <si>
    <r>
      <t>Матрица X</t>
    </r>
    <r>
      <rPr>
        <vertAlign val="superscript"/>
        <sz val="11"/>
        <color theme="1"/>
        <rFont val="Calibri"/>
        <family val="2"/>
        <charset val="204"/>
        <scheme val="minor"/>
      </rPr>
      <t>T</t>
    </r>
    <r>
      <rPr>
        <sz val="11"/>
        <color theme="1"/>
        <rFont val="Calibri"/>
        <family val="2"/>
        <scheme val="minor"/>
      </rPr>
      <t>y</t>
    </r>
  </si>
  <si>
    <r>
      <t>Матрица X</t>
    </r>
    <r>
      <rPr>
        <vertAlign val="superscript"/>
        <sz val="11"/>
        <color theme="1"/>
        <rFont val="Calibri"/>
        <family val="2"/>
        <charset val="204"/>
        <scheme val="minor"/>
      </rPr>
      <t>T</t>
    </r>
    <r>
      <rPr>
        <sz val="11"/>
        <color theme="1"/>
        <rFont val="Calibri"/>
        <family val="2"/>
        <scheme val="minor"/>
      </rPr>
      <t>X</t>
    </r>
  </si>
  <si>
    <r>
      <t>a = (X</t>
    </r>
    <r>
      <rPr>
        <i/>
        <vertAlign val="superscript"/>
        <sz val="11"/>
        <color theme="1"/>
        <rFont val="Calibri"/>
        <family val="2"/>
        <charset val="204"/>
        <scheme val="minor"/>
      </rPr>
      <t>T</t>
    </r>
    <r>
      <rPr>
        <i/>
        <sz val="11"/>
        <color theme="1"/>
        <rFont val="Calibri"/>
        <family val="2"/>
        <charset val="204"/>
        <scheme val="minor"/>
      </rPr>
      <t>X)</t>
    </r>
    <r>
      <rPr>
        <i/>
        <vertAlign val="superscript"/>
        <sz val="11"/>
        <color theme="1"/>
        <rFont val="Calibri"/>
        <family val="2"/>
        <charset val="204"/>
        <scheme val="minor"/>
      </rPr>
      <t>-1</t>
    </r>
    <r>
      <rPr>
        <i/>
        <sz val="11"/>
        <color theme="1"/>
        <rFont val="Calibri"/>
        <family val="2"/>
        <charset val="204"/>
        <scheme val="minor"/>
      </rPr>
      <t>(X</t>
    </r>
    <r>
      <rPr>
        <i/>
        <vertAlign val="superscript"/>
        <sz val="11"/>
        <color theme="1"/>
        <rFont val="Calibri"/>
        <family val="2"/>
        <charset val="204"/>
        <scheme val="minor"/>
      </rPr>
      <t>T</t>
    </r>
    <r>
      <rPr>
        <i/>
        <sz val="11"/>
        <color theme="1"/>
        <rFont val="Calibri"/>
        <family val="2"/>
        <charset val="204"/>
        <scheme val="minor"/>
      </rPr>
      <t>y)</t>
    </r>
  </si>
  <si>
    <r>
      <t>Матрица X</t>
    </r>
    <r>
      <rPr>
        <vertAlign val="superscript"/>
        <sz val="11"/>
        <color theme="1"/>
        <rFont val="Calibri"/>
        <family val="2"/>
        <charset val="204"/>
        <scheme val="minor"/>
      </rPr>
      <t>T</t>
    </r>
  </si>
  <si>
    <t>Матрица X</t>
  </si>
  <si>
    <r>
      <t xml:space="preserve"> a</t>
    </r>
    <r>
      <rPr>
        <i/>
        <vertAlign val="subscript"/>
        <sz val="11"/>
        <color theme="1"/>
        <rFont val="Calibri"/>
        <family val="2"/>
        <charset val="204"/>
        <scheme val="minor"/>
      </rPr>
      <t>3</t>
    </r>
  </si>
  <si>
    <r>
      <t xml:space="preserve"> a</t>
    </r>
    <r>
      <rPr>
        <i/>
        <vertAlign val="subscript"/>
        <sz val="11"/>
        <color theme="1"/>
        <rFont val="Calibri"/>
        <family val="2"/>
        <charset val="204"/>
        <scheme val="minor"/>
      </rPr>
      <t>2</t>
    </r>
    <r>
      <rPr>
        <i/>
        <sz val="11"/>
        <color theme="1"/>
        <rFont val="Calibri"/>
        <family val="2"/>
        <charset val="204"/>
        <scheme val="minor"/>
      </rPr>
      <t/>
    </r>
  </si>
  <si>
    <r>
      <t>a</t>
    </r>
    <r>
      <rPr>
        <i/>
        <vertAlign val="subscript"/>
        <sz val="11"/>
        <color theme="1"/>
        <rFont val="Calibri"/>
        <family val="2"/>
        <charset val="204"/>
        <scheme val="minor"/>
      </rPr>
      <t>1</t>
    </r>
    <r>
      <rPr>
        <i/>
        <sz val="11"/>
        <color theme="1"/>
        <rFont val="Calibri"/>
        <family val="2"/>
        <charset val="204"/>
        <scheme val="minor"/>
      </rPr>
      <t/>
    </r>
  </si>
  <si>
    <r>
      <t xml:space="preserve"> a</t>
    </r>
    <r>
      <rPr>
        <i/>
        <vertAlign val="subscript"/>
        <sz val="11"/>
        <color theme="1"/>
        <rFont val="Calibri"/>
        <family val="2"/>
        <charset val="204"/>
        <scheme val="minor"/>
      </rPr>
      <t>0</t>
    </r>
    <r>
      <rPr>
        <i/>
        <sz val="11"/>
        <color theme="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</si>
</sst>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37"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rgb="FF006100"/>
      <name val="Calibri"/>
      <family val="2"/>
      <charset val="204"/>
      <scheme val="minor"/>
    </font>
    <font>
      <sz val="11"/>
      <color rgb="FF9C0006"/>
      <name val="Calibri"/>
      <family val="2"/>
      <charset val="204"/>
      <scheme val="minor"/>
    </font>
    <font>
      <b/>
      <sz val="11"/>
      <color rgb="FF3F3F3F"/>
      <name val="Calibri"/>
      <family val="2"/>
      <charset val="204"/>
      <scheme val="minor"/>
    </font>
    <font>
      <b/>
      <sz val="11"/>
      <color rgb="FFFA7D00"/>
      <name val="Calibri"/>
      <family val="2"/>
      <charset val="204"/>
      <scheme val="minor"/>
    </font>
    <font>
      <b/>
      <sz val="11"/>
      <color theme="0"/>
      <name val="Calibri"/>
      <family val="2"/>
      <charset val="204"/>
      <scheme val="minor"/>
    </font>
    <font>
      <b/>
      <sz val="11"/>
      <color theme="1"/>
      <name val="Calibri"/>
      <family val="2"/>
      <charset val="204"/>
      <scheme val="minor"/>
    </font>
    <font>
      <sz val="11"/>
      <color theme="1"/>
      <name val="Calibri"/>
      <family val="2"/>
      <charset val="204"/>
    </font>
    <font>
      <sz val="14"/>
      <color theme="1"/>
      <name val="Times New Roman"/>
      <family val="1"/>
      <charset val="204"/>
    </font>
    <font>
      <sz val="14"/>
      <color rgb="FF3F3F3F"/>
      <name val="Times New Roman"/>
      <family val="1"/>
      <charset val="204"/>
    </font>
    <font>
      <b/>
      <sz val="14"/>
      <color rgb="FF3F3F3F"/>
      <name val="Times New Roman"/>
      <family val="1"/>
      <charset val="204"/>
    </font>
    <font>
      <sz val="36"/>
      <color theme="1"/>
      <name val="Times New Roman"/>
      <family val="1"/>
      <charset val="204"/>
    </font>
    <font>
      <sz val="12"/>
      <color theme="1"/>
      <name val="Times New Roman"/>
      <family val="1"/>
      <charset val="204"/>
    </font>
    <font>
      <i/>
      <sz val="11"/>
      <color theme="1"/>
      <name val="Calibri"/>
      <family val="2"/>
      <charset val="204"/>
      <scheme val="minor"/>
    </font>
    <font>
      <sz val="72"/>
      <color theme="1"/>
      <name val="Calibri"/>
      <family val="2"/>
      <charset val="204"/>
      <scheme val="minor"/>
    </font>
    <font>
      <sz val="36"/>
      <color theme="1"/>
      <name val="Calibri"/>
      <family val="2"/>
      <charset val="204"/>
      <scheme val="minor"/>
    </font>
    <font>
      <b/>
      <i/>
      <sz val="14"/>
      <color rgb="FFFA7D00"/>
      <name val="Calibri"/>
      <family val="2"/>
      <charset val="204"/>
      <scheme val="minor"/>
    </font>
    <font>
      <b/>
      <i/>
      <sz val="11"/>
      <color rgb="FF006100"/>
      <name val="Calibri"/>
      <family val="2"/>
      <charset val="204"/>
      <scheme val="minor"/>
    </font>
    <font>
      <i/>
      <sz val="11"/>
      <color theme="1"/>
      <name val="Calibri"/>
      <family val="2"/>
      <scheme val="minor"/>
    </font>
    <font>
      <b/>
      <sz val="11"/>
      <color theme="4" tint="-0.499984740745262"/>
      <name val="Calibri"/>
      <family val="2"/>
      <charset val="204"/>
      <scheme val="minor"/>
    </font>
    <font>
      <sz val="11"/>
      <color rgb="FF9C6500"/>
      <name val="Calibri"/>
      <family val="2"/>
      <charset val="204"/>
      <scheme val="minor"/>
    </font>
    <font>
      <sz val="11"/>
      <color theme="4" tint="-0.499984740745262"/>
      <name val="Calibri"/>
      <family val="2"/>
      <scheme val="minor"/>
    </font>
    <font>
      <i/>
      <sz val="11"/>
      <color theme="4" tint="-0.499984740745262"/>
      <name val="Calibri"/>
      <family val="2"/>
      <scheme val="minor"/>
    </font>
    <font>
      <b/>
      <i/>
      <sz val="11"/>
      <color theme="4" tint="-0.499984740745262"/>
      <name val="Calibri"/>
      <family val="2"/>
      <charset val="204"/>
      <scheme val="minor"/>
    </font>
    <font>
      <b/>
      <i/>
      <sz val="11"/>
      <color theme="1"/>
      <name val="Calibri"/>
      <family val="2"/>
      <charset val="204"/>
      <scheme val="minor"/>
    </font>
    <font>
      <b/>
      <sz val="11"/>
      <color rgb="FF9C0006"/>
      <name val="Calibri"/>
      <family val="2"/>
      <charset val="204"/>
      <scheme val="minor"/>
    </font>
    <font>
      <b/>
      <sz val="11"/>
      <color rgb="FF9C6500"/>
      <name val="Calibri"/>
      <family val="2"/>
      <charset val="204"/>
      <scheme val="minor"/>
    </font>
    <font>
      <b/>
      <sz val="11"/>
      <color rgb="FF006100"/>
      <name val="Calibri"/>
      <family val="2"/>
      <charset val="204"/>
      <scheme val="minor"/>
    </font>
    <font>
      <sz val="28"/>
      <color theme="1"/>
      <name val="Calibri"/>
      <family val="2"/>
      <charset val="204"/>
      <scheme val="minor"/>
    </font>
    <font>
      <b/>
      <i/>
      <sz val="11"/>
      <color rgb="FF9C6500"/>
      <name val="Calibri"/>
      <family val="2"/>
      <charset val="204"/>
      <scheme val="minor"/>
    </font>
    <font>
      <i/>
      <vertAlign val="subscript"/>
      <sz val="11"/>
      <color theme="1"/>
      <name val="Calibri"/>
      <family val="2"/>
      <charset val="204"/>
      <scheme val="minor"/>
    </font>
    <font>
      <i/>
      <sz val="11"/>
      <color theme="1"/>
      <name val="Calibri"/>
      <family val="2"/>
      <charset val="204"/>
    </font>
    <font>
      <i/>
      <vertAlign val="subscript"/>
      <sz val="11"/>
      <color theme="1"/>
      <name val="Calibri"/>
      <family val="2"/>
      <charset val="204"/>
    </font>
    <font>
      <i/>
      <vertAlign val="superscript"/>
      <sz val="11"/>
      <color theme="1"/>
      <name val="Calibri"/>
      <family val="2"/>
      <charset val="204"/>
      <scheme val="minor"/>
    </font>
    <font>
      <vertAlign val="superscript"/>
      <sz val="11"/>
      <color theme="1"/>
      <name val="Calibri"/>
      <family val="2"/>
      <charset val="204"/>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59999389629810485"/>
        <bgColor indexed="65"/>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thin">
        <color rgb="FFB2B2B2"/>
      </left>
      <right/>
      <top/>
      <bottom/>
      <diagonal/>
    </border>
    <border>
      <left/>
      <right style="medium">
        <color indexed="64"/>
      </right>
      <top/>
      <bottom style="medium">
        <color indexed="64"/>
      </bottom>
      <diagonal/>
    </border>
    <border>
      <left style="double">
        <color rgb="FF3F3F3F"/>
      </left>
      <right style="double">
        <color rgb="FF3F3F3F"/>
      </right>
      <top/>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rgb="FF7F7F7F"/>
      </right>
      <top style="thin">
        <color indexed="64"/>
      </top>
      <bottom style="thin">
        <color rgb="FF7F7F7F"/>
      </bottom>
      <diagonal/>
    </border>
    <border>
      <left/>
      <right/>
      <top style="thin">
        <color indexed="64"/>
      </top>
      <bottom style="thin">
        <color rgb="FF7F7F7F"/>
      </bottom>
      <diagonal/>
    </border>
    <border>
      <left style="thin">
        <color rgb="FF7F7F7F"/>
      </left>
      <right/>
      <top style="thin">
        <color indexed="64"/>
      </top>
      <bottom style="thin">
        <color rgb="FF7F7F7F"/>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rgb="FF3F3F3F"/>
      </right>
      <top style="thin">
        <color rgb="FF3F3F3F"/>
      </top>
      <bottom style="thin">
        <color rgb="FF3F3F3F"/>
      </bottom>
      <diagonal/>
    </border>
  </borders>
  <cellStyleXfs count="11">
    <xf numFmtId="0" fontId="0" fillId="0" borderId="0"/>
    <xf numFmtId="0" fontId="3" fillId="2" borderId="0" applyNumberFormat="0" applyBorder="0" applyAlignment="0" applyProtection="0"/>
    <xf numFmtId="0" fontId="4" fillId="3" borderId="0" applyNumberFormat="0" applyBorder="0" applyAlignment="0" applyProtection="0"/>
    <xf numFmtId="0" fontId="5" fillId="5" borderId="2" applyNumberFormat="0" applyAlignment="0" applyProtection="0"/>
    <xf numFmtId="0" fontId="6" fillId="5" borderId="1" applyNumberFormat="0" applyAlignment="0" applyProtection="0"/>
    <xf numFmtId="0" fontId="7" fillId="6" borderId="3" applyNumberFormat="0" applyAlignment="0" applyProtection="0"/>
    <xf numFmtId="0" fontId="1" fillId="8" borderId="0" applyNumberFormat="0" applyBorder="0" applyAlignment="0" applyProtection="0"/>
    <xf numFmtId="0" fontId="1" fillId="0" borderId="0"/>
    <xf numFmtId="0" fontId="1" fillId="7" borderId="4" applyNumberFormat="0" applyFont="0" applyAlignment="0" applyProtection="0"/>
    <xf numFmtId="0" fontId="2" fillId="0" borderId="0"/>
    <xf numFmtId="0" fontId="22" fillId="4" borderId="0" applyNumberFormat="0" applyBorder="0" applyAlignment="0" applyProtection="0"/>
  </cellStyleXfs>
  <cellXfs count="200">
    <xf numFmtId="0" fontId="0" fillId="0" borderId="0" xfId="0"/>
    <xf numFmtId="0" fontId="1" fillId="0" borderId="0" xfId="7"/>
    <xf numFmtId="0" fontId="1" fillId="0" borderId="0" xfId="7" applyAlignment="1">
      <alignment horizontal="center" vertical="center"/>
    </xf>
    <xf numFmtId="0" fontId="1" fillId="0" borderId="0" xfId="7" applyAlignment="1">
      <alignment horizontal="center"/>
    </xf>
    <xf numFmtId="0" fontId="10" fillId="0" borderId="0" xfId="7" applyFont="1"/>
    <xf numFmtId="0" fontId="10" fillId="0" borderId="0" xfId="7" applyFont="1" applyAlignment="1">
      <alignment horizontal="center" vertical="center"/>
    </xf>
    <xf numFmtId="0" fontId="10" fillId="0" borderId="0" xfId="7" applyFont="1" applyAlignment="1">
      <alignment horizontal="center"/>
    </xf>
    <xf numFmtId="0" fontId="3" fillId="2" borderId="0" xfId="1"/>
    <xf numFmtId="0" fontId="5" fillId="5" borderId="2" xfId="3"/>
    <xf numFmtId="0" fontId="7" fillId="6" borderId="3" xfId="5" applyAlignment="1">
      <alignment horizontal="center"/>
    </xf>
    <xf numFmtId="0" fontId="5" fillId="5" borderId="2" xfId="3" applyAlignment="1">
      <alignment horizontal="center"/>
    </xf>
    <xf numFmtId="0" fontId="7" fillId="6" borderId="3" xfId="5" applyAlignment="1">
      <alignment horizontal="center"/>
    </xf>
    <xf numFmtId="0" fontId="11" fillId="5" borderId="2" xfId="3" applyFont="1" applyAlignment="1">
      <alignment horizontal="center" wrapText="1"/>
    </xf>
    <xf numFmtId="0" fontId="5" fillId="5" borderId="2" xfId="3" applyAlignment="1">
      <alignment horizontal="center" vertical="center"/>
    </xf>
    <xf numFmtId="0" fontId="7" fillId="6" borderId="3" xfId="5" applyAlignment="1">
      <alignment horizontal="center" vertical="center"/>
    </xf>
    <xf numFmtId="0" fontId="7" fillId="6" borderId="3" xfId="5" applyAlignment="1">
      <alignment horizontal="center" vertical="center" wrapText="1"/>
    </xf>
    <xf numFmtId="0" fontId="7" fillId="6" borderId="5" xfId="5" applyBorder="1" applyAlignment="1">
      <alignment horizontal="center" wrapText="1"/>
    </xf>
    <xf numFmtId="0" fontId="7" fillId="6" borderId="6" xfId="5" applyBorder="1" applyAlignment="1">
      <alignment horizontal="center" wrapText="1"/>
    </xf>
    <xf numFmtId="0" fontId="12" fillId="5" borderId="2" xfId="3" applyFont="1" applyAlignment="1">
      <alignment horizontal="center" vertical="center" wrapText="1"/>
    </xf>
    <xf numFmtId="0" fontId="13" fillId="7" borderId="4" xfId="8" applyFont="1" applyAlignment="1">
      <alignment horizontal="center" vertical="center" wrapText="1"/>
    </xf>
    <xf numFmtId="0" fontId="7" fillId="6" borderId="3" xfId="5" applyAlignment="1">
      <alignment horizontal="center" wrapText="1"/>
    </xf>
    <xf numFmtId="0" fontId="7" fillId="6" borderId="3" xfId="5"/>
    <xf numFmtId="0" fontId="0" fillId="7" borderId="0" xfId="8" applyFont="1" applyBorder="1" applyAlignment="1">
      <alignment horizontal="center" vertical="center" wrapText="1"/>
    </xf>
    <xf numFmtId="0" fontId="0" fillId="7" borderId="7" xfId="8" applyFont="1" applyBorder="1" applyAlignment="1">
      <alignment horizontal="center" vertical="center" wrapText="1"/>
    </xf>
    <xf numFmtId="0" fontId="5" fillId="5" borderId="2" xfId="3" applyAlignment="1"/>
    <xf numFmtId="0" fontId="5" fillId="5" borderId="2" xfId="3" applyAlignment="1">
      <alignment horizontal="center" vertical="center" wrapText="1"/>
    </xf>
    <xf numFmtId="0" fontId="6" fillId="5" borderId="1" xfId="4" applyAlignment="1">
      <alignment horizontal="center" vertical="center" wrapText="1"/>
    </xf>
    <xf numFmtId="0" fontId="14" fillId="0" borderId="8" xfId="7" applyFont="1" applyBorder="1" applyAlignment="1">
      <alignment horizontal="center" vertical="center" wrapText="1"/>
    </xf>
    <xf numFmtId="0" fontId="7" fillId="6" borderId="3" xfId="5" applyAlignment="1">
      <alignment horizontal="center" vertical="center"/>
    </xf>
    <xf numFmtId="0" fontId="7" fillId="6" borderId="3" xfId="5" applyAlignment="1">
      <alignment horizontal="center" vertical="center" wrapText="1"/>
    </xf>
    <xf numFmtId="0" fontId="1" fillId="0" borderId="0" xfId="7" applyAlignment="1">
      <alignment vertical="center"/>
    </xf>
    <xf numFmtId="0" fontId="5" fillId="5" borderId="2" xfId="3" applyAlignment="1">
      <alignment horizontal="left" vertical="center" indent="1"/>
    </xf>
    <xf numFmtId="0" fontId="7" fillId="6" borderId="3" xfId="5" applyAlignment="1">
      <alignment horizontal="left" vertical="center" indent="1"/>
    </xf>
    <xf numFmtId="0" fontId="1" fillId="0" borderId="0" xfId="7" applyAlignment="1">
      <alignment horizontal="left" vertical="center" indent="1"/>
    </xf>
    <xf numFmtId="0" fontId="7" fillId="6" borderId="3" xfId="5" applyAlignment="1">
      <alignment horizontal="left" vertical="center"/>
    </xf>
    <xf numFmtId="0" fontId="7" fillId="6" borderId="3" xfId="5" applyAlignment="1">
      <alignment horizontal="centerContinuous"/>
    </xf>
    <xf numFmtId="0" fontId="5" fillId="5" borderId="2" xfId="3" applyAlignment="1">
      <alignment horizontal="center" vertical="center" wrapText="1"/>
    </xf>
    <xf numFmtId="0" fontId="7" fillId="6" borderId="9" xfId="5" applyBorder="1" applyAlignment="1">
      <alignment horizontal="center"/>
    </xf>
    <xf numFmtId="0" fontId="15" fillId="0" borderId="10" xfId="7" applyFont="1" applyBorder="1" applyAlignment="1">
      <alignment horizontal="center"/>
    </xf>
    <xf numFmtId="0" fontId="7" fillId="6" borderId="3" xfId="5" applyAlignment="1"/>
    <xf numFmtId="0" fontId="1" fillId="0" borderId="0" xfId="9" applyFont="1"/>
    <xf numFmtId="0" fontId="16" fillId="0" borderId="0" xfId="9" applyFont="1"/>
    <xf numFmtId="0" fontId="17" fillId="0" borderId="0" xfId="9" applyFont="1"/>
    <xf numFmtId="0" fontId="2" fillId="0" borderId="0" xfId="9"/>
    <xf numFmtId="0" fontId="18" fillId="5" borderId="1" xfId="4" applyFont="1" applyAlignment="1"/>
    <xf numFmtId="0" fontId="2" fillId="0" borderId="11" xfId="9" applyBorder="1"/>
    <xf numFmtId="0" fontId="2" fillId="9" borderId="0" xfId="9" applyFill="1"/>
    <xf numFmtId="0" fontId="19" fillId="2" borderId="11" xfId="1" applyFont="1" applyBorder="1" applyAlignment="1"/>
    <xf numFmtId="0" fontId="19" fillId="2" borderId="0" xfId="1" applyFont="1" applyBorder="1" applyAlignment="1"/>
    <xf numFmtId="0" fontId="20" fillId="0" borderId="10" xfId="9" applyFont="1" applyBorder="1" applyAlignment="1">
      <alignment horizontal="center"/>
    </xf>
    <xf numFmtId="0" fontId="3" fillId="2" borderId="0" xfId="1" applyBorder="1" applyAlignment="1"/>
    <xf numFmtId="0" fontId="20" fillId="0" borderId="10" xfId="9" applyFont="1" applyBorder="1" applyAlignment="1">
      <alignment horizontal="centerContinuous"/>
    </xf>
    <xf numFmtId="0" fontId="21" fillId="10" borderId="2" xfId="3" applyFont="1" applyFill="1" applyAlignment="1">
      <alignment wrapText="1"/>
    </xf>
    <xf numFmtId="0" fontId="21" fillId="10" borderId="2" xfId="3" applyFont="1" applyFill="1" applyAlignment="1"/>
    <xf numFmtId="0" fontId="1" fillId="0" borderId="12" xfId="9" applyFont="1" applyBorder="1"/>
    <xf numFmtId="0" fontId="4" fillId="3" borderId="12" xfId="2" applyBorder="1" applyAlignment="1">
      <alignment wrapText="1"/>
    </xf>
    <xf numFmtId="0" fontId="4" fillId="3" borderId="12" xfId="2" applyBorder="1" applyAlignment="1"/>
    <xf numFmtId="0" fontId="3" fillId="2" borderId="13" xfId="1" applyBorder="1" applyAlignment="1">
      <alignment horizontal="center"/>
    </xf>
    <xf numFmtId="0" fontId="3" fillId="2" borderId="14" xfId="1" applyBorder="1" applyAlignment="1">
      <alignment horizontal="center"/>
    </xf>
    <xf numFmtId="0" fontId="3" fillId="2" borderId="15" xfId="1" applyBorder="1" applyAlignment="1">
      <alignment horizontal="center"/>
    </xf>
    <xf numFmtId="0" fontId="1" fillId="0" borderId="13" xfId="9" applyFont="1" applyBorder="1" applyAlignment="1">
      <alignment horizontal="center"/>
    </xf>
    <xf numFmtId="0" fontId="1" fillId="0" borderId="14" xfId="9" applyFont="1" applyBorder="1" applyAlignment="1">
      <alignment horizontal="center"/>
    </xf>
    <xf numFmtId="0" fontId="1" fillId="0" borderId="15" xfId="9" applyFont="1" applyBorder="1" applyAlignment="1">
      <alignment horizontal="center"/>
    </xf>
    <xf numFmtId="0" fontId="1" fillId="0" borderId="12" xfId="9" applyFont="1" applyBorder="1" applyAlignment="1">
      <alignment horizontal="center"/>
    </xf>
    <xf numFmtId="0" fontId="22" fillId="4" borderId="12" xfId="10" applyBorder="1" applyAlignment="1">
      <alignment wrapText="1"/>
    </xf>
    <xf numFmtId="0" fontId="22" fillId="4" borderId="12" xfId="10" applyBorder="1" applyAlignment="1"/>
    <xf numFmtId="0" fontId="3" fillId="2" borderId="12" xfId="1" applyBorder="1" applyAlignment="1">
      <alignment wrapText="1"/>
    </xf>
    <xf numFmtId="0" fontId="3" fillId="2" borderId="12" xfId="1" applyBorder="1" applyAlignment="1"/>
    <xf numFmtId="0" fontId="8" fillId="0" borderId="0" xfId="9" applyFont="1"/>
    <xf numFmtId="0" fontId="23" fillId="10" borderId="8" xfId="9" applyFont="1" applyFill="1" applyBorder="1"/>
    <xf numFmtId="0" fontId="23" fillId="10" borderId="11" xfId="9" applyFont="1" applyFill="1" applyBorder="1"/>
    <xf numFmtId="0" fontId="1" fillId="0" borderId="11" xfId="9" applyFont="1" applyBorder="1"/>
    <xf numFmtId="0" fontId="4" fillId="3" borderId="11" xfId="2" applyBorder="1"/>
    <xf numFmtId="0" fontId="4" fillId="3" borderId="11" xfId="2" applyBorder="1" applyAlignment="1"/>
    <xf numFmtId="0" fontId="1" fillId="0" borderId="16" xfId="9" applyFont="1" applyBorder="1"/>
    <xf numFmtId="0" fontId="23" fillId="10" borderId="17" xfId="9" applyFont="1" applyFill="1" applyBorder="1"/>
    <xf numFmtId="0" fontId="23" fillId="10" borderId="0" xfId="9" applyFont="1" applyFill="1"/>
    <xf numFmtId="0" fontId="4" fillId="3" borderId="0" xfId="2" applyBorder="1"/>
    <xf numFmtId="0" fontId="4" fillId="3" borderId="0" xfId="2" applyBorder="1" applyAlignment="1"/>
    <xf numFmtId="0" fontId="1" fillId="0" borderId="18" xfId="9" applyFont="1" applyBorder="1"/>
    <xf numFmtId="0" fontId="24" fillId="10" borderId="10" xfId="9" applyFont="1" applyFill="1" applyBorder="1" applyAlignment="1">
      <alignment horizontal="center"/>
    </xf>
    <xf numFmtId="0" fontId="4" fillId="3" borderId="10" xfId="2" applyBorder="1" applyAlignment="1">
      <alignment horizontal="center"/>
    </xf>
    <xf numFmtId="0" fontId="24" fillId="10" borderId="19" xfId="9" applyFont="1" applyFill="1" applyBorder="1" applyAlignment="1">
      <alignment horizontal="center"/>
    </xf>
    <xf numFmtId="0" fontId="2" fillId="11" borderId="0" xfId="9" applyFill="1"/>
    <xf numFmtId="0" fontId="2" fillId="11" borderId="11" xfId="9" applyFill="1" applyBorder="1"/>
    <xf numFmtId="0" fontId="2" fillId="11" borderId="16" xfId="9" applyFill="1" applyBorder="1"/>
    <xf numFmtId="0" fontId="2" fillId="11" borderId="18" xfId="9" applyFill="1" applyBorder="1"/>
    <xf numFmtId="0" fontId="24" fillId="10" borderId="10" xfId="9" applyFont="1" applyFill="1" applyBorder="1" applyAlignment="1">
      <alignment horizontal="centerContinuous"/>
    </xf>
    <xf numFmtId="0" fontId="4" fillId="3" borderId="10" xfId="2" applyBorder="1" applyAlignment="1">
      <alignment horizontal="centerContinuous"/>
    </xf>
    <xf numFmtId="0" fontId="1" fillId="0" borderId="17" xfId="9" applyFont="1" applyBorder="1"/>
    <xf numFmtId="0" fontId="22" fillId="4" borderId="17" xfId="10" applyBorder="1"/>
    <xf numFmtId="0" fontId="22" fillId="4" borderId="0" xfId="10" applyBorder="1"/>
    <xf numFmtId="0" fontId="22" fillId="4" borderId="11" xfId="10" applyBorder="1" applyAlignment="1"/>
    <xf numFmtId="0" fontId="3" fillId="2" borderId="0" xfId="1" applyBorder="1"/>
    <xf numFmtId="0" fontId="3" fillId="2" borderId="11" xfId="1" applyBorder="1" applyAlignment="1"/>
    <xf numFmtId="0" fontId="22" fillId="4" borderId="0" xfId="10" applyBorder="1" applyAlignment="1"/>
    <xf numFmtId="0" fontId="22" fillId="4" borderId="10" xfId="10" applyBorder="1" applyAlignment="1">
      <alignment horizontal="center"/>
    </xf>
    <xf numFmtId="0" fontId="3" fillId="2" borderId="10" xfId="1" applyBorder="1" applyAlignment="1">
      <alignment horizontal="center"/>
    </xf>
    <xf numFmtId="0" fontId="20" fillId="11" borderId="10" xfId="9" applyFont="1" applyFill="1" applyBorder="1" applyAlignment="1">
      <alignment horizontal="center"/>
    </xf>
    <xf numFmtId="0" fontId="20" fillId="11" borderId="20" xfId="9" applyFont="1" applyFill="1" applyBorder="1" applyAlignment="1">
      <alignment horizontal="center"/>
    </xf>
    <xf numFmtId="0" fontId="22" fillId="4" borderId="8" xfId="10" applyBorder="1" applyAlignment="1"/>
    <xf numFmtId="0" fontId="22" fillId="4" borderId="17" xfId="10" applyBorder="1" applyAlignment="1"/>
    <xf numFmtId="0" fontId="22" fillId="4" borderId="19" xfId="10" applyBorder="1" applyAlignment="1">
      <alignment horizontal="center"/>
    </xf>
    <xf numFmtId="0" fontId="22" fillId="4" borderId="10" xfId="10" applyBorder="1" applyAlignment="1">
      <alignment horizontal="centerContinuous"/>
    </xf>
    <xf numFmtId="0" fontId="3" fillId="2" borderId="10" xfId="1" applyBorder="1" applyAlignment="1">
      <alignment horizontal="centerContinuous"/>
    </xf>
    <xf numFmtId="0" fontId="20" fillId="11" borderId="10" xfId="9" applyFont="1" applyFill="1" applyBorder="1" applyAlignment="1">
      <alignment horizontal="centerContinuous"/>
    </xf>
    <xf numFmtId="0" fontId="20" fillId="11" borderId="20" xfId="9" applyFont="1" applyFill="1" applyBorder="1" applyAlignment="1">
      <alignment horizontal="centerContinuous"/>
    </xf>
    <xf numFmtId="0" fontId="22" fillId="4" borderId="21" xfId="10" applyBorder="1"/>
    <xf numFmtId="0" fontId="22" fillId="4" borderId="22" xfId="10" applyBorder="1"/>
    <xf numFmtId="0" fontId="1" fillId="0" borderId="22" xfId="9" applyFont="1" applyBorder="1"/>
    <xf numFmtId="0" fontId="3" fillId="2" borderId="22" xfId="1" applyBorder="1"/>
    <xf numFmtId="0" fontId="2" fillId="11" borderId="22" xfId="9" applyFill="1" applyBorder="1"/>
    <xf numFmtId="0" fontId="2" fillId="11" borderId="23" xfId="9" applyFill="1" applyBorder="1"/>
    <xf numFmtId="0" fontId="1" fillId="12" borderId="0" xfId="9" applyFont="1" applyFill="1"/>
    <xf numFmtId="0" fontId="23" fillId="11" borderId="8" xfId="9" applyFont="1" applyFill="1" applyBorder="1"/>
    <xf numFmtId="0" fontId="23" fillId="11" borderId="11" xfId="9" applyFont="1" applyFill="1" applyBorder="1"/>
    <xf numFmtId="0" fontId="4" fillId="12" borderId="11" xfId="2" applyFill="1" applyBorder="1"/>
    <xf numFmtId="0" fontId="4" fillId="12" borderId="11" xfId="2" applyFill="1" applyBorder="1" applyAlignment="1"/>
    <xf numFmtId="0" fontId="4" fillId="12" borderId="16" xfId="2" applyFill="1" applyBorder="1" applyAlignment="1"/>
    <xf numFmtId="0" fontId="23" fillId="11" borderId="17" xfId="9" applyFont="1" applyFill="1" applyBorder="1"/>
    <xf numFmtId="0" fontId="23" fillId="11" borderId="0" xfId="9" applyFont="1" applyFill="1"/>
    <xf numFmtId="0" fontId="4" fillId="12" borderId="0" xfId="2" applyFill="1" applyBorder="1"/>
    <xf numFmtId="0" fontId="4" fillId="12" borderId="0" xfId="2" applyFill="1" applyBorder="1" applyAlignment="1"/>
    <xf numFmtId="0" fontId="4" fillId="12" borderId="18" xfId="2" applyFill="1" applyBorder="1" applyAlignment="1"/>
    <xf numFmtId="0" fontId="24" fillId="11" borderId="10" xfId="9" applyFont="1" applyFill="1" applyBorder="1" applyAlignment="1">
      <alignment horizontal="center"/>
    </xf>
    <xf numFmtId="0" fontId="4" fillId="12" borderId="0" xfId="2" applyFill="1" applyBorder="1" applyAlignment="1">
      <alignment horizontal="center"/>
    </xf>
    <xf numFmtId="0" fontId="4" fillId="12" borderId="18" xfId="2" applyFill="1" applyBorder="1" applyAlignment="1">
      <alignment horizontal="center"/>
    </xf>
    <xf numFmtId="0" fontId="4" fillId="12" borderId="18" xfId="2" applyFill="1" applyBorder="1"/>
    <xf numFmtId="0" fontId="24" fillId="11" borderId="19" xfId="9" applyFont="1" applyFill="1" applyBorder="1" applyAlignment="1">
      <alignment horizontal="center"/>
    </xf>
    <xf numFmtId="0" fontId="24" fillId="11" borderId="10" xfId="9" applyFont="1" applyFill="1" applyBorder="1" applyAlignment="1">
      <alignment horizontal="centerContinuous"/>
    </xf>
    <xf numFmtId="0" fontId="18" fillId="5" borderId="24" xfId="4" applyFont="1" applyBorder="1" applyAlignment="1">
      <alignment horizontal="center"/>
    </xf>
    <xf numFmtId="0" fontId="18" fillId="5" borderId="25" xfId="4" applyFont="1" applyBorder="1" applyAlignment="1">
      <alignment horizontal="center"/>
    </xf>
    <xf numFmtId="0" fontId="18" fillId="5" borderId="26" xfId="4" applyFont="1" applyBorder="1" applyAlignment="1">
      <alignment horizontal="center"/>
    </xf>
    <xf numFmtId="0" fontId="1" fillId="0" borderId="8" xfId="9" applyFont="1" applyBorder="1" applyAlignment="1">
      <alignment wrapText="1"/>
    </xf>
    <xf numFmtId="0" fontId="1" fillId="0" borderId="27" xfId="9" applyFont="1" applyBorder="1" applyAlignment="1">
      <alignment wrapText="1"/>
    </xf>
    <xf numFmtId="0" fontId="1" fillId="0" borderId="0" xfId="9" applyFont="1" applyAlignment="1">
      <alignment wrapText="1"/>
    </xf>
    <xf numFmtId="0" fontId="25" fillId="10" borderId="0" xfId="9" applyFont="1" applyFill="1"/>
    <xf numFmtId="0" fontId="1" fillId="0" borderId="0" xfId="9" applyFont="1" applyAlignment="1">
      <alignment horizontal="center"/>
    </xf>
    <xf numFmtId="0" fontId="26" fillId="0" borderId="0" xfId="9" applyFont="1"/>
    <xf numFmtId="0" fontId="27" fillId="3" borderId="0" xfId="2" applyFont="1" applyAlignment="1"/>
    <xf numFmtId="0" fontId="28" fillId="4" borderId="0" xfId="10" applyFont="1" applyAlignment="1"/>
    <xf numFmtId="0" fontId="1" fillId="0" borderId="28" xfId="9" applyFont="1" applyBorder="1" applyAlignment="1">
      <alignment wrapText="1"/>
    </xf>
    <xf numFmtId="0" fontId="1" fillId="0" borderId="29" xfId="9" applyFont="1" applyBorder="1" applyAlignment="1">
      <alignment wrapText="1"/>
    </xf>
    <xf numFmtId="0" fontId="8" fillId="0" borderId="11" xfId="9" applyFont="1" applyBorder="1" applyAlignment="1">
      <alignment horizontal="center" vertical="center" wrapText="1"/>
    </xf>
    <xf numFmtId="0" fontId="29" fillId="2" borderId="0" xfId="1" applyFont="1" applyAlignment="1"/>
    <xf numFmtId="0" fontId="8" fillId="0" borderId="0" xfId="9" applyFont="1" applyAlignment="1">
      <alignment horizontal="center" vertical="center" wrapText="1"/>
    </xf>
    <xf numFmtId="0" fontId="30" fillId="0" borderId="0" xfId="9" applyFont="1" applyAlignment="1">
      <alignment horizontal="center"/>
    </xf>
    <xf numFmtId="0" fontId="26" fillId="11" borderId="0" xfId="9" applyFont="1" applyFill="1"/>
    <xf numFmtId="0" fontId="15" fillId="0" borderId="0" xfId="9" applyFont="1"/>
    <xf numFmtId="0" fontId="2" fillId="0" borderId="0" xfId="9" applyAlignment="1">
      <alignment horizontal="center" vertical="center"/>
    </xf>
    <xf numFmtId="0" fontId="2" fillId="0" borderId="30" xfId="9" applyBorder="1" applyAlignment="1">
      <alignment horizontal="center" vertical="center"/>
    </xf>
    <xf numFmtId="0" fontId="2" fillId="0" borderId="31" xfId="9" applyBorder="1" applyAlignment="1">
      <alignment horizontal="center" vertical="center"/>
    </xf>
    <xf numFmtId="0" fontId="2" fillId="0" borderId="32" xfId="9" applyBorder="1" applyAlignment="1">
      <alignment horizontal="center" vertical="center"/>
    </xf>
    <xf numFmtId="0" fontId="2" fillId="0" borderId="33" xfId="9" applyBorder="1" applyAlignment="1">
      <alignment horizontal="center" vertical="center"/>
    </xf>
    <xf numFmtId="0" fontId="2" fillId="0" borderId="30" xfId="9" applyBorder="1" applyAlignment="1">
      <alignment horizontal="center" vertical="center"/>
    </xf>
    <xf numFmtId="0" fontId="2" fillId="0" borderId="31" xfId="9" applyBorder="1" applyAlignment="1">
      <alignment horizontal="center" vertical="center"/>
    </xf>
    <xf numFmtId="0" fontId="2" fillId="0" borderId="32" xfId="9" applyBorder="1" applyAlignment="1">
      <alignment horizontal="center" vertical="center"/>
    </xf>
    <xf numFmtId="0" fontId="2" fillId="0" borderId="33" xfId="9" applyBorder="1" applyAlignment="1">
      <alignment horizontal="center" vertical="center"/>
    </xf>
    <xf numFmtId="0" fontId="2" fillId="0" borderId="0" xfId="9" applyAlignment="1">
      <alignment horizontal="center" vertical="center"/>
    </xf>
    <xf numFmtId="0" fontId="2" fillId="0" borderId="34" xfId="9" applyBorder="1" applyAlignment="1">
      <alignment horizontal="center" vertical="center"/>
    </xf>
    <xf numFmtId="0" fontId="2" fillId="0" borderId="35" xfId="9" applyBorder="1" applyAlignment="1">
      <alignment horizontal="center" vertical="center"/>
    </xf>
    <xf numFmtId="0" fontId="2" fillId="0" borderId="36" xfId="9" applyBorder="1" applyAlignment="1">
      <alignment horizontal="center" vertical="center"/>
    </xf>
    <xf numFmtId="0" fontId="2" fillId="0" borderId="37" xfId="9" applyBorder="1" applyAlignment="1">
      <alignment horizontal="center" vertical="center"/>
    </xf>
    <xf numFmtId="0" fontId="2" fillId="0" borderId="34" xfId="9" applyBorder="1" applyAlignment="1">
      <alignment horizontal="center" vertical="center"/>
    </xf>
    <xf numFmtId="0" fontId="26" fillId="0" borderId="34" xfId="9" applyFont="1" applyBorder="1" applyAlignment="1">
      <alignment horizontal="center" vertical="center"/>
    </xf>
    <xf numFmtId="0" fontId="2" fillId="0" borderId="11" xfId="9" applyBorder="1" applyAlignment="1">
      <alignment horizontal="center" vertical="center"/>
    </xf>
    <xf numFmtId="0" fontId="2" fillId="0" borderId="38" xfId="9" applyBorder="1" applyAlignment="1">
      <alignment horizontal="center" vertical="center"/>
    </xf>
    <xf numFmtId="0" fontId="20" fillId="0" borderId="10" xfId="9" applyFont="1" applyBorder="1" applyAlignment="1">
      <alignment horizontal="center" vertical="center"/>
    </xf>
    <xf numFmtId="0" fontId="20" fillId="0" borderId="39" xfId="9" applyFont="1" applyBorder="1" applyAlignment="1">
      <alignment horizontal="center" vertical="center"/>
    </xf>
    <xf numFmtId="0" fontId="1" fillId="8" borderId="2" xfId="6" applyBorder="1" applyAlignment="1">
      <alignment horizontal="center" vertical="center"/>
    </xf>
    <xf numFmtId="0" fontId="1" fillId="8" borderId="2" xfId="6" applyBorder="1" applyAlignment="1">
      <alignment horizontal="center" vertical="center" wrapText="1"/>
    </xf>
    <xf numFmtId="0" fontId="31" fillId="4" borderId="2" xfId="10" applyFont="1" applyBorder="1" applyAlignment="1">
      <alignment horizontal="center" vertical="center"/>
    </xf>
    <xf numFmtId="0" fontId="22" fillId="4" borderId="2" xfId="10" applyBorder="1" applyAlignment="1">
      <alignment horizontal="center" vertical="center" wrapText="1"/>
    </xf>
    <xf numFmtId="0" fontId="22" fillId="4" borderId="40" xfId="10" applyBorder="1" applyAlignment="1">
      <alignment horizontal="center" vertical="center" wrapText="1"/>
    </xf>
    <xf numFmtId="0" fontId="1" fillId="8" borderId="12" xfId="6" applyBorder="1" applyAlignment="1">
      <alignment horizontal="center" vertical="center"/>
    </xf>
    <xf numFmtId="0" fontId="1" fillId="8" borderId="12" xfId="6" applyBorder="1" applyAlignment="1">
      <alignment horizontal="center" vertical="center" wrapText="1"/>
    </xf>
    <xf numFmtId="0" fontId="31" fillId="4" borderId="12" xfId="10" applyFont="1" applyBorder="1" applyAlignment="1">
      <alignment horizontal="center" vertical="center"/>
    </xf>
    <xf numFmtId="0" fontId="22" fillId="4" borderId="12" xfId="10" applyBorder="1" applyAlignment="1">
      <alignment horizontal="center" vertical="center" wrapText="1"/>
    </xf>
    <xf numFmtId="0" fontId="1" fillId="0" borderId="12" xfId="9" applyFont="1" applyBorder="1" applyAlignment="1">
      <alignment horizontal="center" vertical="center"/>
    </xf>
    <xf numFmtId="0" fontId="3" fillId="2" borderId="12" xfId="1" applyBorder="1" applyAlignment="1">
      <alignment horizontal="center" vertical="center"/>
    </xf>
    <xf numFmtId="0" fontId="3" fillId="2" borderId="12" xfId="1" applyBorder="1" applyAlignment="1">
      <alignment horizontal="center" vertical="center" wrapText="1"/>
    </xf>
    <xf numFmtId="0" fontId="19" fillId="2" borderId="12" xfId="1" applyFont="1" applyBorder="1" applyAlignment="1">
      <alignment horizontal="center" vertical="center"/>
    </xf>
    <xf numFmtId="0" fontId="2" fillId="0" borderId="0" xfId="9" applyAlignment="1">
      <alignment horizontal="center" vertical="center" wrapText="1"/>
    </xf>
    <xf numFmtId="0" fontId="22" fillId="4" borderId="0" xfId="10" applyAlignment="1">
      <alignment horizontal="center" vertical="center"/>
    </xf>
    <xf numFmtId="0" fontId="4" fillId="3" borderId="0" xfId="2" applyAlignment="1">
      <alignment horizontal="center" vertical="center"/>
    </xf>
    <xf numFmtId="0" fontId="2" fillId="0" borderId="35" xfId="9" applyBorder="1" applyAlignment="1">
      <alignment horizontal="center" vertical="center"/>
    </xf>
    <xf numFmtId="0" fontId="2" fillId="0" borderId="36" xfId="9" applyBorder="1" applyAlignment="1">
      <alignment horizontal="center" vertical="center"/>
    </xf>
    <xf numFmtId="0" fontId="1" fillId="0" borderId="11" xfId="7" applyBorder="1"/>
    <xf numFmtId="0" fontId="1" fillId="0" borderId="12" xfId="7" applyBorder="1"/>
    <xf numFmtId="0" fontId="15" fillId="0" borderId="11" xfId="7" applyFont="1" applyBorder="1"/>
    <xf numFmtId="0" fontId="15" fillId="0" borderId="0" xfId="7" applyFont="1"/>
    <xf numFmtId="0" fontId="1" fillId="0" borderId="12" xfId="7" applyBorder="1" applyAlignment="1">
      <alignment horizontal="center"/>
    </xf>
    <xf numFmtId="164" fontId="1" fillId="0" borderId="12" xfId="7" applyNumberFormat="1" applyBorder="1" applyAlignment="1">
      <alignment horizontal="center"/>
    </xf>
    <xf numFmtId="0" fontId="15" fillId="0" borderId="12" xfId="7" applyFont="1" applyBorder="1" applyAlignment="1">
      <alignment horizontal="center"/>
    </xf>
    <xf numFmtId="0" fontId="15" fillId="0" borderId="10" xfId="7" applyFont="1" applyBorder="1" applyAlignment="1">
      <alignment horizontal="centerContinuous"/>
    </xf>
    <xf numFmtId="0" fontId="15" fillId="0" borderId="0" xfId="7" applyFont="1" applyAlignment="1">
      <alignment horizontal="center"/>
    </xf>
    <xf numFmtId="0" fontId="1" fillId="0" borderId="0" xfId="7" applyAlignment="1">
      <alignment horizontal="center"/>
    </xf>
    <xf numFmtId="0" fontId="1" fillId="13" borderId="0" xfId="7" applyFill="1"/>
    <xf numFmtId="0" fontId="15" fillId="0" borderId="0" xfId="7" applyFont="1" applyAlignment="1">
      <alignment horizontal="center"/>
    </xf>
    <xf numFmtId="0" fontId="9" fillId="0" borderId="0" xfId="7" applyFont="1" applyAlignment="1">
      <alignment horizontal="center"/>
    </xf>
  </cellXfs>
  <cellStyles count="11">
    <cellStyle name="40% — акцент1" xfId="6" builtinId="31"/>
    <cellStyle name="Вывод" xfId="3" builtinId="21"/>
    <cellStyle name="Вычисление" xfId="4" builtinId="22"/>
    <cellStyle name="Контрольная ячейка" xfId="5" builtinId="23"/>
    <cellStyle name="Нейтральный 2" xfId="10" xr:uid="{10A64B4D-3B0A-409D-B729-0C03B59C996F}"/>
    <cellStyle name="Обычный" xfId="0" builtinId="0"/>
    <cellStyle name="Обычный 2" xfId="7" xr:uid="{F57B0A76-73B5-43E1-9989-14D47AA0CC1D}"/>
    <cellStyle name="Обычный 2 2" xfId="9" xr:uid="{318D7504-5388-48A4-9C56-6DFCA3393F69}"/>
    <cellStyle name="Плохой" xfId="2" builtinId="27"/>
    <cellStyle name="Примечание 2" xfId="8" xr:uid="{76CA2AA6-3EEF-45A2-BB0B-7E0AC70BD732}"/>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Полигон частот</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scatterChart>
        <c:scatterStyle val="lineMarker"/>
        <c:varyColors val="0"/>
        <c:ser>
          <c:idx val="1"/>
          <c:order val="0"/>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'ЛР1-1'!$G$17:$G$24</c:f>
              <c:numCache>
                <c:formatCode>General</c:formatCode>
                <c:ptCount val="8"/>
                <c:pt idx="0">
                  <c:v>17.40625</c:v>
                </c:pt>
                <c:pt idx="1">
                  <c:v>21.418750000000003</c:v>
                </c:pt>
                <c:pt idx="2">
                  <c:v>25.431249999999999</c:v>
                </c:pt>
                <c:pt idx="3">
                  <c:v>29.443750000000001</c:v>
                </c:pt>
                <c:pt idx="4">
                  <c:v>33.456249999999997</c:v>
                </c:pt>
                <c:pt idx="5">
                  <c:v>37.46875</c:v>
                </c:pt>
                <c:pt idx="6">
                  <c:v>41.481250000000003</c:v>
                </c:pt>
                <c:pt idx="7">
                  <c:v>45.493750000000006</c:v>
                </c:pt>
              </c:numCache>
            </c:numRef>
          </c:xVal>
          <c:yVal>
            <c:numRef>
              <c:f>'ЛР1-3'!$H$9:$H$16</c:f>
              <c:numCache>
                <c:formatCode>General</c:formatCode>
                <c:ptCount val="8"/>
                <c:pt idx="0">
                  <c:v>2.8876177015189713E-2</c:v>
                </c:pt>
                <c:pt idx="1">
                  <c:v>8.7529062971797855E-2</c:v>
                </c:pt>
                <c:pt idx="2">
                  <c:v>0.17872631564833452</c:v>
                </c:pt>
                <c:pt idx="3">
                  <c:v>0.24593165220661717</c:v>
                </c:pt>
                <c:pt idx="4">
                  <c:v>0.22809030649128925</c:v>
                </c:pt>
                <c:pt idx="5">
                  <c:v>0.14257633530664404</c:v>
                </c:pt>
                <c:pt idx="6">
                  <c:v>6.0051570623165906E-2</c:v>
                </c:pt>
                <c:pt idx="7">
                  <c:v>1.7034928403916738E-2</c:v>
                </c:pt>
              </c:numCache>
            </c:numRef>
          </c:yVal>
          <c:smooth val="0"/>
          <c:extLst>
            <c:ext xmlns:c16="http://schemas.microsoft.com/office/drawing/2014/chart" uri="{C3380CC4-5D6E-409C-BE32-E72D297353CC}">
              <c16:uniqueId val="{00000000-418D-4B1D-AE43-0DFF9B657182}"/>
            </c:ext>
          </c:extLst>
        </c:ser>
        <c:dLbls>
          <c:showLegendKey val="0"/>
          <c:showVal val="0"/>
          <c:showCatName val="0"/>
          <c:showSerName val="0"/>
          <c:showPercent val="0"/>
          <c:showBubbleSize val="0"/>
        </c:dLbls>
        <c:axId val="402785976"/>
        <c:axId val="402790240"/>
      </c:scatterChart>
      <c:valAx>
        <c:axId val="402785976"/>
        <c:scaling>
          <c:orientation val="minMax"/>
          <c:min val="1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02790240"/>
        <c:crosses val="autoZero"/>
        <c:crossBetween val="midCat"/>
      </c:valAx>
      <c:valAx>
        <c:axId val="402790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0278597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Кумулята</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scatterChart>
        <c:scatterStyle val="line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'ЛР1-1'!$G$17:$G$24</c:f>
              <c:numCache>
                <c:formatCode>General</c:formatCode>
                <c:ptCount val="8"/>
                <c:pt idx="0">
                  <c:v>17.40625</c:v>
                </c:pt>
                <c:pt idx="1">
                  <c:v>21.418750000000003</c:v>
                </c:pt>
                <c:pt idx="2">
                  <c:v>25.431249999999999</c:v>
                </c:pt>
                <c:pt idx="3">
                  <c:v>29.443750000000001</c:v>
                </c:pt>
                <c:pt idx="4">
                  <c:v>33.456249999999997</c:v>
                </c:pt>
                <c:pt idx="5">
                  <c:v>37.46875</c:v>
                </c:pt>
                <c:pt idx="6">
                  <c:v>41.481250000000003</c:v>
                </c:pt>
                <c:pt idx="7">
                  <c:v>45.493750000000006</c:v>
                </c:pt>
              </c:numCache>
            </c:numRef>
          </c:xVal>
          <c:yVal>
            <c:numRef>
              <c:f>'ЛР1-1'!$K$17:$K$24</c:f>
              <c:numCache>
                <c:formatCode>General</c:formatCode>
                <c:ptCount val="8"/>
                <c:pt idx="0">
                  <c:v>2.7272727272727271E-2</c:v>
                </c:pt>
                <c:pt idx="1">
                  <c:v>0.13636363636363635</c:v>
                </c:pt>
                <c:pt idx="2">
                  <c:v>0.29090909090909089</c:v>
                </c:pt>
                <c:pt idx="3">
                  <c:v>0.5636363636363636</c:v>
                </c:pt>
                <c:pt idx="4">
                  <c:v>0.78181818181818186</c:v>
                </c:pt>
                <c:pt idx="5">
                  <c:v>0.92727272727272725</c:v>
                </c:pt>
                <c:pt idx="6">
                  <c:v>0.96363636363636362</c:v>
                </c:pt>
                <c:pt idx="7">
                  <c:v>1</c:v>
                </c:pt>
              </c:numCache>
            </c:numRef>
          </c:yVal>
          <c:smooth val="0"/>
          <c:extLst>
            <c:ext xmlns:c16="http://schemas.microsoft.com/office/drawing/2014/chart" uri="{C3380CC4-5D6E-409C-BE32-E72D297353CC}">
              <c16:uniqueId val="{00000000-319A-4F8A-A9B7-B6DAAB5D7A6B}"/>
            </c:ext>
          </c:extLst>
        </c:ser>
        <c:dLbls>
          <c:showLegendKey val="0"/>
          <c:showVal val="0"/>
          <c:showCatName val="0"/>
          <c:showSerName val="0"/>
          <c:showPercent val="0"/>
          <c:showBubbleSize val="0"/>
        </c:dLbls>
        <c:axId val="408440856"/>
        <c:axId val="408443480"/>
      </c:scatterChart>
      <c:valAx>
        <c:axId val="408440856"/>
        <c:scaling>
          <c:orientation val="minMax"/>
          <c:min val="1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08443480"/>
        <c:crosses val="autoZero"/>
        <c:crossBetween val="midCat"/>
      </c:valAx>
      <c:valAx>
        <c:axId val="4084434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0844085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Гистограмма</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'ЛР1-1'!$J$17:$J$24</c:f>
              <c:numCache>
                <c:formatCode>General</c:formatCode>
                <c:ptCount val="8"/>
                <c:pt idx="0">
                  <c:v>2.7272727272727271E-2</c:v>
                </c:pt>
                <c:pt idx="1">
                  <c:v>0.10909090909090909</c:v>
                </c:pt>
                <c:pt idx="2">
                  <c:v>0.15454545454545454</c:v>
                </c:pt>
                <c:pt idx="3">
                  <c:v>0.27272727272727271</c:v>
                </c:pt>
                <c:pt idx="4">
                  <c:v>0.21818181818181817</c:v>
                </c:pt>
                <c:pt idx="5">
                  <c:v>0.14545454545454545</c:v>
                </c:pt>
                <c:pt idx="6">
                  <c:v>3.6363636363636362E-2</c:v>
                </c:pt>
                <c:pt idx="7">
                  <c:v>3.6363636363636362E-2</c:v>
                </c:pt>
              </c:numCache>
            </c:numRef>
          </c:val>
          <c:extLst>
            <c:ext xmlns:c16="http://schemas.microsoft.com/office/drawing/2014/chart" uri="{C3380CC4-5D6E-409C-BE32-E72D297353CC}">
              <c16:uniqueId val="{00000000-23A3-42CB-B913-E74C8481BBB8}"/>
            </c:ext>
          </c:extLst>
        </c:ser>
        <c:dLbls>
          <c:showLegendKey val="0"/>
          <c:showVal val="0"/>
          <c:showCatName val="0"/>
          <c:showSerName val="0"/>
          <c:showPercent val="0"/>
          <c:showBubbleSize val="0"/>
        </c:dLbls>
        <c:gapWidth val="100"/>
        <c:overlap val="-24"/>
        <c:axId val="525407848"/>
        <c:axId val="525404896"/>
      </c:barChart>
      <c:catAx>
        <c:axId val="525407848"/>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525404896"/>
        <c:crosses val="autoZero"/>
        <c:auto val="1"/>
        <c:lblAlgn val="ctr"/>
        <c:lblOffset val="100"/>
        <c:noMultiLvlLbl val="0"/>
      </c:catAx>
      <c:valAx>
        <c:axId val="52540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5254078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Эмпирическая функция распределения</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'ЛР1-1'!$K$6:$K$13</c:f>
              <c:numCache>
                <c:formatCode>General</c:formatCode>
                <c:ptCount val="8"/>
                <c:pt idx="0">
                  <c:v>2.7272727272727271E-2</c:v>
                </c:pt>
                <c:pt idx="1">
                  <c:v>0.13636363636363635</c:v>
                </c:pt>
                <c:pt idx="2">
                  <c:v>0.29090909090909089</c:v>
                </c:pt>
                <c:pt idx="3">
                  <c:v>0.5636363636363636</c:v>
                </c:pt>
                <c:pt idx="4">
                  <c:v>0.78181818181818186</c:v>
                </c:pt>
                <c:pt idx="5">
                  <c:v>0.92727272727272725</c:v>
                </c:pt>
                <c:pt idx="6">
                  <c:v>0.96363636363636362</c:v>
                </c:pt>
                <c:pt idx="7">
                  <c:v>1</c:v>
                </c:pt>
              </c:numCache>
            </c:numRef>
          </c:val>
          <c:extLst>
            <c:ext xmlns:c16="http://schemas.microsoft.com/office/drawing/2014/chart" uri="{C3380CC4-5D6E-409C-BE32-E72D297353CC}">
              <c16:uniqueId val="{00000000-42D6-471F-8EAE-6ED2D713242D}"/>
            </c:ext>
          </c:extLst>
        </c:ser>
        <c:dLbls>
          <c:showLegendKey val="0"/>
          <c:showVal val="0"/>
          <c:showCatName val="0"/>
          <c:showSerName val="0"/>
          <c:showPercent val="0"/>
          <c:showBubbleSize val="0"/>
        </c:dLbls>
        <c:gapWidth val="100"/>
        <c:overlap val="-24"/>
        <c:axId val="525407848"/>
        <c:axId val="525404896"/>
      </c:barChart>
      <c:catAx>
        <c:axId val="525407848"/>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525404896"/>
        <c:crosses val="autoZero"/>
        <c:auto val="1"/>
        <c:lblAlgn val="ctr"/>
        <c:lblOffset val="100"/>
        <c:noMultiLvlLbl val="0"/>
      </c:catAx>
      <c:valAx>
        <c:axId val="52540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5254078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 </a:t>
            </a:r>
            <a:r>
              <a:rPr lang="ru-RU"/>
              <a:t>График остатков</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'[1]4'!$A$2:$A$15</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'[1]4'!$C$48:$C$61</c:f>
              <c:numCache>
                <c:formatCode>General</c:formatCode>
                <c:ptCount val="14"/>
                <c:pt idx="0">
                  <c:v>1780.9272296891431</c:v>
                </c:pt>
                <c:pt idx="1">
                  <c:v>-1005.004010753968</c:v>
                </c:pt>
                <c:pt idx="2">
                  <c:v>-79746.52913528838</c:v>
                </c:pt>
                <c:pt idx="3">
                  <c:v>-22200.406568086997</c:v>
                </c:pt>
                <c:pt idx="4">
                  <c:v>-27031.679233930772</c:v>
                </c:pt>
                <c:pt idx="5">
                  <c:v>274603.60757001565</c:v>
                </c:pt>
                <c:pt idx="6">
                  <c:v>-105875.70151013095</c:v>
                </c:pt>
                <c:pt idx="7">
                  <c:v>-57588.390429982741</c:v>
                </c:pt>
                <c:pt idx="8">
                  <c:v>8244.0524726110161</c:v>
                </c:pt>
                <c:pt idx="9">
                  <c:v>-38870.443120480806</c:v>
                </c:pt>
                <c:pt idx="10">
                  <c:v>41024.600549064344</c:v>
                </c:pt>
                <c:pt idx="11">
                  <c:v>16921.961367808282</c:v>
                </c:pt>
                <c:pt idx="12">
                  <c:v>81864.748578659492</c:v>
                </c:pt>
                <c:pt idx="13">
                  <c:v>-92121.743759192992</c:v>
                </c:pt>
              </c:numCache>
            </c:numRef>
          </c:yVal>
          <c:smooth val="0"/>
          <c:extLst>
            <c:ext xmlns:c16="http://schemas.microsoft.com/office/drawing/2014/chart" uri="{C3380CC4-5D6E-409C-BE32-E72D297353CC}">
              <c16:uniqueId val="{00000000-9CBF-4F14-A41E-99C5540E5F7C}"/>
            </c:ext>
          </c:extLst>
        </c:ser>
        <c:dLbls>
          <c:showLegendKey val="0"/>
          <c:showVal val="0"/>
          <c:showCatName val="0"/>
          <c:showSerName val="0"/>
          <c:showPercent val="0"/>
          <c:showBubbleSize val="0"/>
        </c:dLbls>
        <c:axId val="555953631"/>
        <c:axId val="555951551"/>
      </c:scatterChart>
      <c:valAx>
        <c:axId val="555953631"/>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5951551"/>
        <c:crosses val="autoZero"/>
        <c:crossBetween val="midCat"/>
      </c:valAx>
      <c:valAx>
        <c:axId val="55595155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ru-RU"/>
                  <a:t>Остатки</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59536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 </a:t>
            </a:r>
            <a:r>
              <a:rPr lang="ru-RU"/>
              <a:t>График подбора</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tx>
            <c:v>K</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'[1]4'!$A$2:$A$15</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'[1]4'!$B$2:$B$15</c:f>
              <c:numCache>
                <c:formatCode>General</c:formatCode>
                <c:ptCount val="14"/>
                <c:pt idx="0">
                  <c:v>69051</c:v>
                </c:pt>
                <c:pt idx="1">
                  <c:v>89430</c:v>
                </c:pt>
                <c:pt idx="2">
                  <c:v>105410</c:v>
                </c:pt>
                <c:pt idx="3">
                  <c:v>175145</c:v>
                </c:pt>
                <c:pt idx="4">
                  <c:v>196632</c:v>
                </c:pt>
                <c:pt idx="5">
                  <c:v>516399</c:v>
                </c:pt>
                <c:pt idx="6">
                  <c:v>176428</c:v>
                </c:pt>
                <c:pt idx="7">
                  <c:v>233387</c:v>
                </c:pt>
                <c:pt idx="8">
                  <c:v>426384</c:v>
                </c:pt>
                <c:pt idx="9">
                  <c:v>472475</c:v>
                </c:pt>
                <c:pt idx="10">
                  <c:v>595304</c:v>
                </c:pt>
                <c:pt idx="11">
                  <c:v>620442</c:v>
                </c:pt>
                <c:pt idx="12">
                  <c:v>698362</c:v>
                </c:pt>
                <c:pt idx="13">
                  <c:v>576345</c:v>
                </c:pt>
              </c:numCache>
            </c:numRef>
          </c:yVal>
          <c:smooth val="0"/>
          <c:extLst>
            <c:ext xmlns:c16="http://schemas.microsoft.com/office/drawing/2014/chart" uri="{C3380CC4-5D6E-409C-BE32-E72D297353CC}">
              <c16:uniqueId val="{00000000-DBDB-42D8-AA2F-5EA63C115FB6}"/>
            </c:ext>
          </c:extLst>
        </c:ser>
        <c:ser>
          <c:idx val="1"/>
          <c:order val="1"/>
          <c:tx>
            <c:v>Предсказанное K</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'[1]4'!$A$2:$A$15</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'[1]4'!$B$48:$B$61</c:f>
              <c:numCache>
                <c:formatCode>General</c:formatCode>
                <c:ptCount val="14"/>
                <c:pt idx="0">
                  <c:v>67270.072770310857</c:v>
                </c:pt>
                <c:pt idx="1">
                  <c:v>90435.004010753968</c:v>
                </c:pt>
                <c:pt idx="2">
                  <c:v>185156.52913528838</c:v>
                </c:pt>
                <c:pt idx="3">
                  <c:v>197345.406568087</c:v>
                </c:pt>
                <c:pt idx="4">
                  <c:v>223663.67923393077</c:v>
                </c:pt>
                <c:pt idx="5">
                  <c:v>241795.39242998435</c:v>
                </c:pt>
                <c:pt idx="6">
                  <c:v>282303.70151013095</c:v>
                </c:pt>
                <c:pt idx="7">
                  <c:v>290975.39042998274</c:v>
                </c:pt>
                <c:pt idx="8">
                  <c:v>418139.94752738898</c:v>
                </c:pt>
                <c:pt idx="9">
                  <c:v>511345.44312048081</c:v>
                </c:pt>
                <c:pt idx="10">
                  <c:v>554279.39945093566</c:v>
                </c:pt>
                <c:pt idx="11">
                  <c:v>603520.03863219172</c:v>
                </c:pt>
                <c:pt idx="12">
                  <c:v>616497.25142134051</c:v>
                </c:pt>
                <c:pt idx="13">
                  <c:v>668466.74375919299</c:v>
                </c:pt>
              </c:numCache>
            </c:numRef>
          </c:yVal>
          <c:smooth val="0"/>
          <c:extLst>
            <c:ext xmlns:c16="http://schemas.microsoft.com/office/drawing/2014/chart" uri="{C3380CC4-5D6E-409C-BE32-E72D297353CC}">
              <c16:uniqueId val="{00000001-DBDB-42D8-AA2F-5EA63C115FB6}"/>
            </c:ext>
          </c:extLst>
        </c:ser>
        <c:dLbls>
          <c:showLegendKey val="0"/>
          <c:showVal val="0"/>
          <c:showCatName val="0"/>
          <c:showSerName val="0"/>
          <c:showPercent val="0"/>
          <c:showBubbleSize val="0"/>
        </c:dLbls>
        <c:axId val="555946975"/>
        <c:axId val="555947807"/>
      </c:scatterChart>
      <c:valAx>
        <c:axId val="555946975"/>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5947807"/>
        <c:crosses val="autoZero"/>
        <c:crossBetween val="midCat"/>
      </c:valAx>
      <c:valAx>
        <c:axId val="555947807"/>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K</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594697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ru-RU"/>
              <a:t>Доверительные кривые</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smoothMarker"/>
        <c:varyColors val="0"/>
        <c:ser>
          <c:idx val="0"/>
          <c:order val="0"/>
          <c:tx>
            <c:strRef>
              <c:f>'[1]4'!$B$69</c:f>
              <c:strCache>
                <c:ptCount val="1"/>
                <c:pt idx="0">
                  <c:v>Предсказанное K</c:v>
                </c:pt>
              </c:strCache>
            </c:strRef>
          </c:tx>
          <c:spPr>
            <a:ln w="22225" cap="rnd">
              <a:solidFill>
                <a:schemeClr val="accent1"/>
              </a:solidFill>
            </a:ln>
            <a:effectLst>
              <a:glow rad="139700">
                <a:schemeClr val="accent1">
                  <a:satMod val="175000"/>
                  <a:alpha val="14000"/>
                </a:schemeClr>
              </a:glow>
            </a:effectLst>
          </c:spPr>
          <c:marker>
            <c:symbol val="none"/>
          </c:marker>
          <c:xVal>
            <c:numRef>
              <c:f>'[1]4'!$A$70:$A$83</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'[1]4'!$B$70:$B$83</c:f>
              <c:numCache>
                <c:formatCode>General</c:formatCode>
                <c:ptCount val="14"/>
                <c:pt idx="0">
                  <c:v>67270.072770310857</c:v>
                </c:pt>
                <c:pt idx="1">
                  <c:v>90435.004010753968</c:v>
                </c:pt>
                <c:pt idx="2">
                  <c:v>185156.52913528838</c:v>
                </c:pt>
                <c:pt idx="3">
                  <c:v>197345.406568087</c:v>
                </c:pt>
                <c:pt idx="4">
                  <c:v>223663.67923393077</c:v>
                </c:pt>
                <c:pt idx="5">
                  <c:v>241795.39242998435</c:v>
                </c:pt>
                <c:pt idx="6">
                  <c:v>282303.70151013095</c:v>
                </c:pt>
                <c:pt idx="7">
                  <c:v>290975.39042998274</c:v>
                </c:pt>
                <c:pt idx="8">
                  <c:v>418139.94752738898</c:v>
                </c:pt>
                <c:pt idx="9">
                  <c:v>511345.44312048081</c:v>
                </c:pt>
                <c:pt idx="10">
                  <c:v>554279.39945093566</c:v>
                </c:pt>
                <c:pt idx="11">
                  <c:v>603520.03863219172</c:v>
                </c:pt>
                <c:pt idx="12">
                  <c:v>616497.25142134051</c:v>
                </c:pt>
                <c:pt idx="13">
                  <c:v>668466.74375919299</c:v>
                </c:pt>
              </c:numCache>
            </c:numRef>
          </c:yVal>
          <c:smooth val="1"/>
          <c:extLst>
            <c:ext xmlns:c16="http://schemas.microsoft.com/office/drawing/2014/chart" uri="{C3380CC4-5D6E-409C-BE32-E72D297353CC}">
              <c16:uniqueId val="{00000000-8400-49E0-9824-69C34699A127}"/>
            </c:ext>
          </c:extLst>
        </c:ser>
        <c:ser>
          <c:idx val="1"/>
          <c:order val="1"/>
          <c:tx>
            <c:strRef>
              <c:f>'[1]4'!$C$69</c:f>
              <c:strCache>
                <c:ptCount val="1"/>
                <c:pt idx="0">
                  <c:v>Нижняя граница</c:v>
                </c:pt>
              </c:strCache>
            </c:strRef>
          </c:tx>
          <c:spPr>
            <a:ln w="22225" cap="rnd">
              <a:solidFill>
                <a:schemeClr val="accent2"/>
              </a:solidFill>
            </a:ln>
            <a:effectLst>
              <a:glow rad="139700">
                <a:schemeClr val="accent2">
                  <a:satMod val="175000"/>
                  <a:alpha val="14000"/>
                </a:schemeClr>
              </a:glow>
            </a:effectLst>
          </c:spPr>
          <c:marker>
            <c:symbol val="none"/>
          </c:marker>
          <c:xVal>
            <c:numRef>
              <c:f>'[1]4'!$A$70:$A$83</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'[1]4'!$C$70:$C$83</c:f>
              <c:numCache>
                <c:formatCode>General</c:formatCode>
                <c:ptCount val="14"/>
                <c:pt idx="0">
                  <c:v>-31432.325030445296</c:v>
                </c:pt>
                <c:pt idx="1">
                  <c:v>-3052.0394550671335</c:v>
                </c:pt>
                <c:pt idx="2">
                  <c:v>110857.29145752057</c:v>
                </c:pt>
                <c:pt idx="3">
                  <c:v>125174.18076421681</c:v>
                </c:pt>
                <c:pt idx="4">
                  <c:v>155726.44474063587</c:v>
                </c:pt>
                <c:pt idx="5">
                  <c:v>176448.41613378865</c:v>
                </c:pt>
                <c:pt idx="6">
                  <c:v>221591.82645351638</c:v>
                </c:pt>
                <c:pt idx="7">
                  <c:v>231021.85889992575</c:v>
                </c:pt>
                <c:pt idx="8">
                  <c:v>358036.15738106455</c:v>
                </c:pt>
                <c:pt idx="9">
                  <c:v>438938.6997418463</c:v>
                </c:pt>
                <c:pt idx="10">
                  <c:v>473943.44287529687</c:v>
                </c:pt>
                <c:pt idx="11">
                  <c:v>512964.93495795259</c:v>
                </c:pt>
                <c:pt idx="12">
                  <c:v>523094.67810382741</c:v>
                </c:pt>
                <c:pt idx="13">
                  <c:v>563169.68600030767</c:v>
                </c:pt>
              </c:numCache>
            </c:numRef>
          </c:yVal>
          <c:smooth val="1"/>
          <c:extLst>
            <c:ext xmlns:c16="http://schemas.microsoft.com/office/drawing/2014/chart" uri="{C3380CC4-5D6E-409C-BE32-E72D297353CC}">
              <c16:uniqueId val="{00000001-8400-49E0-9824-69C34699A127}"/>
            </c:ext>
          </c:extLst>
        </c:ser>
        <c:ser>
          <c:idx val="2"/>
          <c:order val="2"/>
          <c:tx>
            <c:strRef>
              <c:f>'[1]4'!$D$69</c:f>
              <c:strCache>
                <c:ptCount val="1"/>
                <c:pt idx="0">
                  <c:v>Верхняя граница</c:v>
                </c:pt>
              </c:strCache>
            </c:strRef>
          </c:tx>
          <c:spPr>
            <a:ln w="22225" cap="rnd">
              <a:solidFill>
                <a:schemeClr val="accent3"/>
              </a:solidFill>
            </a:ln>
            <a:effectLst>
              <a:glow rad="139700">
                <a:schemeClr val="accent3">
                  <a:satMod val="175000"/>
                  <a:alpha val="14000"/>
                </a:schemeClr>
              </a:glow>
            </a:effectLst>
          </c:spPr>
          <c:marker>
            <c:symbol val="none"/>
          </c:marker>
          <c:xVal>
            <c:numRef>
              <c:f>'[1]4'!$A$70:$A$83</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'[1]4'!$D$70:$D$83</c:f>
              <c:numCache>
                <c:formatCode>General</c:formatCode>
                <c:ptCount val="14"/>
                <c:pt idx="0">
                  <c:v>165972.47057106701</c:v>
                </c:pt>
                <c:pt idx="1">
                  <c:v>183922.04747657507</c:v>
                </c:pt>
                <c:pt idx="2">
                  <c:v>259455.76681305619</c:v>
                </c:pt>
                <c:pt idx="3">
                  <c:v>269516.63237195718</c:v>
                </c:pt>
                <c:pt idx="4">
                  <c:v>291600.91372722568</c:v>
                </c:pt>
                <c:pt idx="5">
                  <c:v>307142.36872618005</c:v>
                </c:pt>
                <c:pt idx="6">
                  <c:v>343015.57656674553</c:v>
                </c:pt>
                <c:pt idx="7">
                  <c:v>350928.92196003976</c:v>
                </c:pt>
                <c:pt idx="8">
                  <c:v>478243.73767371342</c:v>
                </c:pt>
                <c:pt idx="9">
                  <c:v>583752.18649911531</c:v>
                </c:pt>
                <c:pt idx="10">
                  <c:v>634615.35602657439</c:v>
                </c:pt>
                <c:pt idx="11">
                  <c:v>694075.14230643085</c:v>
                </c:pt>
                <c:pt idx="12">
                  <c:v>709899.82473885361</c:v>
                </c:pt>
                <c:pt idx="13">
                  <c:v>773763.80151807831</c:v>
                </c:pt>
              </c:numCache>
            </c:numRef>
          </c:yVal>
          <c:smooth val="1"/>
          <c:extLst>
            <c:ext xmlns:c16="http://schemas.microsoft.com/office/drawing/2014/chart" uri="{C3380CC4-5D6E-409C-BE32-E72D297353CC}">
              <c16:uniqueId val="{00000002-8400-49E0-9824-69C34699A127}"/>
            </c:ext>
          </c:extLst>
        </c:ser>
        <c:dLbls>
          <c:showLegendKey val="0"/>
          <c:showVal val="0"/>
          <c:showCatName val="0"/>
          <c:showSerName val="0"/>
          <c:showPercent val="0"/>
          <c:showBubbleSize val="0"/>
        </c:dLbls>
        <c:axId val="556105135"/>
        <c:axId val="556105551"/>
      </c:scatterChart>
      <c:valAx>
        <c:axId val="556105135"/>
        <c:scaling>
          <c:orientation val="minMax"/>
        </c:scaling>
        <c:delete val="0"/>
        <c:axPos val="b"/>
        <c:majorGridlines>
          <c:spPr>
            <a:ln w="9525" cap="flat" cmpd="sng" algn="ctr">
              <a:solidFill>
                <a:schemeClr val="dk1">
                  <a:lumMod val="65000"/>
                  <a:lumOff val="35000"/>
                  <a:alpha val="75000"/>
                </a:schemeClr>
              </a:soli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6105551"/>
        <c:crosses val="autoZero"/>
        <c:crossBetween val="midCat"/>
      </c:valAx>
      <c:valAx>
        <c:axId val="556105551"/>
        <c:scaling>
          <c:orientation val="minMax"/>
        </c:scaling>
        <c:delete val="0"/>
        <c:axPos val="l"/>
        <c:majorGridlines>
          <c:spPr>
            <a:ln w="9525" cap="flat" cmpd="sng" algn="ctr">
              <a:solidFill>
                <a:schemeClr val="dk1">
                  <a:lumMod val="65000"/>
                  <a:lumOff val="35000"/>
                  <a:alpha val="7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5610513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ru-RU"/>
              <a:t>Диаграмма рассеяния</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tx>
            <c:strRef>
              <c:f>ЛР4!$B$1</c:f>
              <c:strCache>
                <c:ptCount val="1"/>
                <c:pt idx="0">
                  <c:v>K</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ЛР4!$A$2:$A$15</c:f>
              <c:numCache>
                <c:formatCode>General</c:formatCode>
                <c:ptCount val="14"/>
                <c:pt idx="0">
                  <c:v>259.2</c:v>
                </c:pt>
                <c:pt idx="1">
                  <c:v>297.39999999999998</c:v>
                </c:pt>
                <c:pt idx="2">
                  <c:v>453.6</c:v>
                </c:pt>
                <c:pt idx="3">
                  <c:v>473.7</c:v>
                </c:pt>
                <c:pt idx="4">
                  <c:v>517.1</c:v>
                </c:pt>
                <c:pt idx="5">
                  <c:v>547</c:v>
                </c:pt>
                <c:pt idx="6">
                  <c:v>613.79999999999995</c:v>
                </c:pt>
                <c:pt idx="7">
                  <c:v>628.1</c:v>
                </c:pt>
                <c:pt idx="8">
                  <c:v>837.8</c:v>
                </c:pt>
                <c:pt idx="9">
                  <c:v>991.5</c:v>
                </c:pt>
                <c:pt idx="10">
                  <c:v>1062.3</c:v>
                </c:pt>
                <c:pt idx="11">
                  <c:v>1143.5</c:v>
                </c:pt>
                <c:pt idx="12">
                  <c:v>1164.9000000000001</c:v>
                </c:pt>
                <c:pt idx="13">
                  <c:v>1250.5999999999999</c:v>
                </c:pt>
              </c:numCache>
            </c:numRef>
          </c:xVal>
          <c:yVal>
            <c:numRef>
              <c:f>ЛР4!$B$2:$B$15</c:f>
              <c:numCache>
                <c:formatCode>General</c:formatCode>
                <c:ptCount val="14"/>
                <c:pt idx="0">
                  <c:v>69051</c:v>
                </c:pt>
                <c:pt idx="1">
                  <c:v>89430</c:v>
                </c:pt>
                <c:pt idx="2">
                  <c:v>105410</c:v>
                </c:pt>
                <c:pt idx="3">
                  <c:v>175145</c:v>
                </c:pt>
                <c:pt idx="4">
                  <c:v>196632</c:v>
                </c:pt>
                <c:pt idx="5">
                  <c:v>516399</c:v>
                </c:pt>
                <c:pt idx="6">
                  <c:v>176428</c:v>
                </c:pt>
                <c:pt idx="7">
                  <c:v>233387</c:v>
                </c:pt>
                <c:pt idx="8">
                  <c:v>426384</c:v>
                </c:pt>
                <c:pt idx="9">
                  <c:v>472475</c:v>
                </c:pt>
                <c:pt idx="10">
                  <c:v>595304</c:v>
                </c:pt>
                <c:pt idx="11">
                  <c:v>620442</c:v>
                </c:pt>
                <c:pt idx="12">
                  <c:v>698362</c:v>
                </c:pt>
                <c:pt idx="13">
                  <c:v>576345</c:v>
                </c:pt>
              </c:numCache>
            </c:numRef>
          </c:yVal>
          <c:smooth val="0"/>
          <c:extLst>
            <c:ext xmlns:c16="http://schemas.microsoft.com/office/drawing/2014/chart" uri="{C3380CC4-5D6E-409C-BE32-E72D297353CC}">
              <c16:uniqueId val="{00000000-0F43-4C8A-90E1-16B82C277003}"/>
            </c:ext>
          </c:extLst>
        </c:ser>
        <c:dLbls>
          <c:showLegendKey val="0"/>
          <c:showVal val="0"/>
          <c:showCatName val="0"/>
          <c:showSerName val="0"/>
          <c:showPercent val="0"/>
          <c:showBubbleSize val="0"/>
        </c:dLbls>
        <c:axId val="508911039"/>
        <c:axId val="508905631"/>
      </c:scatterChart>
      <c:valAx>
        <c:axId val="50891103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 </a:t>
                </a:r>
                <a:r>
                  <a:rPr lang="ru-RU"/>
                  <a:t>тыс. чел</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08905631"/>
        <c:crosses val="autoZero"/>
        <c:crossBetween val="midCat"/>
      </c:valAx>
      <c:valAx>
        <c:axId val="50890563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ru-RU"/>
                  <a:t>К</a:t>
                </a:r>
                <a:r>
                  <a:rPr lang="en-US"/>
                  <a:t>, </a:t>
                </a:r>
                <a:r>
                  <a:rPr lang="ru-RU"/>
                  <a:t>млн. руб.</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508911039"/>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ru-RU"/>
              <a:t>Диаграмма рассеяния</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tx>
            <c:strRef>
              <c:f>ЛР5!$B$1</c:f>
              <c:strCache>
                <c:ptCount val="1"/>
                <c:pt idx="0">
                  <c:v>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ЛР5!$A$2:$A$13</c:f>
              <c:numCache>
                <c:formatCode>General</c:formatCode>
                <c:ptCount val="12"/>
                <c:pt idx="0">
                  <c:v>0.5</c:v>
                </c:pt>
                <c:pt idx="1">
                  <c:v>0.6</c:v>
                </c:pt>
                <c:pt idx="2">
                  <c:v>0.7</c:v>
                </c:pt>
                <c:pt idx="3">
                  <c:v>0.8</c:v>
                </c:pt>
                <c:pt idx="4">
                  <c:v>0.9</c:v>
                </c:pt>
                <c:pt idx="5">
                  <c:v>1</c:v>
                </c:pt>
                <c:pt idx="6">
                  <c:v>1.2</c:v>
                </c:pt>
                <c:pt idx="7">
                  <c:v>1.4</c:v>
                </c:pt>
                <c:pt idx="8">
                  <c:v>1.5</c:v>
                </c:pt>
                <c:pt idx="9">
                  <c:v>1.7</c:v>
                </c:pt>
                <c:pt idx="10">
                  <c:v>1.8</c:v>
                </c:pt>
                <c:pt idx="11">
                  <c:v>2</c:v>
                </c:pt>
              </c:numCache>
            </c:numRef>
          </c:xVal>
          <c:yVal>
            <c:numRef>
              <c:f>ЛР5!$B$2:$B$13</c:f>
              <c:numCache>
                <c:formatCode>General</c:formatCode>
                <c:ptCount val="12"/>
                <c:pt idx="0">
                  <c:v>0.02</c:v>
                </c:pt>
                <c:pt idx="1">
                  <c:v>2.5000000000000001E-2</c:v>
                </c:pt>
                <c:pt idx="2">
                  <c:v>0.02</c:v>
                </c:pt>
                <c:pt idx="3">
                  <c:v>3.5000000000000003E-2</c:v>
                </c:pt>
                <c:pt idx="4">
                  <c:v>3.2000000000000001E-2</c:v>
                </c:pt>
                <c:pt idx="5">
                  <c:v>4.1000000000000002E-2</c:v>
                </c:pt>
                <c:pt idx="6">
                  <c:v>5.3999999999999999E-2</c:v>
                </c:pt>
                <c:pt idx="7">
                  <c:v>7.0000000000000007E-2</c:v>
                </c:pt>
                <c:pt idx="8">
                  <c:v>7.5999999999999998E-2</c:v>
                </c:pt>
                <c:pt idx="9">
                  <c:v>0.10100000000000001</c:v>
                </c:pt>
                <c:pt idx="10">
                  <c:v>0.13</c:v>
                </c:pt>
                <c:pt idx="11">
                  <c:v>0.16</c:v>
                </c:pt>
              </c:numCache>
            </c:numRef>
          </c:yVal>
          <c:smooth val="0"/>
          <c:extLst>
            <c:ext xmlns:c16="http://schemas.microsoft.com/office/drawing/2014/chart" uri="{C3380CC4-5D6E-409C-BE32-E72D297353CC}">
              <c16:uniqueId val="{00000000-B9DA-4CB4-B3C8-C39973748DA3}"/>
            </c:ext>
          </c:extLst>
        </c:ser>
        <c:dLbls>
          <c:showLegendKey val="0"/>
          <c:showVal val="0"/>
          <c:showCatName val="0"/>
          <c:showSerName val="0"/>
          <c:showPercent val="0"/>
          <c:showBubbleSize val="0"/>
        </c:dLbls>
        <c:axId val="715244224"/>
        <c:axId val="715243568"/>
      </c:scatterChart>
      <c:valAx>
        <c:axId val="7152442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43568"/>
        <c:crosses val="autoZero"/>
        <c:crossBetween val="midCat"/>
      </c:valAx>
      <c:valAx>
        <c:axId val="71524356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44224"/>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Y </a:t>
            </a:r>
            <a:r>
              <a:rPr lang="ru-RU"/>
              <a:t>График остатков</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ЛР5!$B$2:$B$13</c:f>
              <c:numCache>
                <c:formatCode>General</c:formatCode>
                <c:ptCount val="12"/>
                <c:pt idx="0">
                  <c:v>0.02</c:v>
                </c:pt>
                <c:pt idx="1">
                  <c:v>2.5000000000000001E-2</c:v>
                </c:pt>
                <c:pt idx="2">
                  <c:v>0.02</c:v>
                </c:pt>
                <c:pt idx="3">
                  <c:v>3.5000000000000003E-2</c:v>
                </c:pt>
                <c:pt idx="4">
                  <c:v>3.2000000000000001E-2</c:v>
                </c:pt>
                <c:pt idx="5">
                  <c:v>4.1000000000000002E-2</c:v>
                </c:pt>
                <c:pt idx="6">
                  <c:v>5.3999999999999999E-2</c:v>
                </c:pt>
                <c:pt idx="7">
                  <c:v>7.0000000000000007E-2</c:v>
                </c:pt>
                <c:pt idx="8">
                  <c:v>7.5999999999999998E-2</c:v>
                </c:pt>
                <c:pt idx="9">
                  <c:v>0.10100000000000001</c:v>
                </c:pt>
                <c:pt idx="10">
                  <c:v>0.13</c:v>
                </c:pt>
                <c:pt idx="11">
                  <c:v>0.16</c:v>
                </c:pt>
              </c:numCache>
            </c:numRef>
          </c:xVal>
          <c:yVal>
            <c:numRef>
              <c:f>ЛР5!$C$45:$C$56</c:f>
              <c:numCache>
                <c:formatCode>General</c:formatCode>
                <c:ptCount val="12"/>
                <c:pt idx="0">
                  <c:v>-0.21644305998261393</c:v>
                </c:pt>
                <c:pt idx="1">
                  <c:v>-0.16894957983193293</c:v>
                </c:pt>
                <c:pt idx="2">
                  <c:v>-1.6443059982613972E-2</c:v>
                </c:pt>
                <c:pt idx="3">
                  <c:v>-7.3962619530570928E-2</c:v>
                </c:pt>
                <c:pt idx="4">
                  <c:v>5.7541292379020503E-2</c:v>
                </c:pt>
                <c:pt idx="5">
                  <c:v>6.3029556650246232E-2</c:v>
                </c:pt>
                <c:pt idx="6">
                  <c:v>0.12651260504201667</c:v>
                </c:pt>
                <c:pt idx="7">
                  <c:v>0.15849174152419576</c:v>
                </c:pt>
                <c:pt idx="8">
                  <c:v>0.19548391770501317</c:v>
                </c:pt>
                <c:pt idx="9">
                  <c:v>0.1329513184584179</c:v>
                </c:pt>
                <c:pt idx="10">
                  <c:v>-7.1586496667632282E-2</c:v>
                </c:pt>
                <c:pt idx="11">
                  <c:v>-0.18662561576354619</c:v>
                </c:pt>
              </c:numCache>
            </c:numRef>
          </c:yVal>
          <c:smooth val="0"/>
          <c:extLst>
            <c:ext xmlns:c16="http://schemas.microsoft.com/office/drawing/2014/chart" uri="{C3380CC4-5D6E-409C-BE32-E72D297353CC}">
              <c16:uniqueId val="{00000000-5113-43C2-8F56-EBD2731AC98D}"/>
            </c:ext>
          </c:extLst>
        </c:ser>
        <c:dLbls>
          <c:showLegendKey val="0"/>
          <c:showVal val="0"/>
          <c:showCatName val="0"/>
          <c:showSerName val="0"/>
          <c:showPercent val="0"/>
          <c:showBubbleSize val="0"/>
        </c:dLbls>
        <c:axId val="715269808"/>
        <c:axId val="715275712"/>
      </c:scatterChart>
      <c:valAx>
        <c:axId val="71526980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75712"/>
        <c:crosses val="autoZero"/>
        <c:crossBetween val="midCat"/>
      </c:valAx>
      <c:valAx>
        <c:axId val="715275712"/>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ru-RU"/>
                  <a:t>Остатки</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6980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Y </a:t>
            </a:r>
            <a:r>
              <a:rPr lang="ru-RU"/>
              <a:t>График подбора</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tx>
            <c:v>X</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ЛР5!$B$2:$B$13</c:f>
              <c:numCache>
                <c:formatCode>General</c:formatCode>
                <c:ptCount val="12"/>
                <c:pt idx="0">
                  <c:v>0.02</c:v>
                </c:pt>
                <c:pt idx="1">
                  <c:v>2.5000000000000001E-2</c:v>
                </c:pt>
                <c:pt idx="2">
                  <c:v>0.02</c:v>
                </c:pt>
                <c:pt idx="3">
                  <c:v>3.5000000000000003E-2</c:v>
                </c:pt>
                <c:pt idx="4">
                  <c:v>3.2000000000000001E-2</c:v>
                </c:pt>
                <c:pt idx="5">
                  <c:v>4.1000000000000002E-2</c:v>
                </c:pt>
                <c:pt idx="6">
                  <c:v>5.3999999999999999E-2</c:v>
                </c:pt>
                <c:pt idx="7">
                  <c:v>7.0000000000000007E-2</c:v>
                </c:pt>
                <c:pt idx="8">
                  <c:v>7.5999999999999998E-2</c:v>
                </c:pt>
                <c:pt idx="9">
                  <c:v>0.10100000000000001</c:v>
                </c:pt>
                <c:pt idx="10">
                  <c:v>0.13</c:v>
                </c:pt>
                <c:pt idx="11">
                  <c:v>0.16</c:v>
                </c:pt>
              </c:numCache>
            </c:numRef>
          </c:xVal>
          <c:yVal>
            <c:numRef>
              <c:f>ЛР5!$A$2:$A$13</c:f>
              <c:numCache>
                <c:formatCode>General</c:formatCode>
                <c:ptCount val="12"/>
                <c:pt idx="0">
                  <c:v>0.5</c:v>
                </c:pt>
                <c:pt idx="1">
                  <c:v>0.6</c:v>
                </c:pt>
                <c:pt idx="2">
                  <c:v>0.7</c:v>
                </c:pt>
                <c:pt idx="3">
                  <c:v>0.8</c:v>
                </c:pt>
                <c:pt idx="4">
                  <c:v>0.9</c:v>
                </c:pt>
                <c:pt idx="5">
                  <c:v>1</c:v>
                </c:pt>
                <c:pt idx="6">
                  <c:v>1.2</c:v>
                </c:pt>
                <c:pt idx="7">
                  <c:v>1.4</c:v>
                </c:pt>
                <c:pt idx="8">
                  <c:v>1.5</c:v>
                </c:pt>
                <c:pt idx="9">
                  <c:v>1.7</c:v>
                </c:pt>
                <c:pt idx="10">
                  <c:v>1.8</c:v>
                </c:pt>
                <c:pt idx="11">
                  <c:v>2</c:v>
                </c:pt>
              </c:numCache>
            </c:numRef>
          </c:yVal>
          <c:smooth val="0"/>
          <c:extLst>
            <c:ext xmlns:c16="http://schemas.microsoft.com/office/drawing/2014/chart" uri="{C3380CC4-5D6E-409C-BE32-E72D297353CC}">
              <c16:uniqueId val="{00000000-DC0A-444D-8F20-AA4B844BA93D}"/>
            </c:ext>
          </c:extLst>
        </c:ser>
        <c:ser>
          <c:idx val="1"/>
          <c:order val="1"/>
          <c:tx>
            <c:v>Предсказанное X</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ЛР5!$B$2:$B$13</c:f>
              <c:numCache>
                <c:formatCode>General</c:formatCode>
                <c:ptCount val="12"/>
                <c:pt idx="0">
                  <c:v>0.02</c:v>
                </c:pt>
                <c:pt idx="1">
                  <c:v>2.5000000000000001E-2</c:v>
                </c:pt>
                <c:pt idx="2">
                  <c:v>0.02</c:v>
                </c:pt>
                <c:pt idx="3">
                  <c:v>3.5000000000000003E-2</c:v>
                </c:pt>
                <c:pt idx="4">
                  <c:v>3.2000000000000001E-2</c:v>
                </c:pt>
                <c:pt idx="5">
                  <c:v>4.1000000000000002E-2</c:v>
                </c:pt>
                <c:pt idx="6">
                  <c:v>5.3999999999999999E-2</c:v>
                </c:pt>
                <c:pt idx="7">
                  <c:v>7.0000000000000007E-2</c:v>
                </c:pt>
                <c:pt idx="8">
                  <c:v>7.5999999999999998E-2</c:v>
                </c:pt>
                <c:pt idx="9">
                  <c:v>0.10100000000000001</c:v>
                </c:pt>
                <c:pt idx="10">
                  <c:v>0.13</c:v>
                </c:pt>
                <c:pt idx="11">
                  <c:v>0.16</c:v>
                </c:pt>
              </c:numCache>
            </c:numRef>
          </c:xVal>
          <c:yVal>
            <c:numRef>
              <c:f>ЛР5!$B$45:$B$56</c:f>
              <c:numCache>
                <c:formatCode>General</c:formatCode>
                <c:ptCount val="12"/>
                <c:pt idx="0">
                  <c:v>0.71644305998261393</c:v>
                </c:pt>
                <c:pt idx="1">
                  <c:v>0.76894957983193291</c:v>
                </c:pt>
                <c:pt idx="2">
                  <c:v>0.71644305998261393</c:v>
                </c:pt>
                <c:pt idx="3">
                  <c:v>0.87396261953057097</c:v>
                </c:pt>
                <c:pt idx="4">
                  <c:v>0.84245870762097952</c:v>
                </c:pt>
                <c:pt idx="5">
                  <c:v>0.93697044334975377</c:v>
                </c:pt>
                <c:pt idx="6">
                  <c:v>1.0734873949579833</c:v>
                </c:pt>
                <c:pt idx="7">
                  <c:v>1.2415082584758041</c:v>
                </c:pt>
                <c:pt idx="8">
                  <c:v>1.3045160822949868</c:v>
                </c:pt>
                <c:pt idx="9">
                  <c:v>1.5670486815415821</c:v>
                </c:pt>
                <c:pt idx="10">
                  <c:v>1.8715864966676323</c:v>
                </c:pt>
                <c:pt idx="11">
                  <c:v>2.1866256157635462</c:v>
                </c:pt>
              </c:numCache>
            </c:numRef>
          </c:yVal>
          <c:smooth val="0"/>
          <c:extLst>
            <c:ext xmlns:c16="http://schemas.microsoft.com/office/drawing/2014/chart" uri="{C3380CC4-5D6E-409C-BE32-E72D297353CC}">
              <c16:uniqueId val="{00000001-DC0A-444D-8F20-AA4B844BA93D}"/>
            </c:ext>
          </c:extLst>
        </c:ser>
        <c:dLbls>
          <c:showLegendKey val="0"/>
          <c:showVal val="0"/>
          <c:showCatName val="0"/>
          <c:showSerName val="0"/>
          <c:showPercent val="0"/>
          <c:showBubbleSize val="0"/>
        </c:dLbls>
        <c:axId val="715276040"/>
        <c:axId val="715276368"/>
      </c:scatterChart>
      <c:valAx>
        <c:axId val="715276040"/>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76368"/>
        <c:crosses val="autoZero"/>
        <c:crossBetween val="midCat"/>
      </c:valAx>
      <c:valAx>
        <c:axId val="71527636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X</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527604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X </a:t>
            </a:r>
            <a:r>
              <a:rPr lang="ru-RU"/>
              <a:t>График остатков</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ЛР5!$A$60:$A$71</c:f>
              <c:numCache>
                <c:formatCode>General</c:formatCode>
                <c:ptCount val="12"/>
                <c:pt idx="0">
                  <c:v>0.5</c:v>
                </c:pt>
                <c:pt idx="1">
                  <c:v>0.6</c:v>
                </c:pt>
                <c:pt idx="2">
                  <c:v>0.7</c:v>
                </c:pt>
                <c:pt idx="3">
                  <c:v>0.8</c:v>
                </c:pt>
                <c:pt idx="4">
                  <c:v>0.9</c:v>
                </c:pt>
                <c:pt idx="5">
                  <c:v>1</c:v>
                </c:pt>
                <c:pt idx="6">
                  <c:v>1.2</c:v>
                </c:pt>
                <c:pt idx="7">
                  <c:v>1.4</c:v>
                </c:pt>
                <c:pt idx="8">
                  <c:v>1.5</c:v>
                </c:pt>
                <c:pt idx="9">
                  <c:v>1.7</c:v>
                </c:pt>
                <c:pt idx="10">
                  <c:v>1.8</c:v>
                </c:pt>
                <c:pt idx="11">
                  <c:v>2</c:v>
                </c:pt>
              </c:numCache>
            </c:numRef>
          </c:xVal>
          <c:yVal>
            <c:numRef>
              <c:f>ЛР5!$C$98:$C$109</c:f>
              <c:numCache>
                <c:formatCode>General</c:formatCode>
                <c:ptCount val="12"/>
                <c:pt idx="0">
                  <c:v>5.716297814829062</c:v>
                </c:pt>
                <c:pt idx="1">
                  <c:v>-1.3529944269512981</c:v>
                </c:pt>
                <c:pt idx="2">
                  <c:v>11.577713331268349</c:v>
                </c:pt>
                <c:pt idx="3">
                  <c:v>-6.9201503390834347</c:v>
                </c:pt>
                <c:pt idx="4">
                  <c:v>-1.3108711522923642</c:v>
                </c:pt>
                <c:pt idx="5">
                  <c:v>-5.2399194916336924</c:v>
                </c:pt>
                <c:pt idx="6">
                  <c:v>-5.2502293591149112</c:v>
                </c:pt>
                <c:pt idx="7">
                  <c:v>-3.6216180754798586</c:v>
                </c:pt>
                <c:pt idx="8">
                  <c:v>-1.8187298661323901</c:v>
                </c:pt>
                <c:pt idx="9">
                  <c:v>0.78578101247469156</c:v>
                </c:pt>
                <c:pt idx="10">
                  <c:v>1.5078063639921293</c:v>
                </c:pt>
                <c:pt idx="11">
                  <c:v>5.9269141881237246</c:v>
                </c:pt>
              </c:numCache>
            </c:numRef>
          </c:yVal>
          <c:smooth val="0"/>
          <c:extLst>
            <c:ext xmlns:c16="http://schemas.microsoft.com/office/drawing/2014/chart" uri="{C3380CC4-5D6E-409C-BE32-E72D297353CC}">
              <c16:uniqueId val="{00000000-0382-4722-BE30-145AF07D7526}"/>
            </c:ext>
          </c:extLst>
        </c:ser>
        <c:dLbls>
          <c:showLegendKey val="0"/>
          <c:showVal val="0"/>
          <c:showCatName val="0"/>
          <c:showSerName val="0"/>
          <c:showPercent val="0"/>
          <c:showBubbleSize val="0"/>
        </c:dLbls>
        <c:axId val="712182272"/>
        <c:axId val="712185880"/>
      </c:scatterChart>
      <c:valAx>
        <c:axId val="712182272"/>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2185880"/>
        <c:crosses val="autoZero"/>
        <c:crossBetween val="midCat"/>
      </c:valAx>
      <c:valAx>
        <c:axId val="712185880"/>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ru-RU"/>
                  <a:t>Остатки</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2182272"/>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X </a:t>
            </a:r>
            <a:r>
              <a:rPr lang="ru-RU"/>
              <a:t>График подбора</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tx>
            <c:v>Y</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ЛР5!$A$60:$A$71</c:f>
              <c:numCache>
                <c:formatCode>General</c:formatCode>
                <c:ptCount val="12"/>
                <c:pt idx="0">
                  <c:v>0.5</c:v>
                </c:pt>
                <c:pt idx="1">
                  <c:v>0.6</c:v>
                </c:pt>
                <c:pt idx="2">
                  <c:v>0.7</c:v>
                </c:pt>
                <c:pt idx="3">
                  <c:v>0.8</c:v>
                </c:pt>
                <c:pt idx="4">
                  <c:v>0.9</c:v>
                </c:pt>
                <c:pt idx="5">
                  <c:v>1</c:v>
                </c:pt>
                <c:pt idx="6">
                  <c:v>1.2</c:v>
                </c:pt>
                <c:pt idx="7">
                  <c:v>1.4</c:v>
                </c:pt>
                <c:pt idx="8">
                  <c:v>1.5</c:v>
                </c:pt>
                <c:pt idx="9">
                  <c:v>1.7</c:v>
                </c:pt>
                <c:pt idx="10">
                  <c:v>1.8</c:v>
                </c:pt>
                <c:pt idx="11">
                  <c:v>2</c:v>
                </c:pt>
              </c:numCache>
            </c:numRef>
          </c:xVal>
          <c:yVal>
            <c:numRef>
              <c:f>ЛР5!$B$60:$B$71</c:f>
              <c:numCache>
                <c:formatCode>General</c:formatCode>
                <c:ptCount val="12"/>
                <c:pt idx="0">
                  <c:v>50</c:v>
                </c:pt>
                <c:pt idx="1">
                  <c:v>40</c:v>
                </c:pt>
                <c:pt idx="2">
                  <c:v>50</c:v>
                </c:pt>
                <c:pt idx="3">
                  <c:v>28.571428571428569</c:v>
                </c:pt>
                <c:pt idx="4">
                  <c:v>31.25</c:v>
                </c:pt>
                <c:pt idx="5">
                  <c:v>24.390243902439025</c:v>
                </c:pt>
                <c:pt idx="6">
                  <c:v>18.518518518518519</c:v>
                </c:pt>
                <c:pt idx="7">
                  <c:v>14.285714285714285</c:v>
                </c:pt>
                <c:pt idx="8">
                  <c:v>13.157894736842106</c:v>
                </c:pt>
                <c:pt idx="9">
                  <c:v>9.9009900990099009</c:v>
                </c:pt>
                <c:pt idx="10">
                  <c:v>7.6923076923076916</c:v>
                </c:pt>
                <c:pt idx="11">
                  <c:v>6.25</c:v>
                </c:pt>
              </c:numCache>
            </c:numRef>
          </c:yVal>
          <c:smooth val="0"/>
          <c:extLst>
            <c:ext xmlns:c16="http://schemas.microsoft.com/office/drawing/2014/chart" uri="{C3380CC4-5D6E-409C-BE32-E72D297353CC}">
              <c16:uniqueId val="{00000000-D925-446D-B778-245C8030A845}"/>
            </c:ext>
          </c:extLst>
        </c:ser>
        <c:ser>
          <c:idx val="1"/>
          <c:order val="1"/>
          <c:tx>
            <c:v>Предсказанное Y</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ЛР5!$A$60:$A$71</c:f>
              <c:numCache>
                <c:formatCode>General</c:formatCode>
                <c:ptCount val="12"/>
                <c:pt idx="0">
                  <c:v>0.5</c:v>
                </c:pt>
                <c:pt idx="1">
                  <c:v>0.6</c:v>
                </c:pt>
                <c:pt idx="2">
                  <c:v>0.7</c:v>
                </c:pt>
                <c:pt idx="3">
                  <c:v>0.8</c:v>
                </c:pt>
                <c:pt idx="4">
                  <c:v>0.9</c:v>
                </c:pt>
                <c:pt idx="5">
                  <c:v>1</c:v>
                </c:pt>
                <c:pt idx="6">
                  <c:v>1.2</c:v>
                </c:pt>
                <c:pt idx="7">
                  <c:v>1.4</c:v>
                </c:pt>
                <c:pt idx="8">
                  <c:v>1.5</c:v>
                </c:pt>
                <c:pt idx="9">
                  <c:v>1.7</c:v>
                </c:pt>
                <c:pt idx="10">
                  <c:v>1.8</c:v>
                </c:pt>
                <c:pt idx="11">
                  <c:v>2</c:v>
                </c:pt>
              </c:numCache>
            </c:numRef>
          </c:xVal>
          <c:yVal>
            <c:numRef>
              <c:f>ЛР5!$B$98:$B$109</c:f>
              <c:numCache>
                <c:formatCode>General</c:formatCode>
                <c:ptCount val="12"/>
                <c:pt idx="0">
                  <c:v>44.283702185170938</c:v>
                </c:pt>
                <c:pt idx="1">
                  <c:v>41.352994426951298</c:v>
                </c:pt>
                <c:pt idx="2">
                  <c:v>38.422286668731651</c:v>
                </c:pt>
                <c:pt idx="3">
                  <c:v>35.491578910512004</c:v>
                </c:pt>
                <c:pt idx="4">
                  <c:v>32.560871152292364</c:v>
                </c:pt>
                <c:pt idx="5">
                  <c:v>29.630163394072717</c:v>
                </c:pt>
                <c:pt idx="6">
                  <c:v>23.76874787763343</c:v>
                </c:pt>
                <c:pt idx="7">
                  <c:v>17.907332361194143</c:v>
                </c:pt>
                <c:pt idx="8">
                  <c:v>14.976624602974496</c:v>
                </c:pt>
                <c:pt idx="9">
                  <c:v>9.1152090865352093</c:v>
                </c:pt>
                <c:pt idx="10">
                  <c:v>6.1845013283155623</c:v>
                </c:pt>
                <c:pt idx="11">
                  <c:v>0.32308581187627539</c:v>
                </c:pt>
              </c:numCache>
            </c:numRef>
          </c:yVal>
          <c:smooth val="0"/>
          <c:extLst>
            <c:ext xmlns:c16="http://schemas.microsoft.com/office/drawing/2014/chart" uri="{C3380CC4-5D6E-409C-BE32-E72D297353CC}">
              <c16:uniqueId val="{00000001-D925-446D-B778-245C8030A845}"/>
            </c:ext>
          </c:extLst>
        </c:ser>
        <c:dLbls>
          <c:showLegendKey val="0"/>
          <c:showVal val="0"/>
          <c:showCatName val="0"/>
          <c:showSerName val="0"/>
          <c:showPercent val="0"/>
          <c:showBubbleSize val="0"/>
        </c:dLbls>
        <c:axId val="712196376"/>
        <c:axId val="712198672"/>
      </c:scatterChart>
      <c:valAx>
        <c:axId val="71219637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2198672"/>
        <c:crosses val="autoZero"/>
        <c:crossBetween val="midCat"/>
      </c:valAx>
      <c:valAx>
        <c:axId val="712198672"/>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712196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Диаграмма рассеяния</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smoothMarker"/>
        <c:varyColors val="0"/>
        <c:ser>
          <c:idx val="1"/>
          <c:order val="1"/>
          <c:spPr>
            <a:ln w="19050" cap="rnd">
              <a:solidFill>
                <a:schemeClr val="accent2"/>
              </a:solidFill>
              <a:round/>
            </a:ln>
            <a:effectLst/>
          </c:spPr>
          <c:marker>
            <c:symbol val="none"/>
          </c:marker>
          <c:xVal>
            <c:numRef>
              <c:f>'Диаграмма расеинивания'!$A$2:$A$13</c:f>
              <c:numCache>
                <c:formatCode>General</c:formatCode>
                <c:ptCount val="12"/>
                <c:pt idx="0">
                  <c:v>951.4</c:v>
                </c:pt>
                <c:pt idx="1">
                  <c:v>1008</c:v>
                </c:pt>
                <c:pt idx="2">
                  <c:v>1005</c:v>
                </c:pt>
                <c:pt idx="3">
                  <c:v>1011</c:v>
                </c:pt>
                <c:pt idx="4">
                  <c:v>1056</c:v>
                </c:pt>
                <c:pt idx="5">
                  <c:v>1105</c:v>
                </c:pt>
                <c:pt idx="6">
                  <c:v>1162</c:v>
                </c:pt>
                <c:pt idx="7">
                  <c:v>1201</c:v>
                </c:pt>
                <c:pt idx="8">
                  <c:v>1209</c:v>
                </c:pt>
                <c:pt idx="9">
                  <c:v>1249</c:v>
                </c:pt>
                <c:pt idx="10">
                  <c:v>1254</c:v>
                </c:pt>
                <c:pt idx="11">
                  <c:v>1285</c:v>
                </c:pt>
              </c:numCache>
            </c:numRef>
          </c:xVal>
          <c:yVal>
            <c:numRef>
              <c:f>'Диаграмма расеинивания'!$O$2:$O$13</c:f>
              <c:numCache>
                <c:formatCode>General</c:formatCode>
                <c:ptCount val="12"/>
                <c:pt idx="0">
                  <c:v>127.67000965321381</c:v>
                </c:pt>
                <c:pt idx="1">
                  <c:v>132.90846744193863</c:v>
                </c:pt>
                <c:pt idx="2">
                  <c:v>132.63081066868466</c:v>
                </c:pt>
                <c:pt idx="3">
                  <c:v>133.18612421519259</c:v>
                </c:pt>
                <c:pt idx="4">
                  <c:v>137.35097581400208</c:v>
                </c:pt>
                <c:pt idx="5">
                  <c:v>141.88603644381686</c:v>
                </c:pt>
                <c:pt idx="6">
                  <c:v>147.16151513564219</c:v>
                </c:pt>
                <c:pt idx="7">
                  <c:v>150.77105318794375</c:v>
                </c:pt>
                <c:pt idx="8">
                  <c:v>151.51147124995433</c:v>
                </c:pt>
                <c:pt idx="9">
                  <c:v>155.21356156000718</c:v>
                </c:pt>
                <c:pt idx="10">
                  <c:v>155.67632284876379</c:v>
                </c:pt>
                <c:pt idx="11">
                  <c:v>158.54544283905477</c:v>
                </c:pt>
              </c:numCache>
            </c:numRef>
          </c:yVal>
          <c:smooth val="1"/>
          <c:extLst>
            <c:ext xmlns:c16="http://schemas.microsoft.com/office/drawing/2014/chart" uri="{C3380CC4-5D6E-409C-BE32-E72D297353CC}">
              <c16:uniqueId val="{00000000-22B7-4A08-BBF0-02BA3A6E8614}"/>
            </c:ext>
          </c:extLst>
        </c:ser>
        <c:ser>
          <c:idx val="2"/>
          <c:order val="2"/>
          <c:spPr>
            <a:ln w="19050" cap="rnd">
              <a:solidFill>
                <a:schemeClr val="accent3"/>
              </a:solidFill>
              <a:round/>
            </a:ln>
            <a:effectLst/>
          </c:spPr>
          <c:marker>
            <c:symbol val="none"/>
          </c:marker>
          <c:xVal>
            <c:numRef>
              <c:f>'Диаграмма расеинивания'!$A$62:$A$73</c:f>
              <c:numCache>
                <c:formatCode>General</c:formatCode>
                <c:ptCount val="12"/>
                <c:pt idx="0">
                  <c:v>951.4</c:v>
                </c:pt>
                <c:pt idx="1">
                  <c:v>1005</c:v>
                </c:pt>
                <c:pt idx="2">
                  <c:v>1008</c:v>
                </c:pt>
                <c:pt idx="3">
                  <c:v>1011</c:v>
                </c:pt>
                <c:pt idx="4">
                  <c:v>1056</c:v>
                </c:pt>
                <c:pt idx="5">
                  <c:v>1105</c:v>
                </c:pt>
                <c:pt idx="6">
                  <c:v>1162</c:v>
                </c:pt>
                <c:pt idx="7">
                  <c:v>1201</c:v>
                </c:pt>
                <c:pt idx="8">
                  <c:v>1209</c:v>
                </c:pt>
                <c:pt idx="9">
                  <c:v>1249</c:v>
                </c:pt>
                <c:pt idx="10">
                  <c:v>1254</c:v>
                </c:pt>
                <c:pt idx="11">
                  <c:v>1285</c:v>
                </c:pt>
              </c:numCache>
            </c:numRef>
          </c:xVal>
          <c:yVal>
            <c:numRef>
              <c:f>'Диаграмма расеинивания'!$C$62:$C$73</c:f>
              <c:numCache>
                <c:formatCode>General</c:formatCode>
                <c:ptCount val="12"/>
                <c:pt idx="0">
                  <c:v>124.05071923969147</c:v>
                </c:pt>
                <c:pt idx="1">
                  <c:v>129.76007535953502</c:v>
                </c:pt>
                <c:pt idx="2">
                  <c:v>130.07620758744483</c:v>
                </c:pt>
                <c:pt idx="3">
                  <c:v>130.39187412882558</c:v>
                </c:pt>
                <c:pt idx="4">
                  <c:v>135.05591711075513</c:v>
                </c:pt>
                <c:pt idx="5">
                  <c:v>139.90541896277134</c:v>
                </c:pt>
                <c:pt idx="6">
                  <c:v>145.10749070406018</c:v>
                </c:pt>
                <c:pt idx="7">
                  <c:v>148.41092349342262</c:v>
                </c:pt>
                <c:pt idx="8">
                  <c:v>149.0696501844175</c:v>
                </c:pt>
                <c:pt idx="9">
                  <c:v>152.29618060603707</c:v>
                </c:pt>
                <c:pt idx="10">
                  <c:v>152.69329070528892</c:v>
                </c:pt>
                <c:pt idx="11">
                  <c:v>155.13351364227566</c:v>
                </c:pt>
              </c:numCache>
            </c:numRef>
          </c:yVal>
          <c:smooth val="1"/>
          <c:extLst>
            <c:ext xmlns:c16="http://schemas.microsoft.com/office/drawing/2014/chart" uri="{C3380CC4-5D6E-409C-BE32-E72D297353CC}">
              <c16:uniqueId val="{00000001-22B7-4A08-BBF0-02BA3A6E8614}"/>
            </c:ext>
          </c:extLst>
        </c:ser>
        <c:ser>
          <c:idx val="3"/>
          <c:order val="3"/>
          <c:spPr>
            <a:ln w="19050" cap="rnd">
              <a:solidFill>
                <a:schemeClr val="accent4"/>
              </a:solidFill>
              <a:round/>
            </a:ln>
            <a:effectLst/>
          </c:spPr>
          <c:marker>
            <c:symbol val="none"/>
          </c:marker>
          <c:xVal>
            <c:numRef>
              <c:f>'Диаграмма расеинивания'!$A$62:$A$73</c:f>
              <c:numCache>
                <c:formatCode>General</c:formatCode>
                <c:ptCount val="12"/>
                <c:pt idx="0">
                  <c:v>951.4</c:v>
                </c:pt>
                <c:pt idx="1">
                  <c:v>1005</c:v>
                </c:pt>
                <c:pt idx="2">
                  <c:v>1008</c:v>
                </c:pt>
                <c:pt idx="3">
                  <c:v>1011</c:v>
                </c:pt>
                <c:pt idx="4">
                  <c:v>1056</c:v>
                </c:pt>
                <c:pt idx="5">
                  <c:v>1105</c:v>
                </c:pt>
                <c:pt idx="6">
                  <c:v>1162</c:v>
                </c:pt>
                <c:pt idx="7">
                  <c:v>1201</c:v>
                </c:pt>
                <c:pt idx="8">
                  <c:v>1209</c:v>
                </c:pt>
                <c:pt idx="9">
                  <c:v>1249</c:v>
                </c:pt>
                <c:pt idx="10">
                  <c:v>1254</c:v>
                </c:pt>
                <c:pt idx="11">
                  <c:v>1285</c:v>
                </c:pt>
              </c:numCache>
            </c:numRef>
          </c:xVal>
          <c:yVal>
            <c:numRef>
              <c:f>'Диаграмма расеинивания'!$D$62:$D$73</c:f>
              <c:numCache>
                <c:formatCode>General</c:formatCode>
                <c:ptCount val="12"/>
                <c:pt idx="0">
                  <c:v>131.26891383963354</c:v>
                </c:pt>
                <c:pt idx="1">
                  <c:v>135.48685720208377</c:v>
                </c:pt>
                <c:pt idx="2">
                  <c:v>135.72635740788442</c:v>
                </c:pt>
                <c:pt idx="3">
                  <c:v>135.96632330021419</c:v>
                </c:pt>
                <c:pt idx="4">
                  <c:v>139.63676682394171</c:v>
                </c:pt>
                <c:pt idx="5">
                  <c:v>143.86259472252991</c:v>
                </c:pt>
                <c:pt idx="6">
                  <c:v>149.21753922174003</c:v>
                </c:pt>
                <c:pt idx="7">
                  <c:v>153.13732807061376</c:v>
                </c:pt>
                <c:pt idx="8">
                  <c:v>153.96028786951345</c:v>
                </c:pt>
                <c:pt idx="9">
                  <c:v>158.14218989736685</c:v>
                </c:pt>
                <c:pt idx="10">
                  <c:v>158.67113385429911</c:v>
                </c:pt>
                <c:pt idx="11">
                  <c:v>161.97244606565391</c:v>
                </c:pt>
              </c:numCache>
            </c:numRef>
          </c:yVal>
          <c:smooth val="1"/>
          <c:extLst>
            <c:ext xmlns:c16="http://schemas.microsoft.com/office/drawing/2014/chart" uri="{C3380CC4-5D6E-409C-BE32-E72D297353CC}">
              <c16:uniqueId val="{00000002-22B7-4A08-BBF0-02BA3A6E8614}"/>
            </c:ext>
          </c:extLst>
        </c:ser>
        <c:dLbls>
          <c:showLegendKey val="0"/>
          <c:showVal val="0"/>
          <c:showCatName val="0"/>
          <c:showSerName val="0"/>
          <c:showPercent val="0"/>
          <c:showBubbleSize val="0"/>
        </c:dLbls>
        <c:axId val="584332368"/>
        <c:axId val="584330728"/>
      </c:scatterChar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'Диаграмма расеинивания'!$A$2:$A$13</c:f>
              <c:numCache>
                <c:formatCode>General</c:formatCode>
                <c:ptCount val="12"/>
                <c:pt idx="0">
                  <c:v>951.4</c:v>
                </c:pt>
                <c:pt idx="1">
                  <c:v>1008</c:v>
                </c:pt>
                <c:pt idx="2">
                  <c:v>1005</c:v>
                </c:pt>
                <c:pt idx="3">
                  <c:v>1011</c:v>
                </c:pt>
                <c:pt idx="4">
                  <c:v>1056</c:v>
                </c:pt>
                <c:pt idx="5">
                  <c:v>1105</c:v>
                </c:pt>
                <c:pt idx="6">
                  <c:v>1162</c:v>
                </c:pt>
                <c:pt idx="7">
                  <c:v>1201</c:v>
                </c:pt>
                <c:pt idx="8">
                  <c:v>1209</c:v>
                </c:pt>
                <c:pt idx="9">
                  <c:v>1249</c:v>
                </c:pt>
                <c:pt idx="10">
                  <c:v>1254</c:v>
                </c:pt>
                <c:pt idx="11">
                  <c:v>1285</c:v>
                </c:pt>
              </c:numCache>
            </c:numRef>
          </c:xVal>
          <c:yVal>
            <c:numRef>
              <c:f>'Диаграмма расеинивания'!$B$2:$B$13</c:f>
              <c:numCache>
                <c:formatCode>General</c:formatCode>
                <c:ptCount val="12"/>
                <c:pt idx="0">
                  <c:v>132.4</c:v>
                </c:pt>
                <c:pt idx="1">
                  <c:v>129.4</c:v>
                </c:pt>
                <c:pt idx="2">
                  <c:v>128.1</c:v>
                </c:pt>
                <c:pt idx="3">
                  <c:v>132.30000000000001</c:v>
                </c:pt>
                <c:pt idx="4">
                  <c:v>139.69999999999999</c:v>
                </c:pt>
                <c:pt idx="5">
                  <c:v>145.19999999999999</c:v>
                </c:pt>
                <c:pt idx="6">
                  <c:v>146.1</c:v>
                </c:pt>
                <c:pt idx="7">
                  <c:v>149.30000000000001</c:v>
                </c:pt>
                <c:pt idx="8">
                  <c:v>153.19999999999999</c:v>
                </c:pt>
                <c:pt idx="9">
                  <c:v>153</c:v>
                </c:pt>
                <c:pt idx="10">
                  <c:v>154.6</c:v>
                </c:pt>
                <c:pt idx="11">
                  <c:v>161.19999999999999</c:v>
                </c:pt>
              </c:numCache>
            </c:numRef>
          </c:yVal>
          <c:smooth val="0"/>
          <c:extLst>
            <c:ext xmlns:c16="http://schemas.microsoft.com/office/drawing/2014/chart" uri="{C3380CC4-5D6E-409C-BE32-E72D297353CC}">
              <c16:uniqueId val="{00000003-22B7-4A08-BBF0-02BA3A6E8614}"/>
            </c:ext>
          </c:extLst>
        </c:ser>
        <c:ser>
          <c:idx val="4"/>
          <c:order val="4"/>
          <c:spPr>
            <a:ln w="25400" cap="rnd">
              <a:noFill/>
              <a:round/>
            </a:ln>
            <a:effectLst/>
          </c:spPr>
          <c:marker>
            <c:symbol val="circle"/>
            <c:size val="5"/>
            <c:spPr>
              <a:solidFill>
                <a:schemeClr val="tx1"/>
              </a:solidFill>
              <a:ln w="9525">
                <a:solidFill>
                  <a:schemeClr val="tx1"/>
                </a:solidFill>
              </a:ln>
              <a:effectLst/>
            </c:spPr>
          </c:marker>
          <c:xVal>
            <c:numRef>
              <c:f>'Диаграмма расеинивания'!$D$19</c:f>
              <c:numCache>
                <c:formatCode>General</c:formatCode>
                <c:ptCount val="1"/>
                <c:pt idx="0">
                  <c:v>1270</c:v>
                </c:pt>
              </c:numCache>
            </c:numRef>
          </c:xVal>
          <c:yVal>
            <c:numRef>
              <c:f>'Диаграмма расеинивания'!$E$19</c:f>
              <c:numCache>
                <c:formatCode>General</c:formatCode>
                <c:ptCount val="1"/>
                <c:pt idx="0">
                  <c:v>157.16389876968861</c:v>
                </c:pt>
              </c:numCache>
            </c:numRef>
          </c:yVal>
          <c:smooth val="0"/>
          <c:extLst>
            <c:ext xmlns:c16="http://schemas.microsoft.com/office/drawing/2014/chart" uri="{C3380CC4-5D6E-409C-BE32-E72D297353CC}">
              <c16:uniqueId val="{00000004-22B7-4A08-BBF0-02BA3A6E8614}"/>
            </c:ext>
          </c:extLst>
        </c:ser>
        <c:ser>
          <c:idx val="5"/>
          <c:order val="5"/>
          <c:spPr>
            <a:ln w="25400" cap="rnd">
              <a:noFill/>
              <a:round/>
            </a:ln>
            <a:effectLst/>
          </c:spPr>
          <c:marker>
            <c:symbol val="circle"/>
            <c:size val="5"/>
            <c:spPr>
              <a:solidFill>
                <a:schemeClr val="tx1"/>
              </a:solidFill>
              <a:ln w="9525">
                <a:solidFill>
                  <a:schemeClr val="tx1"/>
                </a:solidFill>
              </a:ln>
              <a:effectLst/>
            </c:spPr>
          </c:marker>
          <c:xVal>
            <c:numRef>
              <c:f>'Диаграмма расеинивания'!$D$19</c:f>
              <c:numCache>
                <c:formatCode>General</c:formatCode>
                <c:ptCount val="1"/>
                <c:pt idx="0">
                  <c:v>1270</c:v>
                </c:pt>
              </c:numCache>
            </c:numRef>
          </c:xVal>
          <c:yVal>
            <c:numRef>
              <c:f>'Диаграмма расеинивания'!$G$19</c:f>
              <c:numCache>
                <c:formatCode>General</c:formatCode>
                <c:ptCount val="1"/>
                <c:pt idx="0">
                  <c:v>160.37075747270174</c:v>
                </c:pt>
              </c:numCache>
            </c:numRef>
          </c:yVal>
          <c:smooth val="0"/>
          <c:extLst>
            <c:ext xmlns:c16="http://schemas.microsoft.com/office/drawing/2014/chart" uri="{C3380CC4-5D6E-409C-BE32-E72D297353CC}">
              <c16:uniqueId val="{00000005-22B7-4A08-BBF0-02BA3A6E8614}"/>
            </c:ext>
          </c:extLst>
        </c:ser>
        <c:ser>
          <c:idx val="6"/>
          <c:order val="6"/>
          <c:spPr>
            <a:ln w="25400" cap="rnd">
              <a:noFill/>
              <a:round/>
            </a:ln>
            <a:effectLst/>
          </c:spPr>
          <c:marker>
            <c:symbol val="circle"/>
            <c:size val="5"/>
            <c:spPr>
              <a:solidFill>
                <a:schemeClr val="tx1"/>
              </a:solidFill>
              <a:ln w="9525">
                <a:solidFill>
                  <a:schemeClr val="tx1"/>
                </a:solidFill>
              </a:ln>
              <a:effectLst/>
            </c:spPr>
          </c:marker>
          <c:xVal>
            <c:numRef>
              <c:f>'Диаграмма расеинивания'!$D$19</c:f>
              <c:numCache>
                <c:formatCode>General</c:formatCode>
                <c:ptCount val="1"/>
                <c:pt idx="0">
                  <c:v>1270</c:v>
                </c:pt>
              </c:numCache>
            </c:numRef>
          </c:xVal>
          <c:yVal>
            <c:numRef>
              <c:f>'Диаграмма расеинивания'!$F$19</c:f>
              <c:numCache>
                <c:formatCode>General</c:formatCode>
                <c:ptCount val="1"/>
                <c:pt idx="0">
                  <c:v>153.95704006667549</c:v>
                </c:pt>
              </c:numCache>
            </c:numRef>
          </c:yVal>
          <c:smooth val="0"/>
          <c:extLst>
            <c:ext xmlns:c16="http://schemas.microsoft.com/office/drawing/2014/chart" uri="{C3380CC4-5D6E-409C-BE32-E72D297353CC}">
              <c16:uniqueId val="{00000006-22B7-4A08-BBF0-02BA3A6E8614}"/>
            </c:ext>
          </c:extLst>
        </c:ser>
        <c:dLbls>
          <c:showLegendKey val="0"/>
          <c:showVal val="0"/>
          <c:showCatName val="0"/>
          <c:showSerName val="0"/>
          <c:showPercent val="0"/>
          <c:showBubbleSize val="0"/>
        </c:dLbls>
        <c:axId val="584332368"/>
        <c:axId val="584330728"/>
      </c:scatterChart>
      <c:valAx>
        <c:axId val="584332368"/>
        <c:scaling>
          <c:orientation val="minMax"/>
          <c:min val="9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84330728"/>
        <c:crosses val="autoZero"/>
        <c:crossBetween val="midCat"/>
      </c:valAx>
      <c:valAx>
        <c:axId val="584330728"/>
        <c:scaling>
          <c:orientation val="minMax"/>
          <c:min val="1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84332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Диаграмма</a:t>
            </a:r>
            <a:r>
              <a:rPr lang="ru-RU" baseline="0"/>
              <a:t> рассеяния</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'Диагр рас'!$A$2:$A$16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рас'!$B$2:$B$16</c:f>
              <c:numCache>
                <c:formatCode>General</c:formatCode>
                <c:ptCount val="15"/>
                <c:pt idx="0">
                  <c:v>0.16</c:v>
                </c:pt>
                <c:pt idx="1">
                  <c:v>0.18</c:v>
                </c:pt>
                <c:pt idx="2">
                  <c:v>0.28000000000000003</c:v>
                </c:pt>
                <c:pt idx="3">
                  <c:v>0.45</c:v>
                </c:pt>
                <c:pt idx="4">
                  <c:v>0.53</c:v>
                </c:pt>
                <c:pt idx="5">
                  <c:v>0.64</c:v>
                </c:pt>
                <c:pt idx="6">
                  <c:v>0.7</c:v>
                </c:pt>
                <c:pt idx="7">
                  <c:v>0.77</c:v>
                </c:pt>
                <c:pt idx="8">
                  <c:v>0.82</c:v>
                </c:pt>
                <c:pt idx="9">
                  <c:v>0.87</c:v>
                </c:pt>
                <c:pt idx="10">
                  <c:v>0.9</c:v>
                </c:pt>
                <c:pt idx="11">
                  <c:v>0.95</c:v>
                </c:pt>
                <c:pt idx="12">
                  <c:v>0.98</c:v>
                </c:pt>
                <c:pt idx="13">
                  <c:v>0.96</c:v>
                </c:pt>
                <c:pt idx="14">
                  <c:v>0.98</c:v>
                </c:pt>
              </c:numCache>
            </c:numRef>
          </c:yVal>
          <c:smooth val="0"/>
          <c:extLst>
            <c:ext xmlns:c16="http://schemas.microsoft.com/office/drawing/2014/chart" uri="{C3380CC4-5D6E-409C-BE32-E72D297353CC}">
              <c16:uniqueId val="{00000000-E8D4-40D0-881A-F226B2589906}"/>
            </c:ext>
          </c:extLst>
        </c:ser>
        <c:dLbls>
          <c:showLegendKey val="0"/>
          <c:showVal val="0"/>
          <c:showCatName val="0"/>
          <c:showSerName val="0"/>
          <c:showPercent val="0"/>
          <c:showBubbleSize val="0"/>
        </c:dLbls>
        <c:axId val="465512288"/>
        <c:axId val="465511304"/>
      </c:scatterChart>
      <c:scatterChart>
        <c:scatterStyle val="smoothMarker"/>
        <c:varyColors val="0"/>
        <c:ser>
          <c:idx val="1"/>
          <c:order val="1"/>
          <c:spPr>
            <a:ln w="19050" cap="rnd">
              <a:solidFill>
                <a:schemeClr val="accent2"/>
              </a:solidFill>
              <a:round/>
            </a:ln>
            <a:effectLst/>
          </c:spPr>
          <c:marker>
            <c:symbol val="none"/>
          </c:marker>
          <c:xVal>
            <c:numRef>
              <c:f>'Диагр рас'!$A$2:$A$16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рас'!$B$45:$B$59</c:f>
              <c:numCache>
                <c:formatCode>General</c:formatCode>
                <c:ptCount val="15"/>
                <c:pt idx="0">
                  <c:v>0.23775000000000035</c:v>
                </c:pt>
                <c:pt idx="1">
                  <c:v>0.30064285714285743</c:v>
                </c:pt>
                <c:pt idx="2">
                  <c:v>0.36353571428571452</c:v>
                </c:pt>
                <c:pt idx="3">
                  <c:v>0.42642857142857171</c:v>
                </c:pt>
                <c:pt idx="4">
                  <c:v>0.48932142857142891</c:v>
                </c:pt>
                <c:pt idx="5">
                  <c:v>0.55221428571428599</c:v>
                </c:pt>
                <c:pt idx="6">
                  <c:v>0.61510714285714307</c:v>
                </c:pt>
                <c:pt idx="7">
                  <c:v>0.67800000000000016</c:v>
                </c:pt>
                <c:pt idx="8">
                  <c:v>0.74089285714285746</c:v>
                </c:pt>
                <c:pt idx="9">
                  <c:v>0.80378571428571455</c:v>
                </c:pt>
                <c:pt idx="10">
                  <c:v>0.86667857142857163</c:v>
                </c:pt>
                <c:pt idx="11">
                  <c:v>0.92957142857142894</c:v>
                </c:pt>
                <c:pt idx="12">
                  <c:v>0.99246428571428602</c:v>
                </c:pt>
                <c:pt idx="13">
                  <c:v>1.0553571428571431</c:v>
                </c:pt>
                <c:pt idx="14">
                  <c:v>1.1182500000000002</c:v>
                </c:pt>
              </c:numCache>
            </c:numRef>
          </c:yVal>
          <c:smooth val="1"/>
          <c:extLst>
            <c:ext xmlns:c16="http://schemas.microsoft.com/office/drawing/2014/chart" uri="{C3380CC4-5D6E-409C-BE32-E72D297353CC}">
              <c16:uniqueId val="{00000001-E8D4-40D0-881A-F226B2589906}"/>
            </c:ext>
          </c:extLst>
        </c:ser>
        <c:ser>
          <c:idx val="2"/>
          <c:order val="2"/>
          <c:spPr>
            <a:ln w="19050" cap="rnd">
              <a:solidFill>
                <a:schemeClr val="accent3"/>
              </a:solidFill>
              <a:round/>
            </a:ln>
            <a:effectLst/>
          </c:spPr>
          <c:marker>
            <c:symbol val="none"/>
          </c:marker>
          <c:xVal>
            <c:numRef>
              <c:f>'Диагр рас'!$C$72:$C$86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рас'!$D$113:$D$127</c:f>
              <c:numCache>
                <c:formatCode>General</c:formatCode>
                <c:ptCount val="15"/>
                <c:pt idx="0">
                  <c:v>0.16294910871710094</c:v>
                </c:pt>
                <c:pt idx="1">
                  <c:v>0.22588460690125284</c:v>
                </c:pt>
                <c:pt idx="2">
                  <c:v>0.30429112398613367</c:v>
                </c:pt>
                <c:pt idx="3">
                  <c:v>0.39599135332004293</c:v>
                </c:pt>
                <c:pt idx="4">
                  <c:v>0.49563864268463265</c:v>
                </c:pt>
                <c:pt idx="5">
                  <c:v>0.59563361898448741</c:v>
                </c:pt>
                <c:pt idx="6">
                  <c:v>0.68827233556032241</c:v>
                </c:pt>
                <c:pt idx="7">
                  <c:v>0.76795590996959018</c:v>
                </c:pt>
                <c:pt idx="8">
                  <c:v>0.83223563238809195</c:v>
                </c:pt>
                <c:pt idx="9">
                  <c:v>0.88145752257870547</c:v>
                </c:pt>
                <c:pt idx="10">
                  <c:v>0.91766648191584432</c:v>
                </c:pt>
                <c:pt idx="11">
                  <c:v>0.94352399768440076</c:v>
                </c:pt>
                <c:pt idx="12">
                  <c:v>0.96160055944336764</c:v>
                </c:pt>
                <c:pt idx="13">
                  <c:v>0.97405039161579565</c:v>
                </c:pt>
                <c:pt idx="14">
                  <c:v>0.98253705390133894</c:v>
                </c:pt>
              </c:numCache>
            </c:numRef>
          </c:yVal>
          <c:smooth val="1"/>
          <c:extLst>
            <c:ext xmlns:c16="http://schemas.microsoft.com/office/drawing/2014/chart" uri="{C3380CC4-5D6E-409C-BE32-E72D297353CC}">
              <c16:uniqueId val="{00000002-E8D4-40D0-881A-F226B2589906}"/>
            </c:ext>
          </c:extLst>
        </c:ser>
        <c:dLbls>
          <c:showLegendKey val="0"/>
          <c:showVal val="0"/>
          <c:showCatName val="0"/>
          <c:showSerName val="0"/>
          <c:showPercent val="0"/>
          <c:showBubbleSize val="0"/>
        </c:dLbls>
        <c:axId val="465512288"/>
        <c:axId val="465511304"/>
      </c:scatterChart>
      <c:valAx>
        <c:axId val="465512288"/>
        <c:scaling>
          <c:orientation val="minMax"/>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65511304"/>
        <c:crosses val="autoZero"/>
        <c:crossBetween val="midCat"/>
      </c:valAx>
      <c:valAx>
        <c:axId val="465511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65512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'Диагр рас'!$A$2:$A$16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рас'!$B$2:$B$16</c:f>
              <c:numCache>
                <c:formatCode>General</c:formatCode>
                <c:ptCount val="15"/>
                <c:pt idx="0">
                  <c:v>0.16</c:v>
                </c:pt>
                <c:pt idx="1">
                  <c:v>0.18</c:v>
                </c:pt>
                <c:pt idx="2">
                  <c:v>0.28000000000000003</c:v>
                </c:pt>
                <c:pt idx="3">
                  <c:v>0.45</c:v>
                </c:pt>
                <c:pt idx="4">
                  <c:v>0.53</c:v>
                </c:pt>
                <c:pt idx="5">
                  <c:v>0.64</c:v>
                </c:pt>
                <c:pt idx="6">
                  <c:v>0.7</c:v>
                </c:pt>
                <c:pt idx="7">
                  <c:v>0.77</c:v>
                </c:pt>
                <c:pt idx="8">
                  <c:v>0.82</c:v>
                </c:pt>
                <c:pt idx="9">
                  <c:v>0.87</c:v>
                </c:pt>
                <c:pt idx="10">
                  <c:v>0.9</c:v>
                </c:pt>
                <c:pt idx="11">
                  <c:v>0.95</c:v>
                </c:pt>
                <c:pt idx="12">
                  <c:v>0.98</c:v>
                </c:pt>
                <c:pt idx="13">
                  <c:v>0.96</c:v>
                </c:pt>
                <c:pt idx="14">
                  <c:v>0.98</c:v>
                </c:pt>
              </c:numCache>
            </c:numRef>
          </c:yVal>
          <c:smooth val="0"/>
          <c:extLst>
            <c:ext xmlns:c16="http://schemas.microsoft.com/office/drawing/2014/chart" uri="{C3380CC4-5D6E-409C-BE32-E72D297353CC}">
              <c16:uniqueId val="{00000000-0906-49DA-BC52-D11EB3E39E41}"/>
            </c:ext>
          </c:extLst>
        </c:ser>
        <c:dLbls>
          <c:showLegendKey val="0"/>
          <c:showVal val="0"/>
          <c:showCatName val="0"/>
          <c:showSerName val="0"/>
          <c:showPercent val="0"/>
          <c:showBubbleSize val="0"/>
        </c:dLbls>
        <c:axId val="445698960"/>
        <c:axId val="445700600"/>
      </c:scatterChart>
      <c:scatterChart>
        <c:scatterStyle val="smoothMarker"/>
        <c:varyColors val="0"/>
        <c:ser>
          <c:idx val="1"/>
          <c:order val="1"/>
          <c:spPr>
            <a:ln w="19050" cap="rnd">
              <a:solidFill>
                <a:schemeClr val="accent2"/>
              </a:solidFill>
              <a:round/>
            </a:ln>
            <a:effectLst/>
          </c:spPr>
          <c:marker>
            <c:symbol val="none"/>
          </c:marker>
          <c:xVal>
            <c:numRef>
              <c:f>'Диагр рас'!$A$2:$A$16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рас'!$B$45:$B$59</c:f>
              <c:numCache>
                <c:formatCode>General</c:formatCode>
                <c:ptCount val="15"/>
                <c:pt idx="0">
                  <c:v>0.23775000000000035</c:v>
                </c:pt>
                <c:pt idx="1">
                  <c:v>0.30064285714285743</c:v>
                </c:pt>
                <c:pt idx="2">
                  <c:v>0.36353571428571452</c:v>
                </c:pt>
                <c:pt idx="3">
                  <c:v>0.42642857142857171</c:v>
                </c:pt>
                <c:pt idx="4">
                  <c:v>0.48932142857142891</c:v>
                </c:pt>
                <c:pt idx="5">
                  <c:v>0.55221428571428599</c:v>
                </c:pt>
                <c:pt idx="6">
                  <c:v>0.61510714285714307</c:v>
                </c:pt>
                <c:pt idx="7">
                  <c:v>0.67800000000000016</c:v>
                </c:pt>
                <c:pt idx="8">
                  <c:v>0.74089285714285746</c:v>
                </c:pt>
                <c:pt idx="9">
                  <c:v>0.80378571428571455</c:v>
                </c:pt>
                <c:pt idx="10">
                  <c:v>0.86667857142857163</c:v>
                </c:pt>
                <c:pt idx="11">
                  <c:v>0.92957142857142894</c:v>
                </c:pt>
                <c:pt idx="12">
                  <c:v>0.99246428571428602</c:v>
                </c:pt>
                <c:pt idx="13">
                  <c:v>1.0553571428571431</c:v>
                </c:pt>
                <c:pt idx="14">
                  <c:v>1.1182500000000002</c:v>
                </c:pt>
              </c:numCache>
            </c:numRef>
          </c:yVal>
          <c:smooth val="1"/>
          <c:extLst>
            <c:ext xmlns:c16="http://schemas.microsoft.com/office/drawing/2014/chart" uri="{C3380CC4-5D6E-409C-BE32-E72D297353CC}">
              <c16:uniqueId val="{00000001-0906-49DA-BC52-D11EB3E39E41}"/>
            </c:ext>
          </c:extLst>
        </c:ser>
        <c:ser>
          <c:idx val="2"/>
          <c:order val="2"/>
          <c:spPr>
            <a:ln w="19050" cap="rnd">
              <a:solidFill>
                <a:schemeClr val="accent3"/>
              </a:solidFill>
              <a:round/>
            </a:ln>
            <a:effectLst/>
          </c:spPr>
          <c:marker>
            <c:symbol val="none"/>
          </c:marker>
          <c:xVal>
            <c:numRef>
              <c:f>'Диагр рас'!$A$72:$A$86</c:f>
              <c:numCache>
                <c:formatCode>General</c:formatCod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numCache>
            </c:numRef>
          </c:xVal>
          <c:yVal>
            <c:numRef>
              <c:f>'Диагр рас'!$D$113:$D$127</c:f>
              <c:numCache>
                <c:formatCode>General</c:formatCode>
                <c:ptCount val="15"/>
                <c:pt idx="0">
                  <c:v>0.16294910871710094</c:v>
                </c:pt>
                <c:pt idx="1">
                  <c:v>0.22588460690125284</c:v>
                </c:pt>
                <c:pt idx="2">
                  <c:v>0.30429112398613367</c:v>
                </c:pt>
                <c:pt idx="3">
                  <c:v>0.39599135332004293</c:v>
                </c:pt>
                <c:pt idx="4">
                  <c:v>0.49563864268463265</c:v>
                </c:pt>
                <c:pt idx="5">
                  <c:v>0.59563361898448741</c:v>
                </c:pt>
                <c:pt idx="6">
                  <c:v>0.68827233556032241</c:v>
                </c:pt>
                <c:pt idx="7">
                  <c:v>0.76795590996959018</c:v>
                </c:pt>
                <c:pt idx="8">
                  <c:v>0.83223563238809195</c:v>
                </c:pt>
                <c:pt idx="9">
                  <c:v>0.88145752257870547</c:v>
                </c:pt>
                <c:pt idx="10">
                  <c:v>0.91766648191584432</c:v>
                </c:pt>
                <c:pt idx="11">
                  <c:v>0.94352399768440076</c:v>
                </c:pt>
                <c:pt idx="12">
                  <c:v>0.96160055944336764</c:v>
                </c:pt>
                <c:pt idx="13">
                  <c:v>0.97405039161579565</c:v>
                </c:pt>
                <c:pt idx="14">
                  <c:v>0.98253705390133894</c:v>
                </c:pt>
              </c:numCache>
            </c:numRef>
          </c:yVal>
          <c:smooth val="1"/>
          <c:extLst>
            <c:ext xmlns:c16="http://schemas.microsoft.com/office/drawing/2014/chart" uri="{C3380CC4-5D6E-409C-BE32-E72D297353CC}">
              <c16:uniqueId val="{00000002-0906-49DA-BC52-D11EB3E39E41}"/>
            </c:ext>
          </c:extLst>
        </c:ser>
        <c:dLbls>
          <c:showLegendKey val="0"/>
          <c:showVal val="0"/>
          <c:showCatName val="0"/>
          <c:showSerName val="0"/>
          <c:showPercent val="0"/>
          <c:showBubbleSize val="0"/>
        </c:dLbls>
        <c:axId val="445698960"/>
        <c:axId val="445700600"/>
      </c:scatterChart>
      <c:valAx>
        <c:axId val="445698960"/>
        <c:scaling>
          <c:orientation val="minMax"/>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45700600"/>
        <c:crosses val="autoZero"/>
        <c:crossBetween val="midCat"/>
      </c:valAx>
      <c:valAx>
        <c:axId val="44570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456989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chart" Target="../charts/chart14.xml"/><Relationship Id="rId6" Type="http://schemas.openxmlformats.org/officeDocument/2006/relationships/image" Target="../media/image15.png"/><Relationship Id="rId5" Type="http://schemas.openxmlformats.org/officeDocument/2006/relationships/image" Target="../media/image1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chart" Target="../charts/chart15.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47625</xdr:colOff>
      <xdr:row>25</xdr:row>
      <xdr:rowOff>33337</xdr:rowOff>
    </xdr:from>
    <xdr:to>
      <xdr:col>10</xdr:col>
      <xdr:colOff>559594</xdr:colOff>
      <xdr:row>39</xdr:row>
      <xdr:rowOff>109537</xdr:rowOff>
    </xdr:to>
    <xdr:graphicFrame macro="">
      <xdr:nvGraphicFramePr>
        <xdr:cNvPr id="2" name="Диаграмма 1">
          <a:extLst>
            <a:ext uri="{FF2B5EF4-FFF2-40B4-BE49-F238E27FC236}">
              <a16:creationId xmlns:a16="http://schemas.microsoft.com/office/drawing/2014/main" id="{BB0B2D87-337A-49F2-A5D3-0A8E681C7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11906</xdr:colOff>
      <xdr:row>41</xdr:row>
      <xdr:rowOff>9525</xdr:rowOff>
    </xdr:from>
    <xdr:to>
      <xdr:col>10</xdr:col>
      <xdr:colOff>523875</xdr:colOff>
      <xdr:row>55</xdr:row>
      <xdr:rowOff>85725</xdr:rowOff>
    </xdr:to>
    <xdr:graphicFrame macro="">
      <xdr:nvGraphicFramePr>
        <xdr:cNvPr id="3" name="Диаграмма 2">
          <a:extLst>
            <a:ext uri="{FF2B5EF4-FFF2-40B4-BE49-F238E27FC236}">
              <a16:creationId xmlns:a16="http://schemas.microsoft.com/office/drawing/2014/main" id="{EA6C0EB9-4E19-4F74-8BEA-2717A80B6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83344</xdr:colOff>
      <xdr:row>56</xdr:row>
      <xdr:rowOff>164306</xdr:rowOff>
    </xdr:from>
    <xdr:to>
      <xdr:col>10</xdr:col>
      <xdr:colOff>595313</xdr:colOff>
      <xdr:row>71</xdr:row>
      <xdr:rowOff>50006</xdr:rowOff>
    </xdr:to>
    <xdr:graphicFrame macro="">
      <xdr:nvGraphicFramePr>
        <xdr:cNvPr id="4" name="Диаграмма 3">
          <a:extLst>
            <a:ext uri="{FF2B5EF4-FFF2-40B4-BE49-F238E27FC236}">
              <a16:creationId xmlns:a16="http://schemas.microsoft.com/office/drawing/2014/main" id="{E6BE942F-DA86-4CF5-B4B9-BE48B52D3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73</xdr:row>
      <xdr:rowOff>0</xdr:rowOff>
    </xdr:from>
    <xdr:to>
      <xdr:col>10</xdr:col>
      <xdr:colOff>511969</xdr:colOff>
      <xdr:row>87</xdr:row>
      <xdr:rowOff>76200</xdr:rowOff>
    </xdr:to>
    <xdr:graphicFrame macro="">
      <xdr:nvGraphicFramePr>
        <xdr:cNvPr id="5" name="Диаграмма 4">
          <a:extLst>
            <a:ext uri="{FF2B5EF4-FFF2-40B4-BE49-F238E27FC236}">
              <a16:creationId xmlns:a16="http://schemas.microsoft.com/office/drawing/2014/main" id="{30E83A35-27C8-4BAE-9783-31E9E3867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514350</xdr:colOff>
      <xdr:row>4</xdr:row>
      <xdr:rowOff>180975</xdr:rowOff>
    </xdr:from>
    <xdr:to>
      <xdr:col>17</xdr:col>
      <xdr:colOff>133350</xdr:colOff>
      <xdr:row>7</xdr:row>
      <xdr:rowOff>104775</xdr:rowOff>
    </xdr:to>
    <xdr:pic>
      <xdr:nvPicPr>
        <xdr:cNvPr id="2" name="Рисунок 1">
          <a:extLst>
            <a:ext uri="{FF2B5EF4-FFF2-40B4-BE49-F238E27FC236}">
              <a16:creationId xmlns:a16="http://schemas.microsoft.com/office/drawing/2014/main" id="{669F1E0D-8295-4A6C-8F14-5C6EDF3F58D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86500" y="917575"/>
          <a:ext cx="47498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504825</xdr:colOff>
      <xdr:row>8</xdr:row>
      <xdr:rowOff>133350</xdr:rowOff>
    </xdr:from>
    <xdr:to>
      <xdr:col>15</xdr:col>
      <xdr:colOff>133350</xdr:colOff>
      <xdr:row>11</xdr:row>
      <xdr:rowOff>104775</xdr:rowOff>
    </xdr:to>
    <xdr:pic>
      <xdr:nvPicPr>
        <xdr:cNvPr id="3" name="Рисунок 2">
          <a:extLst>
            <a:ext uri="{FF2B5EF4-FFF2-40B4-BE49-F238E27FC236}">
              <a16:creationId xmlns:a16="http://schemas.microsoft.com/office/drawing/2014/main" id="{176F3C50-F8AD-4009-B6F8-B8DCE3CBEEC5}"/>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76975" y="1606550"/>
          <a:ext cx="347662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483533</xdr:colOff>
      <xdr:row>11</xdr:row>
      <xdr:rowOff>158003</xdr:rowOff>
    </xdr:from>
    <xdr:to>
      <xdr:col>11</xdr:col>
      <xdr:colOff>426383</xdr:colOff>
      <xdr:row>14</xdr:row>
      <xdr:rowOff>224678</xdr:rowOff>
    </xdr:to>
    <xdr:pic>
      <xdr:nvPicPr>
        <xdr:cNvPr id="4" name="Рисунок 3">
          <a:extLst>
            <a:ext uri="{FF2B5EF4-FFF2-40B4-BE49-F238E27FC236}">
              <a16:creationId xmlns:a16="http://schemas.microsoft.com/office/drawing/2014/main" id="{8AEC21CC-86E4-456A-9F5D-1B04A548D418}"/>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55683" y="2183653"/>
          <a:ext cx="1225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480733</xdr:colOff>
      <xdr:row>15</xdr:row>
      <xdr:rowOff>111499</xdr:rowOff>
    </xdr:from>
    <xdr:to>
      <xdr:col>12</xdr:col>
      <xdr:colOff>433108</xdr:colOff>
      <xdr:row>18</xdr:row>
      <xdr:rowOff>178174</xdr:rowOff>
    </xdr:to>
    <xdr:pic>
      <xdr:nvPicPr>
        <xdr:cNvPr id="5" name="Рисунок 4">
          <a:extLst>
            <a:ext uri="{FF2B5EF4-FFF2-40B4-BE49-F238E27FC236}">
              <a16:creationId xmlns:a16="http://schemas.microsoft.com/office/drawing/2014/main" id="{3A9538DC-8D1C-48ED-A613-EA922ADE32CF}"/>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52883" y="2873749"/>
          <a:ext cx="18764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526676</xdr:colOff>
      <xdr:row>19</xdr:row>
      <xdr:rowOff>89647</xdr:rowOff>
    </xdr:from>
    <xdr:to>
      <xdr:col>12</xdr:col>
      <xdr:colOff>593352</xdr:colOff>
      <xdr:row>21</xdr:row>
      <xdr:rowOff>230841</xdr:rowOff>
    </xdr:to>
    <xdr:pic>
      <xdr:nvPicPr>
        <xdr:cNvPr id="6" name="Рисунок 5">
          <a:extLst>
            <a:ext uri="{FF2B5EF4-FFF2-40B4-BE49-F238E27FC236}">
              <a16:creationId xmlns:a16="http://schemas.microsoft.com/office/drawing/2014/main" id="{DEDEA4B4-9F9C-428D-A46A-7BA8115886BB}"/>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98826" y="3588497"/>
          <a:ext cx="1990726" cy="4650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515470</xdr:colOff>
      <xdr:row>22</xdr:row>
      <xdr:rowOff>212912</xdr:rowOff>
    </xdr:from>
    <xdr:to>
      <xdr:col>13</xdr:col>
      <xdr:colOff>338978</xdr:colOff>
      <xdr:row>25</xdr:row>
      <xdr:rowOff>129988</xdr:rowOff>
    </xdr:to>
    <xdr:pic>
      <xdr:nvPicPr>
        <xdr:cNvPr id="7" name="Рисунок 6">
          <a:extLst>
            <a:ext uri="{FF2B5EF4-FFF2-40B4-BE49-F238E27FC236}">
              <a16:creationId xmlns:a16="http://schemas.microsoft.com/office/drawing/2014/main" id="{4F786456-47CC-4B5E-A786-590DB011EF0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87620" y="4232462"/>
          <a:ext cx="2388908" cy="501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28575</xdr:colOff>
      <xdr:row>0</xdr:row>
      <xdr:rowOff>133350</xdr:rowOff>
    </xdr:from>
    <xdr:to>
      <xdr:col>8</xdr:col>
      <xdr:colOff>476250</xdr:colOff>
      <xdr:row>3</xdr:row>
      <xdr:rowOff>161925</xdr:rowOff>
    </xdr:to>
    <xdr:pic>
      <xdr:nvPicPr>
        <xdr:cNvPr id="2" name="Рисунок 1">
          <a:extLst>
            <a:ext uri="{FF2B5EF4-FFF2-40B4-BE49-F238E27FC236}">
              <a16:creationId xmlns:a16="http://schemas.microsoft.com/office/drawing/2014/main" id="{3BE7A1BD-598C-4FBC-B4C1-1049D7A79D1C}"/>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86175" y="133350"/>
          <a:ext cx="16668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9525</xdr:colOff>
      <xdr:row>3</xdr:row>
      <xdr:rowOff>190500</xdr:rowOff>
    </xdr:from>
    <xdr:to>
      <xdr:col>9</xdr:col>
      <xdr:colOff>1104900</xdr:colOff>
      <xdr:row>5</xdr:row>
      <xdr:rowOff>28575</xdr:rowOff>
    </xdr:to>
    <xdr:pic>
      <xdr:nvPicPr>
        <xdr:cNvPr id="3" name="Рисунок 2">
          <a:extLst>
            <a:ext uri="{FF2B5EF4-FFF2-40B4-BE49-F238E27FC236}">
              <a16:creationId xmlns:a16="http://schemas.microsoft.com/office/drawing/2014/main" id="{8B0FC6B9-7F66-44AC-97D7-9CFB7BDB7248}"/>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67125" y="736600"/>
          <a:ext cx="2428875" cy="21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104775</xdr:colOff>
      <xdr:row>1</xdr:row>
      <xdr:rowOff>161925</xdr:rowOff>
    </xdr:from>
    <xdr:to>
      <xdr:col>10</xdr:col>
      <xdr:colOff>352425</xdr:colOff>
      <xdr:row>3</xdr:row>
      <xdr:rowOff>9525</xdr:rowOff>
    </xdr:to>
    <xdr:pic>
      <xdr:nvPicPr>
        <xdr:cNvPr id="4" name="Рисунок 3">
          <a:extLst>
            <a:ext uri="{FF2B5EF4-FFF2-40B4-BE49-F238E27FC236}">
              <a16:creationId xmlns:a16="http://schemas.microsoft.com/office/drawing/2014/main" id="{D3A80BBD-16BD-4204-AB8B-F94498D49165}"/>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591175" y="346075"/>
          <a:ext cx="85725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56</xdr:row>
      <xdr:rowOff>66675</xdr:rowOff>
    </xdr:from>
    <xdr:to>
      <xdr:col>7</xdr:col>
      <xdr:colOff>76200</xdr:colOff>
      <xdr:row>66</xdr:row>
      <xdr:rowOff>180975</xdr:rowOff>
    </xdr:to>
    <xdr:graphicFrame macro="">
      <xdr:nvGraphicFramePr>
        <xdr:cNvPr id="2" name="Диаграмма 1">
          <a:extLst>
            <a:ext uri="{FF2B5EF4-FFF2-40B4-BE49-F238E27FC236}">
              <a16:creationId xmlns:a16="http://schemas.microsoft.com/office/drawing/2014/main" id="{4CBF5F7B-A4E4-4FCD-B45D-F4E6396B5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45</xdr:row>
      <xdr:rowOff>171450</xdr:rowOff>
    </xdr:from>
    <xdr:to>
      <xdr:col>7</xdr:col>
      <xdr:colOff>76200</xdr:colOff>
      <xdr:row>56</xdr:row>
      <xdr:rowOff>85725</xdr:rowOff>
    </xdr:to>
    <xdr:graphicFrame macro="">
      <xdr:nvGraphicFramePr>
        <xdr:cNvPr id="3" name="Диаграмма 2">
          <a:extLst>
            <a:ext uri="{FF2B5EF4-FFF2-40B4-BE49-F238E27FC236}">
              <a16:creationId xmlns:a16="http://schemas.microsoft.com/office/drawing/2014/main" id="{AE84269C-932D-4CD9-9640-94C795015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xdr:colOff>
      <xdr:row>69</xdr:row>
      <xdr:rowOff>80962</xdr:rowOff>
    </xdr:from>
    <xdr:to>
      <xdr:col>9</xdr:col>
      <xdr:colOff>0</xdr:colOff>
      <xdr:row>83</xdr:row>
      <xdr:rowOff>23812</xdr:rowOff>
    </xdr:to>
    <xdr:graphicFrame macro="">
      <xdr:nvGraphicFramePr>
        <xdr:cNvPr id="4" name="Диаграмма 3">
          <a:extLst>
            <a:ext uri="{FF2B5EF4-FFF2-40B4-BE49-F238E27FC236}">
              <a16:creationId xmlns:a16="http://schemas.microsoft.com/office/drawing/2014/main" id="{EB2C2818-246F-4A47-8F83-31913680C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1141268</xdr:colOff>
      <xdr:row>7</xdr:row>
      <xdr:rowOff>9525</xdr:rowOff>
    </xdr:from>
    <xdr:to>
      <xdr:col>6</xdr:col>
      <xdr:colOff>876299</xdr:colOff>
      <xdr:row>22</xdr:row>
      <xdr:rowOff>104775</xdr:rowOff>
    </xdr:to>
    <xdr:graphicFrame macro="">
      <xdr:nvGraphicFramePr>
        <xdr:cNvPr id="5" name="Диаграмма 4">
          <a:extLst>
            <a:ext uri="{FF2B5EF4-FFF2-40B4-BE49-F238E27FC236}">
              <a16:creationId xmlns:a16="http://schemas.microsoft.com/office/drawing/2014/main" id="{CD52A486-5B8A-4026-A69E-292FD19F1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590550</xdr:colOff>
      <xdr:row>5</xdr:row>
      <xdr:rowOff>9525</xdr:rowOff>
    </xdr:from>
    <xdr:to>
      <xdr:col>10</xdr:col>
      <xdr:colOff>285750</xdr:colOff>
      <xdr:row>18</xdr:row>
      <xdr:rowOff>123825</xdr:rowOff>
    </xdr:to>
    <xdr:graphicFrame macro="">
      <xdr:nvGraphicFramePr>
        <xdr:cNvPr id="2" name="Диаграмма 1">
          <a:extLst>
            <a:ext uri="{FF2B5EF4-FFF2-40B4-BE49-F238E27FC236}">
              <a16:creationId xmlns:a16="http://schemas.microsoft.com/office/drawing/2014/main" id="{C0F8D7E2-B07C-4ACF-A22A-5FA863E69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19</xdr:row>
      <xdr:rowOff>171450</xdr:rowOff>
    </xdr:from>
    <xdr:to>
      <xdr:col>7</xdr:col>
      <xdr:colOff>419100</xdr:colOff>
      <xdr:row>29</xdr:row>
      <xdr:rowOff>180975</xdr:rowOff>
    </xdr:to>
    <xdr:graphicFrame macro="">
      <xdr:nvGraphicFramePr>
        <xdr:cNvPr id="3" name="Диаграмма 2">
          <a:extLst>
            <a:ext uri="{FF2B5EF4-FFF2-40B4-BE49-F238E27FC236}">
              <a16:creationId xmlns:a16="http://schemas.microsoft.com/office/drawing/2014/main" id="{40D38F6E-14C4-4B46-9C7C-F3D9A7E75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409574</xdr:colOff>
      <xdr:row>19</xdr:row>
      <xdr:rowOff>180975</xdr:rowOff>
    </xdr:from>
    <xdr:to>
      <xdr:col>12</xdr:col>
      <xdr:colOff>600074</xdr:colOff>
      <xdr:row>29</xdr:row>
      <xdr:rowOff>180975</xdr:rowOff>
    </xdr:to>
    <xdr:graphicFrame macro="">
      <xdr:nvGraphicFramePr>
        <xdr:cNvPr id="4" name="Диаграмма 3">
          <a:extLst>
            <a:ext uri="{FF2B5EF4-FFF2-40B4-BE49-F238E27FC236}">
              <a16:creationId xmlns:a16="http://schemas.microsoft.com/office/drawing/2014/main" id="{824CA371-C884-4C11-AF1D-7B49BE3E3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1543050</xdr:colOff>
      <xdr:row>72</xdr:row>
      <xdr:rowOff>66675</xdr:rowOff>
    </xdr:from>
    <xdr:to>
      <xdr:col>7</xdr:col>
      <xdr:colOff>9525</xdr:colOff>
      <xdr:row>82</xdr:row>
      <xdr:rowOff>9525</xdr:rowOff>
    </xdr:to>
    <xdr:graphicFrame macro="">
      <xdr:nvGraphicFramePr>
        <xdr:cNvPr id="5" name="Диаграмма 4">
          <a:extLst>
            <a:ext uri="{FF2B5EF4-FFF2-40B4-BE49-F238E27FC236}">
              <a16:creationId xmlns:a16="http://schemas.microsoft.com/office/drawing/2014/main" id="{93A1B433-9DE4-4A74-9706-7258F86D17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72</xdr:row>
      <xdr:rowOff>66675</xdr:rowOff>
    </xdr:from>
    <xdr:to>
      <xdr:col>13</xdr:col>
      <xdr:colOff>247650</xdr:colOff>
      <xdr:row>82</xdr:row>
      <xdr:rowOff>0</xdr:rowOff>
    </xdr:to>
    <xdr:graphicFrame macro="">
      <xdr:nvGraphicFramePr>
        <xdr:cNvPr id="6" name="Диаграмма 5">
          <a:extLst>
            <a:ext uri="{FF2B5EF4-FFF2-40B4-BE49-F238E27FC236}">
              <a16:creationId xmlns:a16="http://schemas.microsoft.com/office/drawing/2014/main" id="{51AC5669-1590-4E1A-BF3B-9BE9D1251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123264</xdr:colOff>
      <xdr:row>184</xdr:row>
      <xdr:rowOff>100854</xdr:rowOff>
    </xdr:from>
    <xdr:to>
      <xdr:col>2</xdr:col>
      <xdr:colOff>827553</xdr:colOff>
      <xdr:row>187</xdr:row>
      <xdr:rowOff>81804</xdr:rowOff>
    </xdr:to>
    <xdr:pic>
      <xdr:nvPicPr>
        <xdr:cNvPr id="2" name="Рисунок 1">
          <a:extLst>
            <a:ext uri="{FF2B5EF4-FFF2-40B4-BE49-F238E27FC236}">
              <a16:creationId xmlns:a16="http://schemas.microsoft.com/office/drawing/2014/main" id="{C30F5A2A-5B81-4669-9845-2111F11FD89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3264" y="33984454"/>
          <a:ext cx="180283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136072</xdr:colOff>
      <xdr:row>184</xdr:row>
      <xdr:rowOff>108857</xdr:rowOff>
    </xdr:from>
    <xdr:to>
      <xdr:col>14</xdr:col>
      <xdr:colOff>813146</xdr:colOff>
      <xdr:row>187</xdr:row>
      <xdr:rowOff>89807</xdr:rowOff>
    </xdr:to>
    <xdr:pic>
      <xdr:nvPicPr>
        <xdr:cNvPr id="3" name="Рисунок 2">
          <a:extLst>
            <a:ext uri="{FF2B5EF4-FFF2-40B4-BE49-F238E27FC236}">
              <a16:creationId xmlns:a16="http://schemas.microsoft.com/office/drawing/2014/main" id="{2B12B1E3-B78A-4705-B513-5CD64E73A203}"/>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832272" y="33992457"/>
          <a:ext cx="1788324"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9524</xdr:colOff>
      <xdr:row>0</xdr:row>
      <xdr:rowOff>0</xdr:rowOff>
    </xdr:from>
    <xdr:to>
      <xdr:col>10</xdr:col>
      <xdr:colOff>609599</xdr:colOff>
      <xdr:row>15</xdr:row>
      <xdr:rowOff>0</xdr:rowOff>
    </xdr:to>
    <xdr:graphicFrame macro="">
      <xdr:nvGraphicFramePr>
        <xdr:cNvPr id="2" name="Диаграмма 1">
          <a:extLst>
            <a:ext uri="{FF2B5EF4-FFF2-40B4-BE49-F238E27FC236}">
              <a16:creationId xmlns:a16="http://schemas.microsoft.com/office/drawing/2014/main" id="{8429484F-E1EE-4E17-BD9E-51AEA6DE4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9</xdr:row>
      <xdr:rowOff>9525</xdr:rowOff>
    </xdr:from>
    <xdr:to>
      <xdr:col>12</xdr:col>
      <xdr:colOff>485775</xdr:colOff>
      <xdr:row>10</xdr:row>
      <xdr:rowOff>0</xdr:rowOff>
    </xdr:to>
    <xdr:pic>
      <xdr:nvPicPr>
        <xdr:cNvPr id="3" name="Рисунок 2">
          <a:extLst>
            <a:ext uri="{FF2B5EF4-FFF2-40B4-BE49-F238E27FC236}">
              <a16:creationId xmlns:a16="http://schemas.microsoft.com/office/drawing/2014/main" id="{B01663E8-3B94-4E9E-A126-90DF7B521D2B}"/>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010400" y="1666875"/>
          <a:ext cx="790575" cy="174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304800</xdr:colOff>
      <xdr:row>11</xdr:row>
      <xdr:rowOff>9525</xdr:rowOff>
    </xdr:from>
    <xdr:to>
      <xdr:col>14</xdr:col>
      <xdr:colOff>123825</xdr:colOff>
      <xdr:row>13</xdr:row>
      <xdr:rowOff>9525</xdr:rowOff>
    </xdr:to>
    <xdr:pic>
      <xdr:nvPicPr>
        <xdr:cNvPr id="4" name="Рисунок 3">
          <a:extLst>
            <a:ext uri="{FF2B5EF4-FFF2-40B4-BE49-F238E27FC236}">
              <a16:creationId xmlns:a16="http://schemas.microsoft.com/office/drawing/2014/main" id="{C238D213-3BC5-4E98-A4F9-2D8885885BE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010400" y="2035175"/>
          <a:ext cx="1647825"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95250</xdr:colOff>
      <xdr:row>25</xdr:row>
      <xdr:rowOff>104775</xdr:rowOff>
    </xdr:from>
    <xdr:to>
      <xdr:col>2</xdr:col>
      <xdr:colOff>1076325</xdr:colOff>
      <xdr:row>27</xdr:row>
      <xdr:rowOff>104775</xdr:rowOff>
    </xdr:to>
    <xdr:pic>
      <xdr:nvPicPr>
        <xdr:cNvPr id="5" name="Рисунок 4">
          <a:extLst>
            <a:ext uri="{FF2B5EF4-FFF2-40B4-BE49-F238E27FC236}">
              <a16:creationId xmlns:a16="http://schemas.microsoft.com/office/drawing/2014/main" id="{70200493-DCE2-47E0-96BE-3F4AD2794EB2}"/>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314450" y="4708525"/>
          <a:ext cx="511175"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47625</xdr:colOff>
      <xdr:row>27</xdr:row>
      <xdr:rowOff>161925</xdr:rowOff>
    </xdr:from>
    <xdr:to>
      <xdr:col>3</xdr:col>
      <xdr:colOff>419100</xdr:colOff>
      <xdr:row>29</xdr:row>
      <xdr:rowOff>180975</xdr:rowOff>
    </xdr:to>
    <xdr:pic>
      <xdr:nvPicPr>
        <xdr:cNvPr id="6" name="Рисунок 5">
          <a:extLst>
            <a:ext uri="{FF2B5EF4-FFF2-40B4-BE49-F238E27FC236}">
              <a16:creationId xmlns:a16="http://schemas.microsoft.com/office/drawing/2014/main" id="{89DCD18E-7969-4171-88C7-3B1130E4558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6825" y="5133975"/>
          <a:ext cx="981075" cy="38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133350</xdr:colOff>
      <xdr:row>30</xdr:row>
      <xdr:rowOff>9525</xdr:rowOff>
    </xdr:from>
    <xdr:to>
      <xdr:col>9</xdr:col>
      <xdr:colOff>133350</xdr:colOff>
      <xdr:row>31</xdr:row>
      <xdr:rowOff>9525</xdr:rowOff>
    </xdr:to>
    <xdr:pic>
      <xdr:nvPicPr>
        <xdr:cNvPr id="7" name="Рисунок 6">
          <a:extLst>
            <a:ext uri="{FF2B5EF4-FFF2-40B4-BE49-F238E27FC236}">
              <a16:creationId xmlns:a16="http://schemas.microsoft.com/office/drawing/2014/main" id="{857767C5-07DF-4772-BE45-A6ED4DDCC0D7}"/>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00550" y="5534025"/>
          <a:ext cx="1219200" cy="18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133350</xdr:colOff>
      <xdr:row>31</xdr:row>
      <xdr:rowOff>28575</xdr:rowOff>
    </xdr:from>
    <xdr:to>
      <xdr:col>8</xdr:col>
      <xdr:colOff>428625</xdr:colOff>
      <xdr:row>32</xdr:row>
      <xdr:rowOff>19050</xdr:rowOff>
    </xdr:to>
    <xdr:pic>
      <xdr:nvPicPr>
        <xdr:cNvPr id="8" name="Рисунок 7">
          <a:extLst>
            <a:ext uri="{FF2B5EF4-FFF2-40B4-BE49-F238E27FC236}">
              <a16:creationId xmlns:a16="http://schemas.microsoft.com/office/drawing/2014/main" id="{B8199367-A738-463A-94E9-B93B0602F0B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400550" y="5737225"/>
          <a:ext cx="904875" cy="174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879475</xdr:colOff>
      <xdr:row>64</xdr:row>
      <xdr:rowOff>98425</xdr:rowOff>
    </xdr:from>
    <xdr:to>
      <xdr:col>8</xdr:col>
      <xdr:colOff>574675</xdr:colOff>
      <xdr:row>66</xdr:row>
      <xdr:rowOff>187325</xdr:rowOff>
    </xdr:to>
    <xdr:pic>
      <xdr:nvPicPr>
        <xdr:cNvPr id="9" name="Рисунок 8">
          <a:extLst>
            <a:ext uri="{FF2B5EF4-FFF2-40B4-BE49-F238E27FC236}">
              <a16:creationId xmlns:a16="http://schemas.microsoft.com/office/drawing/2014/main" id="{219CDC5F-A8D9-474F-BDC4-936C174CD8C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825" y="11884025"/>
          <a:ext cx="2406650"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914400</xdr:colOff>
      <xdr:row>61</xdr:row>
      <xdr:rowOff>133350</xdr:rowOff>
    </xdr:from>
    <xdr:to>
      <xdr:col>6</xdr:col>
      <xdr:colOff>895350</xdr:colOff>
      <xdr:row>64</xdr:row>
      <xdr:rowOff>76200</xdr:rowOff>
    </xdr:to>
    <xdr:pic>
      <xdr:nvPicPr>
        <xdr:cNvPr id="10" name="Рисунок 9">
          <a:extLst>
            <a:ext uri="{FF2B5EF4-FFF2-40B4-BE49-F238E27FC236}">
              <a16:creationId xmlns:a16="http://schemas.microsoft.com/office/drawing/2014/main" id="{9FA6F89A-C011-4C00-8C4E-8701A37C077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8000" y="11366500"/>
          <a:ext cx="12192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66675</xdr:colOff>
      <xdr:row>41</xdr:row>
      <xdr:rowOff>0</xdr:rowOff>
    </xdr:from>
    <xdr:to>
      <xdr:col>1</xdr:col>
      <xdr:colOff>285750</xdr:colOff>
      <xdr:row>42</xdr:row>
      <xdr:rowOff>0</xdr:rowOff>
    </xdr:to>
    <xdr:pic>
      <xdr:nvPicPr>
        <xdr:cNvPr id="11" name="Рисунок 10">
          <a:extLst>
            <a:ext uri="{FF2B5EF4-FFF2-40B4-BE49-F238E27FC236}">
              <a16:creationId xmlns:a16="http://schemas.microsoft.com/office/drawing/2014/main" id="{C34A8290-5A09-4B87-AD15-8C0DCD26957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6675" y="7550150"/>
          <a:ext cx="828675" cy="18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457200</xdr:colOff>
      <xdr:row>41</xdr:row>
      <xdr:rowOff>19050</xdr:rowOff>
    </xdr:from>
    <xdr:to>
      <xdr:col>1</xdr:col>
      <xdr:colOff>1066800</xdr:colOff>
      <xdr:row>42</xdr:row>
      <xdr:rowOff>9525</xdr:rowOff>
    </xdr:to>
    <xdr:pic>
      <xdr:nvPicPr>
        <xdr:cNvPr id="12" name="Рисунок 11">
          <a:extLst>
            <a:ext uri="{FF2B5EF4-FFF2-40B4-BE49-F238E27FC236}">
              <a16:creationId xmlns:a16="http://schemas.microsoft.com/office/drawing/2014/main" id="{1C88B3FF-3D4A-4388-B9F3-63E799B7BC1F}"/>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6800" y="7569200"/>
          <a:ext cx="152400" cy="174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0</xdr:row>
      <xdr:rowOff>0</xdr:rowOff>
    </xdr:from>
    <xdr:to>
      <xdr:col>12</xdr:col>
      <xdr:colOff>0</xdr:colOff>
      <xdr:row>16</xdr:row>
      <xdr:rowOff>9524</xdr:rowOff>
    </xdr:to>
    <xdr:graphicFrame macro="">
      <xdr:nvGraphicFramePr>
        <xdr:cNvPr id="2" name="Диаграмма 1">
          <a:extLst>
            <a:ext uri="{FF2B5EF4-FFF2-40B4-BE49-F238E27FC236}">
              <a16:creationId xmlns:a16="http://schemas.microsoft.com/office/drawing/2014/main" id="{45762C6C-3CEC-43FB-8E8F-8C48DF642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39</xdr:row>
      <xdr:rowOff>85725</xdr:rowOff>
    </xdr:from>
    <xdr:to>
      <xdr:col>3</xdr:col>
      <xdr:colOff>400050</xdr:colOff>
      <xdr:row>42</xdr:row>
      <xdr:rowOff>123825</xdr:rowOff>
    </xdr:to>
    <xdr:pic>
      <xdr:nvPicPr>
        <xdr:cNvPr id="3" name="Рисунок 2">
          <a:extLst>
            <a:ext uri="{FF2B5EF4-FFF2-40B4-BE49-F238E27FC236}">
              <a16:creationId xmlns:a16="http://schemas.microsoft.com/office/drawing/2014/main" id="{35A3E986-5AF6-4FC0-8260-C70C903B13CF}"/>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7267575"/>
          <a:ext cx="10096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107</xdr:row>
      <xdr:rowOff>74834</xdr:rowOff>
    </xdr:from>
    <xdr:to>
      <xdr:col>3</xdr:col>
      <xdr:colOff>400050</xdr:colOff>
      <xdr:row>110</xdr:row>
      <xdr:rowOff>112934</xdr:rowOff>
    </xdr:to>
    <xdr:pic>
      <xdr:nvPicPr>
        <xdr:cNvPr id="4" name="Рисунок 3">
          <a:extLst>
            <a:ext uri="{FF2B5EF4-FFF2-40B4-BE49-F238E27FC236}">
              <a16:creationId xmlns:a16="http://schemas.microsoft.com/office/drawing/2014/main" id="{59D332A3-5D34-48B9-9D8F-F73847807D08}"/>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9778884"/>
          <a:ext cx="10096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693966</xdr:colOff>
      <xdr:row>107</xdr:row>
      <xdr:rowOff>54422</xdr:rowOff>
    </xdr:from>
    <xdr:to>
      <xdr:col>5</xdr:col>
      <xdr:colOff>624569</xdr:colOff>
      <xdr:row>110</xdr:row>
      <xdr:rowOff>137426</xdr:rowOff>
    </xdr:to>
    <xdr:pic>
      <xdr:nvPicPr>
        <xdr:cNvPr id="5" name="Рисунок 4">
          <a:extLst>
            <a:ext uri="{FF2B5EF4-FFF2-40B4-BE49-F238E27FC236}">
              <a16:creationId xmlns:a16="http://schemas.microsoft.com/office/drawing/2014/main" id="{A9CF0BF9-C410-4683-972F-82C06881D6DF}"/>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40216" y="19758472"/>
          <a:ext cx="1219653" cy="635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1018309</xdr:colOff>
      <xdr:row>9</xdr:row>
      <xdr:rowOff>128155</xdr:rowOff>
    </xdr:from>
    <xdr:to>
      <xdr:col>10</xdr:col>
      <xdr:colOff>161925</xdr:colOff>
      <xdr:row>23</xdr:row>
      <xdr:rowOff>126423</xdr:rowOff>
    </xdr:to>
    <xdr:graphicFrame macro="">
      <xdr:nvGraphicFramePr>
        <xdr:cNvPr id="6" name="Диаграмма 5">
          <a:extLst>
            <a:ext uri="{FF2B5EF4-FFF2-40B4-BE49-F238E27FC236}">
              <a16:creationId xmlns:a16="http://schemas.microsoft.com/office/drawing/2014/main" id="{A8DD575B-7B6A-43BF-86FD-3A52931E1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882db537f90a5855/&#1056;&#1072;&#1073;&#1086;&#1095;&#1080;&#1081;%20&#1089;&#1090;&#1086;&#1083;/&#1069;&#1082;&#1086;&#1085;&#1086;&#10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heetName val="3"/>
      <sheetName val="4"/>
      <sheetName val="5"/>
    </sheetNames>
    <sheetDataSet>
      <sheetData sheetId="0"/>
      <sheetData sheetId="1"/>
      <sheetData sheetId="2">
        <row r="1">
          <cell r="B1" t="str">
            <v>K</v>
          </cell>
        </row>
        <row r="2">
          <cell r="A2">
            <v>259.2</v>
          </cell>
          <cell r="B2">
            <v>69051</v>
          </cell>
        </row>
        <row r="3">
          <cell r="A3">
            <v>297.39999999999998</v>
          </cell>
          <cell r="B3">
            <v>89430</v>
          </cell>
        </row>
        <row r="4">
          <cell r="A4">
            <v>453.6</v>
          </cell>
          <cell r="B4">
            <v>105410</v>
          </cell>
        </row>
        <row r="5">
          <cell r="A5">
            <v>473.7</v>
          </cell>
          <cell r="B5">
            <v>175145</v>
          </cell>
        </row>
        <row r="6">
          <cell r="A6">
            <v>517.1</v>
          </cell>
          <cell r="B6">
            <v>196632</v>
          </cell>
        </row>
        <row r="7">
          <cell r="A7">
            <v>547</v>
          </cell>
          <cell r="B7">
            <v>516399</v>
          </cell>
        </row>
        <row r="8">
          <cell r="A8">
            <v>613.79999999999995</v>
          </cell>
          <cell r="B8">
            <v>176428</v>
          </cell>
        </row>
        <row r="9">
          <cell r="A9">
            <v>628.1</v>
          </cell>
          <cell r="B9">
            <v>233387</v>
          </cell>
        </row>
        <row r="10">
          <cell r="A10">
            <v>837.8</v>
          </cell>
          <cell r="B10">
            <v>426384</v>
          </cell>
        </row>
        <row r="11">
          <cell r="A11">
            <v>991.5</v>
          </cell>
          <cell r="B11">
            <v>472475</v>
          </cell>
        </row>
        <row r="12">
          <cell r="A12">
            <v>1062.3</v>
          </cell>
          <cell r="B12">
            <v>595304</v>
          </cell>
        </row>
        <row r="13">
          <cell r="A13">
            <v>1143.5</v>
          </cell>
          <cell r="B13">
            <v>620442</v>
          </cell>
        </row>
        <row r="14">
          <cell r="A14">
            <v>1164.9000000000001</v>
          </cell>
          <cell r="B14">
            <v>698362</v>
          </cell>
        </row>
        <row r="15">
          <cell r="A15">
            <v>1250.5999999999999</v>
          </cell>
          <cell r="B15">
            <v>576345</v>
          </cell>
        </row>
        <row r="48">
          <cell r="B48">
            <v>67270.072770310857</v>
          </cell>
          <cell r="C48">
            <v>1780.9272296891431</v>
          </cell>
        </row>
        <row r="49">
          <cell r="B49">
            <v>90435.004010753968</v>
          </cell>
          <cell r="C49">
            <v>-1005.004010753968</v>
          </cell>
        </row>
        <row r="50">
          <cell r="B50">
            <v>185156.52913528838</v>
          </cell>
          <cell r="C50">
            <v>-79746.52913528838</v>
          </cell>
        </row>
        <row r="51">
          <cell r="B51">
            <v>197345.406568087</v>
          </cell>
          <cell r="C51">
            <v>-22200.406568086997</v>
          </cell>
        </row>
        <row r="52">
          <cell r="B52">
            <v>223663.67923393077</v>
          </cell>
          <cell r="C52">
            <v>-27031.679233930772</v>
          </cell>
        </row>
        <row r="53">
          <cell r="B53">
            <v>241795.39242998435</v>
          </cell>
          <cell r="C53">
            <v>274603.60757001565</v>
          </cell>
        </row>
        <row r="54">
          <cell r="B54">
            <v>282303.70151013095</v>
          </cell>
          <cell r="C54">
            <v>-105875.70151013095</v>
          </cell>
        </row>
        <row r="55">
          <cell r="B55">
            <v>290975.39042998274</v>
          </cell>
          <cell r="C55">
            <v>-57588.390429982741</v>
          </cell>
        </row>
        <row r="56">
          <cell r="B56">
            <v>418139.94752738898</v>
          </cell>
          <cell r="C56">
            <v>8244.0524726110161</v>
          </cell>
        </row>
        <row r="57">
          <cell r="B57">
            <v>511345.44312048081</v>
          </cell>
          <cell r="C57">
            <v>-38870.443120480806</v>
          </cell>
        </row>
        <row r="58">
          <cell r="B58">
            <v>554279.39945093566</v>
          </cell>
          <cell r="C58">
            <v>41024.600549064344</v>
          </cell>
        </row>
        <row r="59">
          <cell r="B59">
            <v>603520.03863219172</v>
          </cell>
          <cell r="C59">
            <v>16921.961367808282</v>
          </cell>
        </row>
        <row r="60">
          <cell r="B60">
            <v>616497.25142134051</v>
          </cell>
          <cell r="C60">
            <v>81864.748578659492</v>
          </cell>
        </row>
        <row r="61">
          <cell r="B61">
            <v>668466.74375919299</v>
          </cell>
          <cell r="C61">
            <v>-92121.743759192992</v>
          </cell>
        </row>
        <row r="69">
          <cell r="B69" t="str">
            <v>Предсказанное K</v>
          </cell>
          <cell r="C69" t="str">
            <v>Нижняя граница</v>
          </cell>
          <cell r="D69" t="str">
            <v>Верхняя граница</v>
          </cell>
        </row>
        <row r="70">
          <cell r="A70">
            <v>259.2</v>
          </cell>
          <cell r="B70">
            <v>67270.072770310857</v>
          </cell>
          <cell r="C70">
            <v>-31432.325030445296</v>
          </cell>
          <cell r="D70">
            <v>165972.47057106701</v>
          </cell>
        </row>
        <row r="71">
          <cell r="A71">
            <v>297.39999999999998</v>
          </cell>
          <cell r="B71">
            <v>90435.004010753968</v>
          </cell>
          <cell r="C71">
            <v>-3052.0394550671335</v>
          </cell>
          <cell r="D71">
            <v>183922.04747657507</v>
          </cell>
        </row>
        <row r="72">
          <cell r="A72">
            <v>453.6</v>
          </cell>
          <cell r="B72">
            <v>185156.52913528838</v>
          </cell>
          <cell r="C72">
            <v>110857.29145752057</v>
          </cell>
          <cell r="D72">
            <v>259455.76681305619</v>
          </cell>
        </row>
        <row r="73">
          <cell r="A73">
            <v>473.7</v>
          </cell>
          <cell r="B73">
            <v>197345.406568087</v>
          </cell>
          <cell r="C73">
            <v>125174.18076421681</v>
          </cell>
          <cell r="D73">
            <v>269516.63237195718</v>
          </cell>
        </row>
        <row r="74">
          <cell r="A74">
            <v>517.1</v>
          </cell>
          <cell r="B74">
            <v>223663.67923393077</v>
          </cell>
          <cell r="C74">
            <v>155726.44474063587</v>
          </cell>
          <cell r="D74">
            <v>291600.91372722568</v>
          </cell>
        </row>
        <row r="75">
          <cell r="A75">
            <v>547</v>
          </cell>
          <cell r="B75">
            <v>241795.39242998435</v>
          </cell>
          <cell r="C75">
            <v>176448.41613378865</v>
          </cell>
          <cell r="D75">
            <v>307142.36872618005</v>
          </cell>
        </row>
        <row r="76">
          <cell r="A76">
            <v>613.79999999999995</v>
          </cell>
          <cell r="B76">
            <v>282303.70151013095</v>
          </cell>
          <cell r="C76">
            <v>221591.82645351638</v>
          </cell>
          <cell r="D76">
            <v>343015.57656674553</v>
          </cell>
        </row>
        <row r="77">
          <cell r="A77">
            <v>628.1</v>
          </cell>
          <cell r="B77">
            <v>290975.39042998274</v>
          </cell>
          <cell r="C77">
            <v>231021.85889992575</v>
          </cell>
          <cell r="D77">
            <v>350928.92196003976</v>
          </cell>
        </row>
        <row r="78">
          <cell r="A78">
            <v>837.8</v>
          </cell>
          <cell r="B78">
            <v>418139.94752738898</v>
          </cell>
          <cell r="C78">
            <v>358036.15738106455</v>
          </cell>
          <cell r="D78">
            <v>478243.73767371342</v>
          </cell>
        </row>
        <row r="79">
          <cell r="A79">
            <v>991.5</v>
          </cell>
          <cell r="B79">
            <v>511345.44312048081</v>
          </cell>
          <cell r="C79">
            <v>438938.6997418463</v>
          </cell>
          <cell r="D79">
            <v>583752.18649911531</v>
          </cell>
        </row>
        <row r="80">
          <cell r="A80">
            <v>1062.3</v>
          </cell>
          <cell r="B80">
            <v>554279.39945093566</v>
          </cell>
          <cell r="C80">
            <v>473943.44287529687</v>
          </cell>
          <cell r="D80">
            <v>634615.35602657439</v>
          </cell>
        </row>
        <row r="81">
          <cell r="A81">
            <v>1143.5</v>
          </cell>
          <cell r="B81">
            <v>603520.03863219172</v>
          </cell>
          <cell r="C81">
            <v>512964.93495795259</v>
          </cell>
          <cell r="D81">
            <v>694075.14230643085</v>
          </cell>
        </row>
        <row r="82">
          <cell r="A82">
            <v>1164.9000000000001</v>
          </cell>
          <cell r="B82">
            <v>616497.25142134051</v>
          </cell>
          <cell r="C82">
            <v>523094.67810382741</v>
          </cell>
          <cell r="D82">
            <v>709899.82473885361</v>
          </cell>
        </row>
        <row r="83">
          <cell r="A83">
            <v>1250.5999999999999</v>
          </cell>
          <cell r="B83">
            <v>668466.74375919299</v>
          </cell>
          <cell r="C83">
            <v>563169.68600030767</v>
          </cell>
          <cell r="D83">
            <v>773763.80151807831</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08D0-609D-4785-BBD6-0B5BD68B8F88}">
  <dimension ref="A1:Q111"/>
  <sheetViews>
    <sheetView zoomScale="80" zoomScaleNormal="80" workbookViewId="0">
      <selection activeCell="D14" sqref="D14"/>
    </sheetView>
  </sheetViews>
  <sheetFormatPr defaultRowHeight="14.5" x14ac:dyDescent="0.35"/>
  <cols>
    <col min="1" max="1" width="12.81640625" style="3" bestFit="1" customWidth="1"/>
    <col min="2" max="2" width="23.453125" style="2" customWidth="1"/>
    <col min="3" max="5" width="8.7265625" style="1"/>
    <col min="6" max="7" width="17.7265625" style="1" customWidth="1"/>
    <col min="8" max="16384" width="8.7265625" style="1"/>
  </cols>
  <sheetData>
    <row r="1" spans="1:17" ht="36.75" customHeight="1" thickTop="1" thickBot="1" x14ac:dyDescent="0.45">
      <c r="A1" s="14" t="s">
        <v>18</v>
      </c>
      <c r="B1" s="15" t="s">
        <v>17</v>
      </c>
      <c r="C1" s="14" t="s">
        <v>16</v>
      </c>
      <c r="D1" s="14" t="s">
        <v>15</v>
      </c>
      <c r="E1" s="14" t="s">
        <v>14</v>
      </c>
      <c r="F1" s="14" t="s">
        <v>13</v>
      </c>
      <c r="G1" s="14" t="s">
        <v>12</v>
      </c>
      <c r="H1" s="14" t="s">
        <v>11</v>
      </c>
      <c r="I1" s="4"/>
      <c r="J1" s="12" t="s">
        <v>10</v>
      </c>
      <c r="K1" s="12"/>
      <c r="L1" s="12"/>
      <c r="M1" s="12"/>
      <c r="N1" s="12"/>
      <c r="O1" s="12"/>
      <c r="P1" s="12"/>
      <c r="Q1" s="12"/>
    </row>
    <row r="2" spans="1:17" ht="18.5" thickTop="1" x14ac:dyDescent="0.4">
      <c r="A2" s="6">
        <v>37.6</v>
      </c>
      <c r="B2" s="5">
        <v>15.4</v>
      </c>
      <c r="C2" s="13">
        <f>COUNT(B2:B111)</f>
        <v>110</v>
      </c>
      <c r="D2" s="13">
        <f>B2</f>
        <v>15.4</v>
      </c>
      <c r="E2" s="13">
        <f>B111</f>
        <v>47.5</v>
      </c>
      <c r="F2" s="13">
        <f>E2-D2</f>
        <v>32.1</v>
      </c>
      <c r="G2" s="13">
        <f>ROUND(LOG(C2,2)+1,0)</f>
        <v>8</v>
      </c>
      <c r="H2" s="13">
        <f>F2/G2</f>
        <v>4.0125000000000002</v>
      </c>
      <c r="I2" s="4"/>
      <c r="J2" s="12"/>
      <c r="K2" s="12"/>
      <c r="L2" s="12"/>
      <c r="M2" s="12"/>
      <c r="N2" s="12"/>
      <c r="O2" s="12"/>
      <c r="P2" s="12"/>
      <c r="Q2" s="12"/>
    </row>
    <row r="3" spans="1:17" ht="18.5" thickBot="1" x14ac:dyDescent="0.45">
      <c r="A3" s="6">
        <v>29.9</v>
      </c>
      <c r="B3" s="5">
        <v>17.600000000000001</v>
      </c>
      <c r="C3" s="4"/>
      <c r="D3" s="4"/>
      <c r="E3" s="4"/>
      <c r="F3" s="4"/>
      <c r="G3" s="4"/>
      <c r="H3" s="4"/>
      <c r="I3" s="4"/>
      <c r="J3" s="12"/>
      <c r="K3" s="12"/>
      <c r="L3" s="12"/>
      <c r="M3" s="12"/>
      <c r="N3" s="12"/>
      <c r="O3" s="12"/>
      <c r="P3" s="12"/>
      <c r="Q3" s="12"/>
    </row>
    <row r="4" spans="1:17" ht="19" thickTop="1" thickBot="1" x14ac:dyDescent="0.45">
      <c r="A4" s="6">
        <v>35.799999999999997</v>
      </c>
      <c r="B4" s="5">
        <v>18.399999999999999</v>
      </c>
      <c r="C4" s="4"/>
      <c r="D4" s="4"/>
      <c r="E4" s="11" t="s">
        <v>9</v>
      </c>
      <c r="F4" s="11"/>
      <c r="G4" s="11"/>
      <c r="H4" s="11"/>
      <c r="I4" s="11"/>
      <c r="J4" s="11"/>
      <c r="K4" s="11"/>
      <c r="L4" s="4"/>
      <c r="M4" s="4"/>
      <c r="N4" s="4"/>
      <c r="O4" s="4"/>
      <c r="P4" s="4"/>
      <c r="Q4" s="4"/>
    </row>
    <row r="5" spans="1:17" ht="19" thickTop="1" thickBot="1" x14ac:dyDescent="0.45">
      <c r="A5" s="6">
        <v>26.7</v>
      </c>
      <c r="B5" s="5">
        <v>19.5</v>
      </c>
      <c r="C5" s="4"/>
      <c r="D5" s="6"/>
      <c r="E5" s="10" t="s">
        <v>5</v>
      </c>
      <c r="F5" s="9" t="s">
        <v>8</v>
      </c>
      <c r="G5" s="9" t="s">
        <v>7</v>
      </c>
      <c r="H5" s="9" t="s">
        <v>3</v>
      </c>
      <c r="I5" s="9" t="s">
        <v>2</v>
      </c>
      <c r="J5" s="9" t="s">
        <v>1</v>
      </c>
      <c r="K5" s="9" t="s">
        <v>0</v>
      </c>
      <c r="L5" s="4"/>
      <c r="M5" s="4"/>
      <c r="N5" s="4"/>
      <c r="O5" s="4"/>
      <c r="P5" s="4"/>
      <c r="Q5" s="4"/>
    </row>
    <row r="6" spans="1:17" ht="18.5" thickTop="1" x14ac:dyDescent="0.4">
      <c r="A6" s="6">
        <v>29.1</v>
      </c>
      <c r="B6" s="5">
        <v>20.399999999999999</v>
      </c>
      <c r="C6" s="4"/>
      <c r="D6" s="4"/>
      <c r="E6" s="8">
        <v>1</v>
      </c>
      <c r="F6" s="8">
        <f>D2</f>
        <v>15.4</v>
      </c>
      <c r="G6" s="8">
        <f>D2+H2</f>
        <v>19.412500000000001</v>
      </c>
      <c r="H6" s="8">
        <f>COUNT(B2:B4)</f>
        <v>3</v>
      </c>
      <c r="I6" s="8">
        <f>H6</f>
        <v>3</v>
      </c>
      <c r="J6" s="8">
        <f>H6/$C$2</f>
        <v>2.7272727272727271E-2</v>
      </c>
      <c r="K6" s="8">
        <f>I6/$C$2</f>
        <v>2.7272727272727271E-2</v>
      </c>
      <c r="L6" s="4"/>
      <c r="M6" s="4"/>
      <c r="N6" s="4"/>
      <c r="O6" s="4"/>
      <c r="P6" s="4"/>
      <c r="Q6" s="4"/>
    </row>
    <row r="7" spans="1:17" ht="18" x14ac:dyDescent="0.4">
      <c r="A7" s="6">
        <v>21</v>
      </c>
      <c r="B7" s="5">
        <v>21</v>
      </c>
      <c r="C7" s="4"/>
      <c r="D7" s="4"/>
      <c r="E7" s="8">
        <v>2</v>
      </c>
      <c r="F7" s="8">
        <f>G6</f>
        <v>19.412500000000001</v>
      </c>
      <c r="G7" s="8">
        <f>F7+H2</f>
        <v>23.425000000000001</v>
      </c>
      <c r="H7" s="8">
        <f>COUNT(B5:B16)</f>
        <v>12</v>
      </c>
      <c r="I7" s="8">
        <f>I6+H7</f>
        <v>15</v>
      </c>
      <c r="J7" s="8">
        <f>H7/$C$2</f>
        <v>0.10909090909090909</v>
      </c>
      <c r="K7" s="8">
        <f>I7/$C$2</f>
        <v>0.13636363636363635</v>
      </c>
      <c r="L7" s="4"/>
      <c r="M7" s="4"/>
      <c r="N7" s="4"/>
      <c r="O7" s="4"/>
      <c r="P7" s="4"/>
      <c r="Q7" s="4"/>
    </row>
    <row r="8" spans="1:17" ht="18" x14ac:dyDescent="0.4">
      <c r="A8" s="6">
        <v>29.3</v>
      </c>
      <c r="B8" s="5">
        <v>21</v>
      </c>
      <c r="C8" s="4"/>
      <c r="D8" s="4"/>
      <c r="E8" s="8">
        <v>3</v>
      </c>
      <c r="F8" s="8">
        <f>G7</f>
        <v>23.425000000000001</v>
      </c>
      <c r="G8" s="8">
        <f>F8+H2</f>
        <v>27.4375</v>
      </c>
      <c r="H8" s="8">
        <f>COUNT(B17:B33)</f>
        <v>17</v>
      </c>
      <c r="I8" s="8">
        <f>I7+H8</f>
        <v>32</v>
      </c>
      <c r="J8" s="8">
        <f>H8/$C$2</f>
        <v>0.15454545454545454</v>
      </c>
      <c r="K8" s="8">
        <f>I8/$C$2</f>
        <v>0.29090909090909089</v>
      </c>
      <c r="L8" s="4"/>
      <c r="M8" s="4"/>
      <c r="N8" s="4"/>
      <c r="O8" s="4"/>
      <c r="P8" s="4"/>
      <c r="Q8" s="4"/>
    </row>
    <row r="9" spans="1:17" ht="18" x14ac:dyDescent="0.4">
      <c r="A9" s="6">
        <v>29</v>
      </c>
      <c r="B9" s="5">
        <v>21.2</v>
      </c>
      <c r="C9" s="4"/>
      <c r="D9" s="4"/>
      <c r="E9" s="8">
        <v>4</v>
      </c>
      <c r="F9" s="8">
        <f>G8</f>
        <v>27.4375</v>
      </c>
      <c r="G9" s="8">
        <f>F9+H2</f>
        <v>31.45</v>
      </c>
      <c r="H9" s="8">
        <f>COUNT(B34:B63)</f>
        <v>30</v>
      </c>
      <c r="I9" s="8">
        <f>I8+H9</f>
        <v>62</v>
      </c>
      <c r="J9" s="8">
        <f>H9/$C$2</f>
        <v>0.27272727272727271</v>
      </c>
      <c r="K9" s="8">
        <f>I9/$C$2</f>
        <v>0.5636363636363636</v>
      </c>
      <c r="L9" s="4"/>
      <c r="M9" s="4"/>
      <c r="N9" s="4"/>
      <c r="O9" s="4"/>
      <c r="P9" s="4"/>
      <c r="Q9" s="4"/>
    </row>
    <row r="10" spans="1:17" ht="18" x14ac:dyDescent="0.4">
      <c r="A10" s="6">
        <v>34.200000000000003</v>
      </c>
      <c r="B10" s="5">
        <v>21.8</v>
      </c>
      <c r="C10" s="4"/>
      <c r="D10" s="4"/>
      <c r="E10" s="8">
        <v>5</v>
      </c>
      <c r="F10" s="8">
        <f>G9</f>
        <v>31.45</v>
      </c>
      <c r="G10" s="8">
        <f>F10+H2</f>
        <v>35.462499999999999</v>
      </c>
      <c r="H10" s="8">
        <f>COUNT(B64:B87)</f>
        <v>24</v>
      </c>
      <c r="I10" s="8">
        <f>I9+H10</f>
        <v>86</v>
      </c>
      <c r="J10" s="8">
        <f>H10/$C$2</f>
        <v>0.21818181818181817</v>
      </c>
      <c r="K10" s="8">
        <f>I10/$C$2</f>
        <v>0.78181818181818186</v>
      </c>
      <c r="L10" s="4"/>
      <c r="M10" s="4"/>
      <c r="N10" s="4"/>
      <c r="O10" s="4"/>
      <c r="P10" s="4"/>
      <c r="Q10" s="4"/>
    </row>
    <row r="11" spans="1:17" ht="18" x14ac:dyDescent="0.4">
      <c r="A11" s="6">
        <v>29</v>
      </c>
      <c r="B11" s="5">
        <v>21.9</v>
      </c>
      <c r="C11" s="4"/>
      <c r="D11" s="4"/>
      <c r="E11" s="8">
        <v>6</v>
      </c>
      <c r="F11" s="8">
        <f>G10</f>
        <v>35.462499999999999</v>
      </c>
      <c r="G11" s="8">
        <f>F11+H2</f>
        <v>39.475000000000001</v>
      </c>
      <c r="H11" s="8">
        <f>COUNT(B88:B103)</f>
        <v>16</v>
      </c>
      <c r="I11" s="8">
        <f>I10+H11</f>
        <v>102</v>
      </c>
      <c r="J11" s="8">
        <f>H11/$C$2</f>
        <v>0.14545454545454545</v>
      </c>
      <c r="K11" s="8">
        <f>I11/$C$2</f>
        <v>0.92727272727272725</v>
      </c>
      <c r="L11" s="4"/>
      <c r="M11" s="4"/>
      <c r="N11" s="4"/>
      <c r="O11" s="4"/>
      <c r="P11" s="4"/>
      <c r="Q11" s="4"/>
    </row>
    <row r="12" spans="1:17" ht="18" x14ac:dyDescent="0.4">
      <c r="A12" s="6">
        <v>28.4</v>
      </c>
      <c r="B12" s="5">
        <v>21.9</v>
      </c>
      <c r="C12" s="4"/>
      <c r="D12" s="4"/>
      <c r="E12" s="8">
        <v>7</v>
      </c>
      <c r="F12" s="8">
        <f>G11</f>
        <v>39.475000000000001</v>
      </c>
      <c r="G12" s="8">
        <f>F12+H2</f>
        <v>43.487500000000004</v>
      </c>
      <c r="H12" s="8">
        <f>COUNT(B104:B107)</f>
        <v>4</v>
      </c>
      <c r="I12" s="8">
        <f>I11+H12</f>
        <v>106</v>
      </c>
      <c r="J12" s="8">
        <f>H12/$C$2</f>
        <v>3.6363636363636362E-2</v>
      </c>
      <c r="K12" s="8">
        <f>I12/$C$2</f>
        <v>0.96363636363636362</v>
      </c>
      <c r="L12" s="4"/>
      <c r="M12" s="4"/>
      <c r="N12" s="4"/>
      <c r="O12" s="4"/>
      <c r="P12" s="4"/>
      <c r="Q12" s="4"/>
    </row>
    <row r="13" spans="1:17" ht="18" x14ac:dyDescent="0.4">
      <c r="A13" s="6">
        <v>29.2</v>
      </c>
      <c r="B13" s="5">
        <v>22.1</v>
      </c>
      <c r="C13" s="4"/>
      <c r="D13" s="4"/>
      <c r="E13" s="8">
        <v>8</v>
      </c>
      <c r="F13" s="8">
        <f>G12</f>
        <v>43.487500000000004</v>
      </c>
      <c r="G13" s="8">
        <f>F13+H2</f>
        <v>47.500000000000007</v>
      </c>
      <c r="H13" s="8">
        <f>COUNT(B108:B111)</f>
        <v>4</v>
      </c>
      <c r="I13" s="8">
        <f>I12+H13</f>
        <v>110</v>
      </c>
      <c r="J13" s="8">
        <f>H13/$C$2</f>
        <v>3.6363636363636362E-2</v>
      </c>
      <c r="K13" s="8">
        <f>I13/$C$2</f>
        <v>1</v>
      </c>
      <c r="L13" s="4"/>
      <c r="M13" s="4"/>
      <c r="N13" s="4"/>
      <c r="O13" s="4"/>
      <c r="P13" s="4"/>
      <c r="Q13" s="4"/>
    </row>
    <row r="14" spans="1:17" ht="18.5" thickBot="1" x14ac:dyDescent="0.45">
      <c r="A14" s="6">
        <v>29.9</v>
      </c>
      <c r="B14" s="5">
        <v>22.8</v>
      </c>
      <c r="C14" s="4"/>
      <c r="D14" s="4"/>
      <c r="E14" s="4"/>
      <c r="F14" s="4"/>
      <c r="G14" s="4"/>
      <c r="H14" s="4"/>
      <c r="I14" s="4"/>
      <c r="J14" s="7">
        <f>SUM(J6:J13)</f>
        <v>1</v>
      </c>
      <c r="K14" s="4"/>
      <c r="L14" s="4"/>
      <c r="M14" s="4"/>
      <c r="N14" s="4"/>
      <c r="O14" s="4"/>
      <c r="P14" s="4"/>
      <c r="Q14" s="4"/>
    </row>
    <row r="15" spans="1:17" ht="19" thickTop="1" thickBot="1" x14ac:dyDescent="0.45">
      <c r="A15" s="6">
        <v>25.5</v>
      </c>
      <c r="B15" s="5">
        <v>22.9</v>
      </c>
      <c r="C15" s="4"/>
      <c r="D15" s="4"/>
      <c r="E15" s="4"/>
      <c r="F15" s="11" t="s">
        <v>6</v>
      </c>
      <c r="G15" s="11"/>
      <c r="H15" s="11"/>
      <c r="I15" s="11"/>
      <c r="J15" s="11"/>
      <c r="K15" s="11"/>
      <c r="L15" s="4"/>
      <c r="M15" s="4"/>
      <c r="N15" s="4"/>
      <c r="O15" s="4"/>
      <c r="P15" s="4"/>
      <c r="Q15" s="4"/>
    </row>
    <row r="16" spans="1:17" ht="19" thickTop="1" thickBot="1" x14ac:dyDescent="0.45">
      <c r="A16" s="6">
        <v>28.3</v>
      </c>
      <c r="B16" s="5">
        <v>23.2</v>
      </c>
      <c r="C16" s="4"/>
      <c r="D16" s="4"/>
      <c r="E16" s="4"/>
      <c r="F16" s="10" t="s">
        <v>5</v>
      </c>
      <c r="G16" s="9" t="s">
        <v>4</v>
      </c>
      <c r="H16" s="9" t="s">
        <v>3</v>
      </c>
      <c r="I16" s="9" t="s">
        <v>2</v>
      </c>
      <c r="J16" s="9" t="s">
        <v>1</v>
      </c>
      <c r="K16" s="9" t="s">
        <v>0</v>
      </c>
      <c r="L16" s="4"/>
      <c r="M16" s="4"/>
      <c r="N16" s="4"/>
      <c r="O16" s="4"/>
      <c r="P16" s="4"/>
      <c r="Q16" s="4"/>
    </row>
    <row r="17" spans="1:17" ht="18.5" thickTop="1" x14ac:dyDescent="0.4">
      <c r="A17" s="6">
        <v>27.5</v>
      </c>
      <c r="B17" s="5">
        <v>24</v>
      </c>
      <c r="C17" s="4"/>
      <c r="D17" s="4"/>
      <c r="E17" s="4"/>
      <c r="F17" s="8">
        <v>1</v>
      </c>
      <c r="G17" s="8">
        <f>AVERAGE(F6:G6)</f>
        <v>17.40625</v>
      </c>
      <c r="H17" s="8">
        <v>3</v>
      </c>
      <c r="I17" s="8">
        <v>3</v>
      </c>
      <c r="J17" s="8">
        <v>2.7272727272727271E-2</v>
      </c>
      <c r="K17" s="8">
        <v>2.7272727272727271E-2</v>
      </c>
      <c r="L17" s="4"/>
      <c r="M17" s="4"/>
      <c r="N17" s="4"/>
      <c r="O17" s="4"/>
      <c r="P17" s="4"/>
      <c r="Q17" s="4"/>
    </row>
    <row r="18" spans="1:17" ht="18" x14ac:dyDescent="0.4">
      <c r="A18" s="6">
        <v>24.7</v>
      </c>
      <c r="B18" s="5">
        <v>24</v>
      </c>
      <c r="C18" s="4"/>
      <c r="D18" s="4"/>
      <c r="E18" s="4"/>
      <c r="F18" s="8">
        <v>2</v>
      </c>
      <c r="G18" s="8">
        <f>AVERAGE(F7:G7)</f>
        <v>21.418750000000003</v>
      </c>
      <c r="H18" s="8">
        <v>12</v>
      </c>
      <c r="I18" s="8">
        <v>15</v>
      </c>
      <c r="J18" s="8">
        <v>0.10909090909090909</v>
      </c>
      <c r="K18" s="8">
        <v>0.13636363636363635</v>
      </c>
      <c r="L18" s="4"/>
      <c r="M18" s="4"/>
      <c r="N18" s="4"/>
      <c r="O18" s="4"/>
      <c r="P18" s="4"/>
      <c r="Q18" s="4"/>
    </row>
    <row r="19" spans="1:17" ht="18" x14ac:dyDescent="0.4">
      <c r="A19" s="6">
        <v>47.1</v>
      </c>
      <c r="B19" s="5">
        <v>24.4</v>
      </c>
      <c r="C19" s="4"/>
      <c r="D19" s="4"/>
      <c r="E19" s="4"/>
      <c r="F19" s="8">
        <v>3</v>
      </c>
      <c r="G19" s="8">
        <f>AVERAGE(F8:G8)</f>
        <v>25.431249999999999</v>
      </c>
      <c r="H19" s="8">
        <v>17</v>
      </c>
      <c r="I19" s="8">
        <v>32</v>
      </c>
      <c r="J19" s="8">
        <v>0.15454545454545454</v>
      </c>
      <c r="K19" s="8">
        <v>0.29090909090909089</v>
      </c>
      <c r="L19" s="4"/>
      <c r="M19" s="4"/>
      <c r="N19" s="4"/>
      <c r="O19" s="4"/>
      <c r="P19" s="4"/>
      <c r="Q19" s="4"/>
    </row>
    <row r="20" spans="1:17" ht="18" x14ac:dyDescent="0.4">
      <c r="A20" s="6">
        <v>31.8</v>
      </c>
      <c r="B20" s="5">
        <v>24.7</v>
      </c>
      <c r="C20" s="4"/>
      <c r="D20" s="4"/>
      <c r="E20" s="4"/>
      <c r="F20" s="8">
        <v>4</v>
      </c>
      <c r="G20" s="8">
        <f>AVERAGE(F9:G9)</f>
        <v>29.443750000000001</v>
      </c>
      <c r="H20" s="8">
        <v>30</v>
      </c>
      <c r="I20" s="8">
        <v>62</v>
      </c>
      <c r="J20" s="8">
        <v>0.27272727272727271</v>
      </c>
      <c r="K20" s="8">
        <v>0.5636363636363636</v>
      </c>
      <c r="L20" s="4"/>
      <c r="M20" s="4"/>
      <c r="N20" s="4"/>
      <c r="O20" s="4"/>
      <c r="P20" s="4"/>
      <c r="Q20" s="4"/>
    </row>
    <row r="21" spans="1:17" ht="18" x14ac:dyDescent="0.4">
      <c r="A21" s="6">
        <v>33.9</v>
      </c>
      <c r="B21" s="5">
        <v>24.7</v>
      </c>
      <c r="C21" s="4"/>
      <c r="D21" s="4"/>
      <c r="E21" s="4"/>
      <c r="F21" s="8">
        <v>5</v>
      </c>
      <c r="G21" s="8">
        <f>AVERAGE(F10:G10)</f>
        <v>33.456249999999997</v>
      </c>
      <c r="H21" s="8">
        <v>24</v>
      </c>
      <c r="I21" s="8">
        <v>86</v>
      </c>
      <c r="J21" s="8">
        <v>0.21818181818181817</v>
      </c>
      <c r="K21" s="8">
        <v>0.78181818181818186</v>
      </c>
      <c r="L21" s="4"/>
      <c r="M21" s="4"/>
      <c r="N21" s="4"/>
      <c r="O21" s="4"/>
      <c r="P21" s="4"/>
      <c r="Q21" s="4"/>
    </row>
    <row r="22" spans="1:17" ht="18" x14ac:dyDescent="0.4">
      <c r="A22" s="6">
        <v>26.5</v>
      </c>
      <c r="B22" s="5">
        <v>25.2</v>
      </c>
      <c r="C22" s="4"/>
      <c r="D22" s="4"/>
      <c r="E22" s="4"/>
      <c r="F22" s="8">
        <v>6</v>
      </c>
      <c r="G22" s="8">
        <f>AVERAGE(F11:G11)</f>
        <v>37.46875</v>
      </c>
      <c r="H22" s="8">
        <v>16</v>
      </c>
      <c r="I22" s="8">
        <v>102</v>
      </c>
      <c r="J22" s="8">
        <v>0.14545454545454545</v>
      </c>
      <c r="K22" s="8">
        <v>0.92727272727272725</v>
      </c>
      <c r="L22" s="4"/>
      <c r="M22" s="4"/>
      <c r="N22" s="4"/>
      <c r="O22" s="4"/>
      <c r="P22" s="4"/>
      <c r="Q22" s="4"/>
    </row>
    <row r="23" spans="1:17" ht="18" x14ac:dyDescent="0.4">
      <c r="A23" s="6">
        <v>29.2</v>
      </c>
      <c r="B23" s="5">
        <v>25.5</v>
      </c>
      <c r="C23" s="4"/>
      <c r="D23" s="4"/>
      <c r="E23" s="4"/>
      <c r="F23" s="8">
        <v>7</v>
      </c>
      <c r="G23" s="8">
        <f>AVERAGE(F12:G12)</f>
        <v>41.481250000000003</v>
      </c>
      <c r="H23" s="8">
        <v>4</v>
      </c>
      <c r="I23" s="8">
        <v>106</v>
      </c>
      <c r="J23" s="8">
        <v>3.6363636363636362E-2</v>
      </c>
      <c r="K23" s="8">
        <v>0.96363636363636362</v>
      </c>
      <c r="L23" s="4"/>
      <c r="M23" s="4"/>
      <c r="N23" s="4"/>
      <c r="O23" s="4"/>
      <c r="P23" s="4"/>
      <c r="Q23" s="4"/>
    </row>
    <row r="24" spans="1:17" ht="18" x14ac:dyDescent="0.4">
      <c r="A24" s="6">
        <v>39.6</v>
      </c>
      <c r="B24" s="5">
        <v>25.5</v>
      </c>
      <c r="C24" s="4"/>
      <c r="D24" s="4"/>
      <c r="E24" s="4"/>
      <c r="F24" s="8">
        <v>8</v>
      </c>
      <c r="G24" s="8">
        <f>AVERAGE(F13:G13)</f>
        <v>45.493750000000006</v>
      </c>
      <c r="H24" s="8">
        <v>4</v>
      </c>
      <c r="I24" s="8">
        <v>110</v>
      </c>
      <c r="J24" s="8">
        <v>3.6363636363636362E-2</v>
      </c>
      <c r="K24" s="8">
        <v>1</v>
      </c>
      <c r="L24" s="4"/>
      <c r="M24" s="4"/>
      <c r="N24" s="4"/>
      <c r="O24" s="4"/>
      <c r="P24" s="4"/>
      <c r="Q24" s="4"/>
    </row>
    <row r="25" spans="1:17" ht="18" x14ac:dyDescent="0.4">
      <c r="A25" s="6">
        <v>26.2</v>
      </c>
      <c r="B25" s="5">
        <v>25.9</v>
      </c>
      <c r="C25" s="4"/>
      <c r="D25" s="4"/>
      <c r="E25" s="4"/>
      <c r="F25" s="4"/>
      <c r="G25" s="4"/>
      <c r="H25" s="4"/>
      <c r="I25" s="4"/>
      <c r="J25" s="7">
        <f>SUM(J17:J24)</f>
        <v>1</v>
      </c>
      <c r="K25" s="4"/>
      <c r="L25" s="4"/>
      <c r="M25" s="4"/>
      <c r="N25" s="4"/>
      <c r="O25" s="4"/>
      <c r="P25" s="4"/>
      <c r="Q25" s="4"/>
    </row>
    <row r="26" spans="1:17" ht="18" x14ac:dyDescent="0.4">
      <c r="A26" s="6">
        <v>40.4</v>
      </c>
      <c r="B26" s="5">
        <v>26.2</v>
      </c>
      <c r="C26" s="4"/>
      <c r="D26" s="4"/>
      <c r="E26" s="4"/>
      <c r="F26" s="4"/>
      <c r="G26" s="4"/>
      <c r="H26" s="4"/>
      <c r="I26" s="4"/>
      <c r="J26" s="4"/>
      <c r="K26" s="4"/>
      <c r="L26" s="4"/>
      <c r="M26" s="4"/>
      <c r="N26" s="4"/>
      <c r="O26" s="4"/>
      <c r="P26" s="4"/>
      <c r="Q26" s="4"/>
    </row>
    <row r="27" spans="1:17" ht="18" x14ac:dyDescent="0.4">
      <c r="A27" s="6">
        <v>23.2</v>
      </c>
      <c r="B27" s="5">
        <v>26.3</v>
      </c>
      <c r="C27" s="4"/>
      <c r="D27" s="4"/>
      <c r="E27" s="4"/>
      <c r="F27" s="4"/>
      <c r="G27" s="4"/>
      <c r="H27" s="4"/>
      <c r="I27" s="4"/>
      <c r="J27" s="4"/>
      <c r="K27" s="4"/>
      <c r="L27" s="4"/>
      <c r="M27" s="4"/>
      <c r="N27" s="4"/>
      <c r="O27" s="4"/>
      <c r="P27" s="4"/>
      <c r="Q27" s="4"/>
    </row>
    <row r="28" spans="1:17" ht="18" x14ac:dyDescent="0.4">
      <c r="A28" s="6">
        <v>33.700000000000003</v>
      </c>
      <c r="B28" s="5">
        <v>26.5</v>
      </c>
      <c r="C28" s="4"/>
      <c r="D28" s="4"/>
      <c r="E28" s="4"/>
      <c r="F28" s="4"/>
      <c r="G28" s="4"/>
      <c r="H28" s="4"/>
      <c r="I28" s="4"/>
      <c r="J28" s="4"/>
      <c r="K28" s="4"/>
      <c r="L28" s="4"/>
      <c r="M28" s="4"/>
      <c r="N28" s="4"/>
      <c r="O28" s="4"/>
      <c r="P28" s="4"/>
      <c r="Q28" s="4"/>
    </row>
    <row r="29" spans="1:17" ht="18" x14ac:dyDescent="0.4">
      <c r="A29" s="6">
        <v>28.7</v>
      </c>
      <c r="B29" s="5">
        <v>26.7</v>
      </c>
      <c r="C29" s="4"/>
      <c r="D29" s="4"/>
      <c r="E29" s="4"/>
      <c r="F29" s="4"/>
      <c r="G29" s="4"/>
      <c r="H29" s="4"/>
      <c r="I29" s="4"/>
      <c r="J29" s="4"/>
      <c r="K29" s="4"/>
      <c r="L29" s="4"/>
      <c r="M29" s="4"/>
      <c r="N29" s="4"/>
      <c r="O29" s="4"/>
      <c r="P29" s="4"/>
      <c r="Q29" s="4"/>
    </row>
    <row r="30" spans="1:17" ht="18" x14ac:dyDescent="0.4">
      <c r="A30" s="6">
        <v>38.1</v>
      </c>
      <c r="B30" s="5">
        <v>26.7</v>
      </c>
      <c r="C30" s="4"/>
      <c r="D30" s="4"/>
      <c r="E30" s="4"/>
      <c r="F30" s="4"/>
      <c r="G30" s="4"/>
      <c r="H30" s="4"/>
      <c r="I30" s="4"/>
      <c r="J30" s="4"/>
      <c r="K30" s="4"/>
      <c r="L30" s="4"/>
      <c r="M30" s="4"/>
      <c r="N30" s="4"/>
      <c r="O30" s="4"/>
      <c r="P30" s="4"/>
      <c r="Q30" s="4"/>
    </row>
    <row r="31" spans="1:17" ht="18" x14ac:dyDescent="0.4">
      <c r="A31" s="6">
        <v>24.4</v>
      </c>
      <c r="B31" s="5">
        <v>26.9</v>
      </c>
      <c r="C31" s="4"/>
      <c r="D31" s="4"/>
      <c r="E31" s="4"/>
      <c r="F31" s="4"/>
      <c r="G31" s="4"/>
      <c r="H31" s="4"/>
      <c r="I31" s="4"/>
      <c r="J31" s="4"/>
      <c r="K31" s="4"/>
      <c r="L31" s="4"/>
      <c r="M31" s="4"/>
      <c r="N31" s="4"/>
      <c r="O31" s="4"/>
      <c r="P31" s="4"/>
      <c r="Q31" s="4"/>
    </row>
    <row r="32" spans="1:17" ht="18" x14ac:dyDescent="0.4">
      <c r="A32" s="6">
        <v>21.8</v>
      </c>
      <c r="B32" s="5">
        <v>27</v>
      </c>
      <c r="C32" s="4"/>
      <c r="D32" s="4"/>
      <c r="E32" s="4"/>
      <c r="F32" s="4"/>
      <c r="G32" s="4"/>
      <c r="H32" s="4"/>
      <c r="I32" s="4"/>
      <c r="J32" s="4"/>
      <c r="K32" s="4"/>
      <c r="L32" s="4"/>
      <c r="M32" s="4"/>
      <c r="N32" s="4"/>
      <c r="O32" s="4"/>
      <c r="P32" s="4"/>
      <c r="Q32" s="4"/>
    </row>
    <row r="33" spans="1:17" ht="18" x14ac:dyDescent="0.4">
      <c r="A33" s="6">
        <v>36.200000000000003</v>
      </c>
      <c r="B33" s="5">
        <v>27.1</v>
      </c>
      <c r="C33" s="4"/>
      <c r="D33" s="4"/>
      <c r="E33" s="4"/>
      <c r="F33" s="4"/>
      <c r="G33" s="4"/>
      <c r="H33" s="4"/>
      <c r="I33" s="4"/>
      <c r="J33" s="4"/>
      <c r="K33" s="4"/>
      <c r="L33" s="4"/>
      <c r="M33" s="4"/>
      <c r="N33" s="4"/>
      <c r="O33" s="4"/>
      <c r="P33" s="4"/>
      <c r="Q33" s="4"/>
    </row>
    <row r="34" spans="1:17" ht="18" x14ac:dyDescent="0.4">
      <c r="A34" s="6">
        <v>44.3</v>
      </c>
      <c r="B34" s="5">
        <v>27.5</v>
      </c>
      <c r="C34" s="4"/>
      <c r="D34" s="4"/>
      <c r="E34" s="4"/>
      <c r="F34" s="4"/>
      <c r="G34" s="4"/>
      <c r="H34" s="4"/>
      <c r="I34" s="4"/>
      <c r="J34" s="4"/>
      <c r="K34" s="4"/>
      <c r="L34" s="4"/>
      <c r="M34" s="4"/>
      <c r="N34" s="4"/>
      <c r="O34" s="4"/>
      <c r="P34" s="4"/>
      <c r="Q34" s="4"/>
    </row>
    <row r="35" spans="1:17" ht="18" x14ac:dyDescent="0.4">
      <c r="A35" s="6">
        <v>21.9</v>
      </c>
      <c r="B35" s="5">
        <v>27.5</v>
      </c>
      <c r="C35" s="4"/>
      <c r="D35" s="4"/>
      <c r="E35" s="4"/>
      <c r="F35" s="4"/>
      <c r="G35" s="4"/>
      <c r="H35" s="4"/>
      <c r="I35" s="4"/>
      <c r="J35" s="4"/>
      <c r="K35" s="4"/>
      <c r="L35" s="4"/>
      <c r="M35" s="4"/>
      <c r="N35" s="4"/>
      <c r="O35" s="4"/>
      <c r="P35" s="4"/>
      <c r="Q35" s="4"/>
    </row>
    <row r="36" spans="1:17" ht="18" x14ac:dyDescent="0.4">
      <c r="A36" s="6">
        <v>26.3</v>
      </c>
      <c r="B36" s="5">
        <v>28.1</v>
      </c>
      <c r="C36" s="4"/>
      <c r="D36" s="4"/>
      <c r="E36" s="4"/>
      <c r="F36" s="4"/>
      <c r="G36" s="4"/>
      <c r="H36" s="4"/>
      <c r="I36" s="4"/>
      <c r="J36" s="4"/>
      <c r="K36" s="4"/>
      <c r="L36" s="4"/>
      <c r="M36" s="4"/>
      <c r="N36" s="4"/>
      <c r="O36" s="4"/>
      <c r="P36" s="4"/>
      <c r="Q36" s="4"/>
    </row>
    <row r="37" spans="1:17" ht="18" x14ac:dyDescent="0.4">
      <c r="A37" s="6">
        <v>32.700000000000003</v>
      </c>
      <c r="B37" s="5">
        <v>28.2</v>
      </c>
      <c r="C37" s="4"/>
      <c r="D37" s="4"/>
      <c r="E37" s="4"/>
      <c r="F37" s="4"/>
      <c r="G37" s="4"/>
      <c r="H37" s="4"/>
      <c r="I37" s="4"/>
      <c r="J37" s="4"/>
      <c r="K37" s="4"/>
      <c r="L37" s="4"/>
      <c r="M37" s="4"/>
      <c r="N37" s="4"/>
      <c r="O37" s="4"/>
      <c r="P37" s="4"/>
      <c r="Q37" s="4"/>
    </row>
    <row r="38" spans="1:17" ht="18" x14ac:dyDescent="0.4">
      <c r="A38" s="6">
        <v>41.8</v>
      </c>
      <c r="B38" s="5">
        <v>28.2</v>
      </c>
      <c r="C38" s="4"/>
      <c r="D38" s="4"/>
      <c r="E38" s="4"/>
      <c r="F38" s="4"/>
      <c r="G38" s="4"/>
      <c r="H38" s="4"/>
      <c r="I38" s="4"/>
      <c r="J38" s="4"/>
      <c r="K38" s="4"/>
      <c r="L38" s="4"/>
      <c r="M38" s="4"/>
      <c r="N38" s="4"/>
      <c r="O38" s="4"/>
      <c r="P38" s="4"/>
      <c r="Q38" s="4"/>
    </row>
    <row r="39" spans="1:17" ht="18" x14ac:dyDescent="0.4">
      <c r="A39" s="6">
        <v>39.299999999999997</v>
      </c>
      <c r="B39" s="5">
        <v>28.3</v>
      </c>
      <c r="C39" s="4"/>
      <c r="D39" s="4"/>
      <c r="E39" s="4"/>
      <c r="F39" s="4"/>
      <c r="G39" s="4"/>
      <c r="H39" s="4"/>
      <c r="I39" s="4"/>
      <c r="J39" s="4"/>
      <c r="K39" s="4"/>
      <c r="L39" s="4"/>
      <c r="M39" s="4"/>
      <c r="N39" s="4"/>
      <c r="O39" s="4"/>
      <c r="P39" s="4"/>
      <c r="Q39" s="4"/>
    </row>
    <row r="40" spans="1:17" ht="18" x14ac:dyDescent="0.4">
      <c r="A40" s="6">
        <v>33.9</v>
      </c>
      <c r="B40" s="5">
        <v>28.3</v>
      </c>
      <c r="C40" s="4"/>
      <c r="D40" s="4"/>
      <c r="E40" s="4"/>
      <c r="F40" s="4"/>
      <c r="G40" s="4"/>
      <c r="H40" s="4"/>
      <c r="I40" s="4"/>
      <c r="J40" s="4"/>
      <c r="K40" s="4"/>
      <c r="L40" s="4"/>
      <c r="M40" s="4"/>
      <c r="N40" s="4"/>
      <c r="O40" s="4"/>
      <c r="P40" s="4"/>
      <c r="Q40" s="4"/>
    </row>
    <row r="41" spans="1:17" ht="18" x14ac:dyDescent="0.4">
      <c r="A41" s="6">
        <v>37.700000000000003</v>
      </c>
      <c r="B41" s="5">
        <v>28.4</v>
      </c>
      <c r="C41" s="4"/>
      <c r="D41" s="4"/>
      <c r="E41" s="4"/>
      <c r="F41" s="4"/>
      <c r="G41" s="4"/>
      <c r="H41" s="4"/>
      <c r="I41" s="4"/>
      <c r="J41" s="4"/>
      <c r="K41" s="4"/>
      <c r="L41" s="4"/>
      <c r="M41" s="4"/>
      <c r="N41" s="4"/>
      <c r="O41" s="4"/>
      <c r="P41" s="4"/>
      <c r="Q41" s="4"/>
    </row>
    <row r="42" spans="1:17" ht="18" x14ac:dyDescent="0.4">
      <c r="A42" s="6">
        <v>19.5</v>
      </c>
      <c r="B42" s="5">
        <v>28.4</v>
      </c>
      <c r="C42" s="4"/>
      <c r="D42" s="4"/>
      <c r="E42" s="4"/>
      <c r="F42" s="4"/>
      <c r="G42" s="4"/>
      <c r="H42" s="4"/>
      <c r="I42" s="4"/>
      <c r="J42" s="4"/>
      <c r="K42" s="4"/>
      <c r="L42" s="4"/>
      <c r="M42" s="4"/>
      <c r="N42" s="4"/>
      <c r="O42" s="4"/>
      <c r="P42" s="4"/>
      <c r="Q42" s="4"/>
    </row>
    <row r="43" spans="1:17" ht="18" x14ac:dyDescent="0.4">
      <c r="A43" s="6">
        <v>22.9</v>
      </c>
      <c r="B43" s="5">
        <v>28.7</v>
      </c>
      <c r="C43" s="4"/>
      <c r="D43" s="4"/>
      <c r="E43" s="4"/>
      <c r="F43" s="4"/>
      <c r="G43" s="4"/>
      <c r="H43" s="4"/>
      <c r="I43" s="4"/>
      <c r="J43" s="4"/>
      <c r="K43" s="4"/>
      <c r="L43" s="4"/>
      <c r="M43" s="4"/>
      <c r="N43" s="4"/>
      <c r="O43" s="4"/>
      <c r="P43" s="4"/>
      <c r="Q43" s="4"/>
    </row>
    <row r="44" spans="1:17" ht="18" x14ac:dyDescent="0.4">
      <c r="A44" s="6">
        <v>30.6</v>
      </c>
      <c r="B44" s="5">
        <v>28.7</v>
      </c>
      <c r="C44" s="4"/>
      <c r="D44" s="4"/>
      <c r="E44" s="4"/>
      <c r="F44" s="4"/>
      <c r="G44" s="4"/>
      <c r="H44" s="4"/>
      <c r="I44" s="4"/>
      <c r="J44" s="4"/>
      <c r="K44" s="4"/>
      <c r="L44" s="4"/>
      <c r="M44" s="4"/>
      <c r="N44" s="4"/>
      <c r="O44" s="4"/>
      <c r="P44" s="4"/>
      <c r="Q44" s="4"/>
    </row>
    <row r="45" spans="1:17" ht="18" x14ac:dyDescent="0.4">
      <c r="A45" s="6">
        <v>22.1</v>
      </c>
      <c r="B45" s="5">
        <v>29</v>
      </c>
      <c r="C45" s="4"/>
      <c r="D45" s="4"/>
      <c r="E45" s="4"/>
      <c r="F45" s="4"/>
      <c r="G45" s="4"/>
      <c r="H45" s="4"/>
      <c r="I45" s="4"/>
      <c r="J45" s="4"/>
      <c r="K45" s="4"/>
      <c r="L45" s="4"/>
      <c r="M45" s="4"/>
      <c r="N45" s="4"/>
      <c r="O45" s="4"/>
      <c r="P45" s="4"/>
      <c r="Q45" s="4"/>
    </row>
    <row r="46" spans="1:17" ht="18" x14ac:dyDescent="0.4">
      <c r="A46" s="6">
        <v>20.399999999999999</v>
      </c>
      <c r="B46" s="5">
        <v>29</v>
      </c>
      <c r="C46" s="4"/>
      <c r="D46" s="4"/>
      <c r="E46" s="4"/>
      <c r="F46" s="4"/>
      <c r="G46" s="4"/>
      <c r="H46" s="4"/>
      <c r="I46" s="4"/>
      <c r="J46" s="4"/>
      <c r="K46" s="4"/>
      <c r="L46" s="4"/>
      <c r="M46" s="4"/>
      <c r="N46" s="4"/>
      <c r="O46" s="4"/>
      <c r="P46" s="4"/>
      <c r="Q46" s="4"/>
    </row>
    <row r="47" spans="1:17" ht="18" x14ac:dyDescent="0.4">
      <c r="A47" s="6">
        <v>31.5</v>
      </c>
      <c r="B47" s="5">
        <v>29</v>
      </c>
      <c r="C47" s="4"/>
      <c r="D47" s="4"/>
      <c r="E47" s="4"/>
      <c r="F47" s="4"/>
      <c r="G47" s="4"/>
      <c r="H47" s="4"/>
      <c r="I47" s="4"/>
      <c r="J47" s="4"/>
      <c r="K47" s="4"/>
      <c r="L47" s="4"/>
      <c r="M47" s="4"/>
      <c r="N47" s="4"/>
      <c r="O47" s="4"/>
      <c r="P47" s="4"/>
      <c r="Q47" s="4"/>
    </row>
    <row r="48" spans="1:17" ht="18" x14ac:dyDescent="0.4">
      <c r="A48" s="6">
        <v>28.1</v>
      </c>
      <c r="B48" s="5">
        <v>29.1</v>
      </c>
      <c r="C48" s="4"/>
      <c r="D48" s="4"/>
      <c r="E48" s="4"/>
      <c r="F48" s="4"/>
      <c r="G48" s="4"/>
      <c r="H48" s="4"/>
      <c r="I48" s="4"/>
      <c r="J48" s="4"/>
      <c r="K48" s="4"/>
      <c r="L48" s="4"/>
      <c r="M48" s="4"/>
      <c r="N48" s="4"/>
      <c r="O48" s="4"/>
      <c r="P48" s="4"/>
      <c r="Q48" s="4"/>
    </row>
    <row r="49" spans="1:17" ht="18" x14ac:dyDescent="0.4">
      <c r="A49" s="6">
        <v>26.7</v>
      </c>
      <c r="B49" s="5">
        <v>29.2</v>
      </c>
      <c r="C49" s="4"/>
      <c r="D49" s="4"/>
      <c r="E49" s="4"/>
      <c r="F49" s="4"/>
      <c r="G49" s="4"/>
      <c r="H49" s="4"/>
      <c r="I49" s="4"/>
      <c r="J49" s="4"/>
      <c r="K49" s="4"/>
      <c r="L49" s="4"/>
      <c r="M49" s="4"/>
      <c r="N49" s="4"/>
      <c r="O49" s="4"/>
      <c r="P49" s="4"/>
      <c r="Q49" s="4"/>
    </row>
    <row r="50" spans="1:17" ht="18" x14ac:dyDescent="0.4">
      <c r="A50" s="6">
        <v>38.4</v>
      </c>
      <c r="B50" s="5">
        <v>29.2</v>
      </c>
      <c r="C50" s="4"/>
      <c r="D50" s="4"/>
      <c r="E50" s="4"/>
      <c r="F50" s="4"/>
      <c r="G50" s="4"/>
      <c r="H50" s="4"/>
      <c r="I50" s="4"/>
      <c r="J50" s="4"/>
      <c r="K50" s="4"/>
      <c r="L50" s="4"/>
      <c r="M50" s="4"/>
      <c r="N50" s="4"/>
      <c r="O50" s="4"/>
      <c r="P50" s="4"/>
      <c r="Q50" s="4"/>
    </row>
    <row r="51" spans="1:17" ht="18" x14ac:dyDescent="0.4">
      <c r="A51" s="6">
        <v>44.9</v>
      </c>
      <c r="B51" s="5">
        <v>29.3</v>
      </c>
      <c r="C51" s="4"/>
      <c r="D51" s="4"/>
      <c r="E51" s="4"/>
      <c r="F51" s="4"/>
      <c r="G51" s="4"/>
      <c r="H51" s="4"/>
      <c r="I51" s="4"/>
      <c r="J51" s="4"/>
      <c r="K51" s="4"/>
      <c r="L51" s="4"/>
      <c r="M51" s="4"/>
      <c r="N51" s="4"/>
      <c r="O51" s="4"/>
      <c r="P51" s="4"/>
      <c r="Q51" s="4"/>
    </row>
    <row r="52" spans="1:17" ht="18" x14ac:dyDescent="0.4">
      <c r="A52" s="6">
        <v>22.8</v>
      </c>
      <c r="B52" s="5">
        <v>29.4</v>
      </c>
      <c r="C52" s="4"/>
      <c r="D52" s="4"/>
      <c r="E52" s="4"/>
      <c r="F52" s="4"/>
      <c r="G52" s="4"/>
      <c r="H52" s="4"/>
      <c r="I52" s="4"/>
      <c r="J52" s="4"/>
      <c r="K52" s="4"/>
      <c r="L52" s="4"/>
      <c r="M52" s="4"/>
      <c r="N52" s="4"/>
      <c r="O52" s="4"/>
      <c r="P52" s="4"/>
      <c r="Q52" s="4"/>
    </row>
    <row r="53" spans="1:17" ht="18" x14ac:dyDescent="0.4">
      <c r="A53" s="6">
        <v>30.8</v>
      </c>
      <c r="B53" s="5">
        <v>29.7</v>
      </c>
      <c r="C53" s="4"/>
      <c r="D53" s="4"/>
      <c r="E53" s="4"/>
      <c r="F53" s="4"/>
      <c r="G53" s="4"/>
      <c r="H53" s="4"/>
      <c r="I53" s="4"/>
      <c r="J53" s="4"/>
      <c r="K53" s="4"/>
      <c r="L53" s="4"/>
      <c r="M53" s="4"/>
      <c r="N53" s="4"/>
      <c r="O53" s="4"/>
      <c r="P53" s="4"/>
      <c r="Q53" s="4"/>
    </row>
    <row r="54" spans="1:17" ht="18" x14ac:dyDescent="0.4">
      <c r="A54" s="6">
        <v>24.7</v>
      </c>
      <c r="B54" s="5">
        <v>29.9</v>
      </c>
      <c r="C54" s="4"/>
      <c r="D54" s="4"/>
      <c r="E54" s="4"/>
      <c r="F54" s="4"/>
      <c r="G54" s="4"/>
      <c r="H54" s="4"/>
      <c r="I54" s="4"/>
      <c r="J54" s="4"/>
      <c r="K54" s="4"/>
      <c r="L54" s="4"/>
      <c r="M54" s="4"/>
      <c r="N54" s="4"/>
      <c r="O54" s="4"/>
      <c r="P54" s="4"/>
      <c r="Q54" s="4"/>
    </row>
    <row r="55" spans="1:17" ht="18" x14ac:dyDescent="0.4">
      <c r="A55" s="6">
        <v>29.4</v>
      </c>
      <c r="B55" s="5">
        <v>29.9</v>
      </c>
      <c r="C55" s="4"/>
      <c r="D55" s="4"/>
      <c r="E55" s="4"/>
      <c r="F55" s="4"/>
      <c r="G55" s="4"/>
      <c r="H55" s="4"/>
      <c r="I55" s="4"/>
      <c r="J55" s="4"/>
      <c r="K55" s="4"/>
      <c r="L55" s="4"/>
      <c r="M55" s="4"/>
      <c r="N55" s="4"/>
      <c r="O55" s="4"/>
      <c r="P55" s="4"/>
      <c r="Q55" s="4"/>
    </row>
    <row r="56" spans="1:17" ht="18" x14ac:dyDescent="0.4">
      <c r="A56" s="6">
        <v>31.2</v>
      </c>
      <c r="B56" s="5">
        <v>30.2</v>
      </c>
      <c r="C56" s="4"/>
      <c r="D56" s="4"/>
      <c r="E56" s="4"/>
      <c r="F56" s="4"/>
      <c r="G56" s="4"/>
      <c r="H56" s="4"/>
      <c r="I56" s="4"/>
      <c r="J56" s="4"/>
      <c r="K56" s="4"/>
      <c r="L56" s="4"/>
      <c r="M56" s="4"/>
      <c r="N56" s="4"/>
      <c r="O56" s="4"/>
      <c r="P56" s="4"/>
      <c r="Q56" s="4"/>
    </row>
    <row r="57" spans="1:17" ht="18" x14ac:dyDescent="0.4">
      <c r="A57" s="6">
        <v>30.2</v>
      </c>
      <c r="B57" s="5">
        <v>30.4</v>
      </c>
      <c r="C57" s="4"/>
      <c r="D57" s="4"/>
      <c r="E57" s="4"/>
      <c r="F57" s="4"/>
      <c r="G57" s="4"/>
      <c r="H57" s="4"/>
      <c r="I57" s="4"/>
      <c r="J57" s="4"/>
      <c r="K57" s="4"/>
      <c r="L57" s="4"/>
      <c r="M57" s="4"/>
      <c r="N57" s="4"/>
      <c r="O57" s="4"/>
      <c r="P57" s="4"/>
      <c r="Q57" s="4"/>
    </row>
    <row r="58" spans="1:17" ht="18" x14ac:dyDescent="0.4">
      <c r="A58" s="6">
        <v>40.1</v>
      </c>
      <c r="B58" s="5">
        <v>30.6</v>
      </c>
      <c r="C58" s="4"/>
      <c r="D58" s="4"/>
      <c r="E58" s="4"/>
      <c r="F58" s="4"/>
      <c r="G58" s="4"/>
      <c r="H58" s="4"/>
      <c r="I58" s="4"/>
      <c r="J58" s="4"/>
      <c r="K58" s="4"/>
      <c r="L58" s="4"/>
      <c r="M58" s="4"/>
      <c r="N58" s="4"/>
      <c r="O58" s="4"/>
      <c r="P58" s="4"/>
      <c r="Q58" s="4"/>
    </row>
    <row r="59" spans="1:17" ht="18" x14ac:dyDescent="0.4">
      <c r="A59" s="6">
        <v>24</v>
      </c>
      <c r="B59" s="5">
        <v>30.6</v>
      </c>
      <c r="C59" s="4"/>
      <c r="D59" s="4"/>
      <c r="E59" s="4"/>
      <c r="F59" s="4"/>
      <c r="G59" s="4"/>
      <c r="H59" s="4"/>
      <c r="I59" s="4"/>
      <c r="J59" s="4"/>
      <c r="K59" s="4"/>
      <c r="L59" s="4"/>
      <c r="M59" s="4"/>
      <c r="N59" s="4"/>
      <c r="O59" s="4"/>
      <c r="P59" s="4"/>
      <c r="Q59" s="4"/>
    </row>
    <row r="60" spans="1:17" ht="18" x14ac:dyDescent="0.4">
      <c r="A60" s="6">
        <v>34.4</v>
      </c>
      <c r="B60" s="5">
        <v>30.8</v>
      </c>
      <c r="C60" s="4"/>
      <c r="D60" s="4"/>
      <c r="E60" s="4"/>
      <c r="F60" s="4"/>
      <c r="G60" s="4"/>
      <c r="H60" s="4"/>
      <c r="I60" s="4"/>
      <c r="J60" s="4"/>
      <c r="K60" s="4"/>
      <c r="L60" s="4"/>
      <c r="M60" s="4"/>
      <c r="N60" s="4"/>
      <c r="O60" s="4"/>
      <c r="P60" s="4"/>
      <c r="Q60" s="4"/>
    </row>
    <row r="61" spans="1:17" ht="18" x14ac:dyDescent="0.4">
      <c r="A61" s="6">
        <v>26.9</v>
      </c>
      <c r="B61" s="5">
        <v>30.8</v>
      </c>
      <c r="C61" s="4"/>
      <c r="D61" s="4"/>
      <c r="E61" s="4"/>
      <c r="F61" s="4"/>
      <c r="G61" s="4"/>
      <c r="H61" s="4"/>
      <c r="I61" s="4"/>
      <c r="J61" s="4"/>
      <c r="K61" s="4"/>
      <c r="L61" s="4"/>
      <c r="M61" s="4"/>
      <c r="N61" s="4"/>
      <c r="O61" s="4"/>
      <c r="P61" s="4"/>
      <c r="Q61" s="4"/>
    </row>
    <row r="62" spans="1:17" ht="18" x14ac:dyDescent="0.4">
      <c r="A62" s="6">
        <v>29</v>
      </c>
      <c r="B62" s="5">
        <v>31.1</v>
      </c>
      <c r="C62" s="4"/>
      <c r="D62" s="4"/>
      <c r="E62" s="4"/>
      <c r="F62" s="4"/>
      <c r="G62" s="4"/>
      <c r="H62" s="4"/>
      <c r="I62" s="4"/>
      <c r="J62" s="4"/>
      <c r="K62" s="4"/>
      <c r="L62" s="4"/>
      <c r="M62" s="4"/>
      <c r="N62" s="4"/>
      <c r="O62" s="4"/>
      <c r="P62" s="4"/>
      <c r="Q62" s="4"/>
    </row>
    <row r="63" spans="1:17" ht="18" x14ac:dyDescent="0.4">
      <c r="A63" s="6">
        <v>21.9</v>
      </c>
      <c r="B63" s="5">
        <v>31.2</v>
      </c>
      <c r="C63" s="4"/>
      <c r="D63" s="4"/>
      <c r="E63" s="4"/>
      <c r="F63" s="4"/>
      <c r="G63" s="4"/>
      <c r="H63" s="4"/>
      <c r="I63" s="4"/>
      <c r="J63" s="4"/>
      <c r="K63" s="4"/>
      <c r="L63" s="4"/>
      <c r="M63" s="4"/>
      <c r="N63" s="4"/>
      <c r="O63" s="4"/>
      <c r="P63" s="4"/>
      <c r="Q63" s="4"/>
    </row>
    <row r="64" spans="1:17" ht="18" x14ac:dyDescent="0.4">
      <c r="A64" s="6">
        <v>47.5</v>
      </c>
      <c r="B64" s="5">
        <v>31.5</v>
      </c>
      <c r="C64" s="4"/>
      <c r="D64" s="4"/>
      <c r="E64" s="4"/>
      <c r="F64" s="4"/>
      <c r="G64" s="4"/>
      <c r="H64" s="4"/>
      <c r="I64" s="4"/>
      <c r="J64" s="4"/>
      <c r="K64" s="4"/>
      <c r="L64" s="4"/>
      <c r="M64" s="4"/>
      <c r="N64" s="4"/>
      <c r="O64" s="4"/>
      <c r="P64" s="4"/>
      <c r="Q64" s="4"/>
    </row>
    <row r="65" spans="1:17" ht="18" x14ac:dyDescent="0.4">
      <c r="A65" s="6">
        <v>27</v>
      </c>
      <c r="B65" s="5">
        <v>31.5</v>
      </c>
      <c r="C65" s="4"/>
      <c r="D65" s="4"/>
      <c r="E65" s="4"/>
      <c r="F65" s="4"/>
      <c r="G65" s="4"/>
      <c r="H65" s="4"/>
      <c r="I65" s="4"/>
      <c r="J65" s="4"/>
      <c r="K65" s="4"/>
      <c r="L65" s="4"/>
      <c r="M65" s="4"/>
      <c r="N65" s="4"/>
      <c r="O65" s="4"/>
      <c r="P65" s="4"/>
      <c r="Q65" s="4"/>
    </row>
    <row r="66" spans="1:17" ht="18" x14ac:dyDescent="0.4">
      <c r="A66" s="6">
        <v>32.700000000000003</v>
      </c>
      <c r="B66" s="5">
        <v>31.6</v>
      </c>
      <c r="C66" s="4"/>
      <c r="D66" s="4"/>
      <c r="E66" s="4"/>
      <c r="F66" s="4"/>
      <c r="G66" s="4"/>
      <c r="H66" s="4"/>
      <c r="I66" s="4"/>
      <c r="J66" s="4"/>
      <c r="K66" s="4"/>
      <c r="L66" s="4"/>
      <c r="M66" s="4"/>
      <c r="N66" s="4"/>
      <c r="O66" s="4"/>
      <c r="P66" s="4"/>
      <c r="Q66" s="4"/>
    </row>
    <row r="67" spans="1:17" ht="18" x14ac:dyDescent="0.4">
      <c r="A67" s="6">
        <v>38.1</v>
      </c>
      <c r="B67" s="5">
        <v>31.8</v>
      </c>
      <c r="C67" s="4"/>
      <c r="D67" s="4"/>
      <c r="E67" s="4"/>
      <c r="F67" s="4"/>
      <c r="G67" s="4"/>
      <c r="H67" s="4"/>
      <c r="I67" s="4"/>
      <c r="J67" s="4"/>
      <c r="K67" s="4"/>
      <c r="L67" s="4"/>
      <c r="M67" s="4"/>
      <c r="N67" s="4"/>
      <c r="O67" s="4"/>
      <c r="P67" s="4"/>
      <c r="Q67" s="4"/>
    </row>
    <row r="68" spans="1:17" ht="18" x14ac:dyDescent="0.4">
      <c r="A68" s="6">
        <v>21</v>
      </c>
      <c r="B68" s="5">
        <v>32.200000000000003</v>
      </c>
      <c r="C68" s="4"/>
      <c r="D68" s="4"/>
      <c r="E68" s="4"/>
      <c r="F68" s="4"/>
      <c r="G68" s="4"/>
      <c r="H68" s="4"/>
      <c r="I68" s="4"/>
      <c r="J68" s="4"/>
      <c r="K68" s="4"/>
      <c r="L68" s="4"/>
      <c r="M68" s="4"/>
      <c r="N68" s="4"/>
      <c r="O68" s="4"/>
      <c r="P68" s="4"/>
      <c r="Q68" s="4"/>
    </row>
    <row r="69" spans="1:17" ht="18" x14ac:dyDescent="0.4">
      <c r="A69" s="6">
        <v>39.200000000000003</v>
      </c>
      <c r="B69" s="5">
        <v>32.200000000000003</v>
      </c>
      <c r="C69" s="4"/>
      <c r="D69" s="4"/>
      <c r="E69" s="4"/>
      <c r="F69" s="4"/>
      <c r="G69" s="4"/>
      <c r="H69" s="4"/>
      <c r="I69" s="4"/>
      <c r="J69" s="4"/>
      <c r="K69" s="4"/>
      <c r="L69" s="4"/>
      <c r="M69" s="4"/>
      <c r="N69" s="4"/>
      <c r="O69" s="4"/>
      <c r="P69" s="4"/>
      <c r="Q69" s="4"/>
    </row>
    <row r="70" spans="1:17" ht="18" x14ac:dyDescent="0.4">
      <c r="A70" s="6">
        <v>39.1</v>
      </c>
      <c r="B70" s="5">
        <v>32.700000000000003</v>
      </c>
      <c r="C70" s="4"/>
      <c r="D70" s="4"/>
      <c r="E70" s="4"/>
      <c r="F70" s="4"/>
      <c r="G70" s="4"/>
      <c r="H70" s="4"/>
      <c r="I70" s="4"/>
      <c r="J70" s="4"/>
      <c r="K70" s="4"/>
      <c r="L70" s="4"/>
      <c r="M70" s="4"/>
      <c r="N70" s="4"/>
      <c r="O70" s="4"/>
      <c r="P70" s="4"/>
      <c r="Q70" s="4"/>
    </row>
    <row r="71" spans="1:17" ht="18" x14ac:dyDescent="0.4">
      <c r="A71" s="6">
        <v>34.9</v>
      </c>
      <c r="B71" s="5">
        <v>32.700000000000003</v>
      </c>
      <c r="C71" s="4"/>
      <c r="D71" s="4"/>
      <c r="E71" s="4"/>
      <c r="F71" s="4"/>
      <c r="G71" s="4"/>
      <c r="H71" s="4"/>
      <c r="I71" s="4"/>
      <c r="J71" s="4"/>
      <c r="K71" s="4"/>
      <c r="L71" s="4"/>
      <c r="M71" s="4"/>
      <c r="N71" s="4"/>
      <c r="O71" s="4"/>
      <c r="P71" s="4"/>
      <c r="Q71" s="4"/>
    </row>
    <row r="72" spans="1:17" ht="18" x14ac:dyDescent="0.4">
      <c r="A72" s="6">
        <v>36</v>
      </c>
      <c r="B72" s="5">
        <v>32.700000000000003</v>
      </c>
      <c r="C72" s="4"/>
      <c r="D72" s="4"/>
      <c r="E72" s="4"/>
      <c r="F72" s="4"/>
      <c r="G72" s="4"/>
      <c r="H72" s="4"/>
      <c r="I72" s="4"/>
      <c r="J72" s="4"/>
      <c r="K72" s="4"/>
      <c r="L72" s="4"/>
      <c r="M72" s="4"/>
      <c r="N72" s="4"/>
      <c r="O72" s="4"/>
      <c r="P72" s="4"/>
      <c r="Q72" s="4"/>
    </row>
    <row r="73" spans="1:17" ht="18" x14ac:dyDescent="0.4">
      <c r="A73" s="6">
        <v>33</v>
      </c>
      <c r="B73" s="5">
        <v>32.799999999999997</v>
      </c>
      <c r="C73" s="4"/>
      <c r="D73" s="4"/>
      <c r="E73" s="4"/>
      <c r="F73" s="4"/>
      <c r="G73" s="4"/>
      <c r="H73" s="4"/>
      <c r="I73" s="4"/>
      <c r="J73" s="4"/>
      <c r="K73" s="4"/>
      <c r="L73" s="4"/>
      <c r="M73" s="4"/>
      <c r="N73" s="4"/>
      <c r="O73" s="4"/>
      <c r="P73" s="4"/>
      <c r="Q73" s="4"/>
    </row>
    <row r="74" spans="1:17" ht="18" x14ac:dyDescent="0.4">
      <c r="A74" s="6">
        <v>31.6</v>
      </c>
      <c r="B74" s="5">
        <v>32.799999999999997</v>
      </c>
      <c r="C74" s="4"/>
      <c r="D74" s="4"/>
      <c r="E74" s="4"/>
      <c r="F74" s="4"/>
      <c r="G74" s="4"/>
      <c r="H74" s="4"/>
      <c r="I74" s="4"/>
      <c r="J74" s="4"/>
      <c r="K74" s="4"/>
      <c r="L74" s="4"/>
      <c r="M74" s="4"/>
      <c r="N74" s="4"/>
      <c r="O74" s="4"/>
      <c r="P74" s="4"/>
      <c r="Q74" s="4"/>
    </row>
    <row r="75" spans="1:17" ht="18" x14ac:dyDescent="0.4">
      <c r="A75" s="6">
        <v>31.1</v>
      </c>
      <c r="B75" s="5">
        <v>33</v>
      </c>
      <c r="C75" s="4"/>
      <c r="D75" s="4"/>
      <c r="E75" s="4"/>
      <c r="F75" s="4"/>
      <c r="G75" s="4"/>
      <c r="H75" s="4"/>
      <c r="I75" s="4"/>
      <c r="J75" s="4"/>
      <c r="K75" s="4"/>
      <c r="L75" s="4"/>
      <c r="M75" s="4"/>
      <c r="N75" s="4"/>
      <c r="O75" s="4"/>
      <c r="P75" s="4"/>
      <c r="Q75" s="4"/>
    </row>
    <row r="76" spans="1:17" ht="18" x14ac:dyDescent="0.4">
      <c r="A76" s="6">
        <v>34.799999999999997</v>
      </c>
      <c r="B76" s="5">
        <v>33.299999999999997</v>
      </c>
      <c r="C76" s="4"/>
      <c r="D76" s="4"/>
      <c r="E76" s="4"/>
      <c r="F76" s="4"/>
      <c r="G76" s="4"/>
      <c r="H76" s="4"/>
      <c r="I76" s="4"/>
      <c r="J76" s="4"/>
      <c r="K76" s="4"/>
      <c r="L76" s="4"/>
      <c r="M76" s="4"/>
      <c r="N76" s="4"/>
      <c r="O76" s="4"/>
      <c r="P76" s="4"/>
      <c r="Q76" s="4"/>
    </row>
    <row r="77" spans="1:17" ht="18" x14ac:dyDescent="0.4">
      <c r="A77" s="6">
        <v>30.6</v>
      </c>
      <c r="B77" s="5">
        <v>33.700000000000003</v>
      </c>
      <c r="C77" s="4"/>
      <c r="D77" s="4"/>
      <c r="E77" s="4"/>
      <c r="F77" s="4"/>
      <c r="G77" s="4"/>
      <c r="H77" s="4"/>
      <c r="I77" s="4"/>
      <c r="J77" s="4"/>
      <c r="K77" s="4"/>
      <c r="L77" s="4"/>
      <c r="M77" s="4"/>
      <c r="N77" s="4"/>
      <c r="O77" s="4"/>
      <c r="P77" s="4"/>
      <c r="Q77" s="4"/>
    </row>
    <row r="78" spans="1:17" ht="18" x14ac:dyDescent="0.4">
      <c r="A78" s="6">
        <v>25.9</v>
      </c>
      <c r="B78" s="5">
        <v>33.700000000000003</v>
      </c>
      <c r="C78" s="4"/>
      <c r="D78" s="4"/>
      <c r="E78" s="4"/>
      <c r="F78" s="4"/>
      <c r="G78" s="4"/>
      <c r="H78" s="4"/>
      <c r="I78" s="4"/>
      <c r="J78" s="4"/>
      <c r="K78" s="4"/>
      <c r="L78" s="4"/>
      <c r="M78" s="4"/>
      <c r="N78" s="4"/>
      <c r="O78" s="4"/>
      <c r="P78" s="4"/>
      <c r="Q78" s="4"/>
    </row>
    <row r="79" spans="1:17" ht="18" x14ac:dyDescent="0.4">
      <c r="A79" s="6">
        <v>24</v>
      </c>
      <c r="B79" s="5">
        <v>33.9</v>
      </c>
      <c r="C79" s="4"/>
      <c r="D79" s="4"/>
      <c r="E79" s="4"/>
      <c r="F79" s="4"/>
      <c r="G79" s="4"/>
      <c r="H79" s="4"/>
      <c r="I79" s="4"/>
      <c r="J79" s="4"/>
      <c r="K79" s="4"/>
      <c r="L79" s="4"/>
      <c r="M79" s="4"/>
      <c r="N79" s="4"/>
      <c r="O79" s="4"/>
      <c r="P79" s="4"/>
      <c r="Q79" s="4"/>
    </row>
    <row r="80" spans="1:17" ht="18" x14ac:dyDescent="0.4">
      <c r="A80" s="6">
        <v>21.2</v>
      </c>
      <c r="B80" s="5">
        <v>33.9</v>
      </c>
      <c r="C80" s="4"/>
      <c r="D80" s="4"/>
      <c r="E80" s="4"/>
      <c r="F80" s="4"/>
      <c r="G80" s="4"/>
      <c r="H80" s="4"/>
      <c r="I80" s="4"/>
      <c r="J80" s="4"/>
      <c r="K80" s="4"/>
      <c r="L80" s="4"/>
      <c r="M80" s="4"/>
      <c r="N80" s="4"/>
      <c r="O80" s="4"/>
      <c r="P80" s="4"/>
      <c r="Q80" s="4"/>
    </row>
    <row r="81" spans="1:17" ht="18" x14ac:dyDescent="0.4">
      <c r="A81" s="6">
        <v>32.799999999999997</v>
      </c>
      <c r="B81" s="5">
        <v>33.9</v>
      </c>
      <c r="C81" s="4"/>
      <c r="D81" s="4"/>
      <c r="E81" s="4"/>
      <c r="F81" s="4"/>
      <c r="G81" s="4"/>
      <c r="H81" s="4"/>
      <c r="I81" s="4"/>
      <c r="J81" s="4"/>
      <c r="K81" s="4"/>
      <c r="L81" s="4"/>
      <c r="M81" s="4"/>
      <c r="N81" s="4"/>
      <c r="O81" s="4"/>
      <c r="P81" s="4"/>
      <c r="Q81" s="4"/>
    </row>
    <row r="82" spans="1:17" ht="18" x14ac:dyDescent="0.4">
      <c r="A82" s="6">
        <v>32.200000000000003</v>
      </c>
      <c r="B82" s="5">
        <v>34.200000000000003</v>
      </c>
      <c r="C82" s="4"/>
      <c r="D82" s="4"/>
      <c r="E82" s="4"/>
      <c r="F82" s="4"/>
      <c r="G82" s="4"/>
      <c r="H82" s="4"/>
      <c r="I82" s="4"/>
      <c r="J82" s="4"/>
      <c r="K82" s="4"/>
      <c r="L82" s="4"/>
      <c r="M82" s="4"/>
      <c r="N82" s="4"/>
      <c r="O82" s="4"/>
      <c r="P82" s="4"/>
      <c r="Q82" s="4"/>
    </row>
    <row r="83" spans="1:17" ht="18" x14ac:dyDescent="0.4">
      <c r="A83" s="6">
        <v>30.8</v>
      </c>
      <c r="B83" s="5">
        <v>34.4</v>
      </c>
      <c r="C83" s="4"/>
      <c r="D83" s="4"/>
      <c r="E83" s="4"/>
      <c r="F83" s="4"/>
      <c r="G83" s="4"/>
      <c r="H83" s="4"/>
      <c r="I83" s="4"/>
      <c r="J83" s="4"/>
      <c r="K83" s="4"/>
      <c r="L83" s="4"/>
      <c r="M83" s="4"/>
      <c r="N83" s="4"/>
      <c r="O83" s="4"/>
      <c r="P83" s="4"/>
      <c r="Q83" s="4"/>
    </row>
    <row r="84" spans="1:17" ht="18" x14ac:dyDescent="0.4">
      <c r="A84" s="6">
        <v>36.200000000000003</v>
      </c>
      <c r="B84" s="5">
        <v>34.6</v>
      </c>
      <c r="C84" s="4"/>
      <c r="D84" s="4"/>
      <c r="E84" s="4"/>
      <c r="F84" s="4"/>
      <c r="G84" s="4"/>
      <c r="H84" s="4"/>
      <c r="I84" s="4"/>
      <c r="J84" s="4"/>
      <c r="K84" s="4"/>
      <c r="L84" s="4"/>
      <c r="M84" s="4"/>
      <c r="N84" s="4"/>
      <c r="O84" s="4"/>
      <c r="P84" s="4"/>
      <c r="Q84" s="4"/>
    </row>
    <row r="85" spans="1:17" ht="18" x14ac:dyDescent="0.4">
      <c r="A85" s="6">
        <v>27.1</v>
      </c>
      <c r="B85" s="5">
        <v>34.799999999999997</v>
      </c>
      <c r="C85" s="4"/>
      <c r="D85" s="4"/>
      <c r="E85" s="4"/>
      <c r="F85" s="4"/>
      <c r="G85" s="4"/>
      <c r="H85" s="4"/>
      <c r="I85" s="4"/>
      <c r="J85" s="4"/>
      <c r="K85" s="4"/>
      <c r="L85" s="4"/>
      <c r="M85" s="4"/>
      <c r="N85" s="4"/>
      <c r="O85" s="4"/>
      <c r="P85" s="4"/>
      <c r="Q85" s="4"/>
    </row>
    <row r="86" spans="1:17" ht="18" x14ac:dyDescent="0.4">
      <c r="A86" s="6">
        <v>15.4</v>
      </c>
      <c r="B86" s="5">
        <v>34.9</v>
      </c>
      <c r="C86" s="4"/>
      <c r="D86" s="4"/>
      <c r="E86" s="4"/>
      <c r="F86" s="4"/>
      <c r="G86" s="4"/>
      <c r="H86" s="4"/>
      <c r="I86" s="4"/>
      <c r="J86" s="4"/>
      <c r="K86" s="4"/>
      <c r="L86" s="4"/>
      <c r="M86" s="4"/>
      <c r="N86" s="4"/>
      <c r="O86" s="4"/>
      <c r="P86" s="4"/>
      <c r="Q86" s="4"/>
    </row>
    <row r="87" spans="1:17" ht="18" x14ac:dyDescent="0.4">
      <c r="A87" s="6">
        <v>33.299999999999997</v>
      </c>
      <c r="B87" s="5">
        <v>34.9</v>
      </c>
      <c r="C87" s="4"/>
      <c r="D87" s="4"/>
      <c r="E87" s="4"/>
      <c r="F87" s="4"/>
      <c r="G87" s="4"/>
      <c r="H87" s="4"/>
      <c r="I87" s="4"/>
      <c r="J87" s="4"/>
      <c r="K87" s="4"/>
      <c r="L87" s="4"/>
      <c r="M87" s="4"/>
      <c r="N87" s="4"/>
      <c r="O87" s="4"/>
      <c r="P87" s="4"/>
      <c r="Q87" s="4"/>
    </row>
    <row r="88" spans="1:17" ht="18" x14ac:dyDescent="0.4">
      <c r="A88" s="6">
        <v>32.700000000000003</v>
      </c>
      <c r="B88" s="5">
        <v>35.799999999999997</v>
      </c>
      <c r="C88" s="4"/>
      <c r="D88" s="4"/>
      <c r="E88" s="4"/>
      <c r="F88" s="4"/>
      <c r="G88" s="4"/>
      <c r="H88" s="4"/>
      <c r="I88" s="4"/>
      <c r="J88" s="4"/>
      <c r="K88" s="4"/>
      <c r="L88" s="4"/>
      <c r="M88" s="4"/>
      <c r="N88" s="4"/>
      <c r="O88" s="4"/>
      <c r="P88" s="4"/>
      <c r="Q88" s="4"/>
    </row>
    <row r="89" spans="1:17" ht="18" x14ac:dyDescent="0.4">
      <c r="A89" s="6">
        <v>38.299999999999997</v>
      </c>
      <c r="B89" s="5">
        <v>36</v>
      </c>
      <c r="C89" s="4"/>
      <c r="D89" s="4"/>
      <c r="E89" s="4"/>
      <c r="F89" s="4"/>
      <c r="G89" s="4"/>
      <c r="H89" s="4"/>
      <c r="I89" s="4"/>
      <c r="J89" s="4"/>
      <c r="K89" s="4"/>
      <c r="L89" s="4"/>
      <c r="M89" s="4"/>
      <c r="N89" s="4"/>
      <c r="O89" s="4"/>
      <c r="P89" s="4"/>
      <c r="Q89" s="4"/>
    </row>
    <row r="90" spans="1:17" ht="18" x14ac:dyDescent="0.4">
      <c r="A90" s="6">
        <v>25.2</v>
      </c>
      <c r="B90" s="5">
        <v>36.200000000000003</v>
      </c>
      <c r="C90" s="4"/>
      <c r="D90" s="4"/>
      <c r="E90" s="4"/>
      <c r="F90" s="4"/>
      <c r="G90" s="4"/>
      <c r="H90" s="4"/>
      <c r="I90" s="4"/>
      <c r="J90" s="4"/>
      <c r="K90" s="4"/>
      <c r="L90" s="4"/>
      <c r="M90" s="4"/>
      <c r="N90" s="4"/>
      <c r="O90" s="4"/>
      <c r="P90" s="4"/>
      <c r="Q90" s="4"/>
    </row>
    <row r="91" spans="1:17" ht="18" x14ac:dyDescent="0.4">
      <c r="A91" s="6">
        <v>28.2</v>
      </c>
      <c r="B91" s="5">
        <v>36.200000000000003</v>
      </c>
      <c r="C91" s="4"/>
      <c r="D91" s="4"/>
      <c r="E91" s="4"/>
      <c r="F91" s="4"/>
      <c r="G91" s="4"/>
      <c r="H91" s="4"/>
      <c r="I91" s="4"/>
      <c r="J91" s="4"/>
      <c r="K91" s="4"/>
      <c r="L91" s="4"/>
      <c r="M91" s="4"/>
      <c r="N91" s="4"/>
      <c r="O91" s="4"/>
      <c r="P91" s="4"/>
      <c r="Q91" s="4"/>
    </row>
    <row r="92" spans="1:17" ht="18" x14ac:dyDescent="0.4">
      <c r="A92" s="6">
        <v>29.7</v>
      </c>
      <c r="B92" s="5">
        <v>36.299999999999997</v>
      </c>
      <c r="C92" s="4"/>
      <c r="D92" s="4"/>
      <c r="E92" s="4"/>
      <c r="F92" s="4"/>
      <c r="G92" s="4"/>
      <c r="H92" s="4"/>
      <c r="I92" s="4"/>
      <c r="J92" s="4"/>
      <c r="K92" s="4"/>
      <c r="L92" s="4"/>
      <c r="M92" s="4"/>
      <c r="N92" s="4"/>
      <c r="O92" s="4"/>
      <c r="P92" s="4"/>
      <c r="Q92" s="4"/>
    </row>
    <row r="93" spans="1:17" ht="18" x14ac:dyDescent="0.4">
      <c r="A93" s="6">
        <v>28.7</v>
      </c>
      <c r="B93" s="5">
        <v>36.6</v>
      </c>
      <c r="C93" s="4"/>
      <c r="D93" s="4"/>
      <c r="E93" s="4"/>
      <c r="F93" s="4"/>
      <c r="G93" s="4"/>
      <c r="H93" s="4"/>
      <c r="I93" s="4"/>
      <c r="J93" s="4"/>
      <c r="K93" s="4"/>
      <c r="L93" s="4"/>
      <c r="M93" s="4"/>
      <c r="N93" s="4"/>
      <c r="O93" s="4"/>
      <c r="P93" s="4"/>
      <c r="Q93" s="4"/>
    </row>
    <row r="94" spans="1:17" ht="18" x14ac:dyDescent="0.4">
      <c r="A94" s="6">
        <v>33.9</v>
      </c>
      <c r="B94" s="5">
        <v>37.6</v>
      </c>
      <c r="C94" s="4"/>
      <c r="D94" s="4"/>
      <c r="E94" s="4"/>
      <c r="F94" s="4"/>
      <c r="G94" s="4"/>
      <c r="H94" s="4"/>
      <c r="I94" s="4"/>
      <c r="J94" s="4"/>
      <c r="K94" s="4"/>
      <c r="L94" s="4"/>
      <c r="M94" s="4"/>
      <c r="N94" s="4"/>
      <c r="O94" s="4"/>
      <c r="P94" s="4"/>
      <c r="Q94" s="4"/>
    </row>
    <row r="95" spans="1:17" ht="18" x14ac:dyDescent="0.4">
      <c r="A95" s="6">
        <v>28.2</v>
      </c>
      <c r="B95" s="5">
        <v>37.700000000000003</v>
      </c>
      <c r="C95" s="4"/>
      <c r="D95" s="4"/>
      <c r="E95" s="4"/>
      <c r="F95" s="4"/>
      <c r="G95" s="4"/>
      <c r="H95" s="4"/>
      <c r="I95" s="4"/>
      <c r="J95" s="4"/>
      <c r="K95" s="4"/>
      <c r="L95" s="4"/>
      <c r="M95" s="4"/>
      <c r="N95" s="4"/>
      <c r="O95" s="4"/>
      <c r="P95" s="4"/>
      <c r="Q95" s="4"/>
    </row>
    <row r="96" spans="1:17" ht="18" x14ac:dyDescent="0.4">
      <c r="A96" s="6">
        <v>17.600000000000001</v>
      </c>
      <c r="B96" s="5">
        <v>38.1</v>
      </c>
      <c r="C96" s="4"/>
      <c r="D96" s="4"/>
      <c r="E96" s="4"/>
      <c r="F96" s="4"/>
      <c r="G96" s="4"/>
      <c r="H96" s="4"/>
      <c r="I96" s="4"/>
      <c r="J96" s="4"/>
      <c r="K96" s="4"/>
      <c r="L96" s="4"/>
      <c r="M96" s="4"/>
      <c r="N96" s="4"/>
      <c r="O96" s="4"/>
      <c r="P96" s="4"/>
      <c r="Q96" s="4"/>
    </row>
    <row r="97" spans="1:17" ht="18" x14ac:dyDescent="0.4">
      <c r="A97" s="6">
        <v>33.700000000000003</v>
      </c>
      <c r="B97" s="5">
        <v>38.1</v>
      </c>
      <c r="C97" s="4"/>
      <c r="D97" s="4"/>
      <c r="E97" s="4"/>
      <c r="F97" s="4"/>
      <c r="G97" s="4"/>
      <c r="H97" s="4"/>
      <c r="I97" s="4"/>
      <c r="J97" s="4"/>
      <c r="K97" s="4"/>
      <c r="L97" s="4"/>
      <c r="M97" s="4"/>
      <c r="N97" s="4"/>
      <c r="O97" s="4"/>
      <c r="P97" s="4"/>
      <c r="Q97" s="4"/>
    </row>
    <row r="98" spans="1:17" ht="18" x14ac:dyDescent="0.4">
      <c r="A98" s="6">
        <v>28.3</v>
      </c>
      <c r="B98" s="5">
        <v>38.299999999999997</v>
      </c>
      <c r="C98" s="4"/>
      <c r="D98" s="4"/>
      <c r="E98" s="4"/>
      <c r="F98" s="4"/>
      <c r="G98" s="4"/>
      <c r="H98" s="4"/>
      <c r="I98" s="4"/>
      <c r="J98" s="4"/>
      <c r="K98" s="4"/>
      <c r="L98" s="4"/>
      <c r="M98" s="4"/>
      <c r="N98" s="4"/>
      <c r="O98" s="4"/>
      <c r="P98" s="4"/>
      <c r="Q98" s="4"/>
    </row>
    <row r="99" spans="1:17" ht="18" x14ac:dyDescent="0.4">
      <c r="A99" s="6">
        <v>30.4</v>
      </c>
      <c r="B99" s="5">
        <v>38.4</v>
      </c>
      <c r="C99" s="4"/>
      <c r="D99" s="4"/>
      <c r="E99" s="4"/>
      <c r="F99" s="4"/>
      <c r="G99" s="4"/>
      <c r="H99" s="4"/>
      <c r="I99" s="4"/>
      <c r="J99" s="4"/>
      <c r="K99" s="4"/>
      <c r="L99" s="4"/>
      <c r="M99" s="4"/>
      <c r="N99" s="4"/>
      <c r="O99" s="4"/>
      <c r="P99" s="4"/>
      <c r="Q99" s="4"/>
    </row>
    <row r="100" spans="1:17" ht="18" x14ac:dyDescent="0.4">
      <c r="A100" s="6">
        <v>34.9</v>
      </c>
      <c r="B100" s="5">
        <v>39.1</v>
      </c>
      <c r="C100" s="4"/>
      <c r="D100" s="4"/>
      <c r="E100" s="4"/>
      <c r="F100" s="4"/>
      <c r="G100" s="4"/>
      <c r="H100" s="4"/>
      <c r="I100" s="4"/>
      <c r="J100" s="4"/>
      <c r="K100" s="4"/>
      <c r="L100" s="4"/>
      <c r="M100" s="4"/>
      <c r="N100" s="4"/>
      <c r="O100" s="4"/>
      <c r="P100" s="4"/>
      <c r="Q100" s="4"/>
    </row>
    <row r="101" spans="1:17" ht="18" x14ac:dyDescent="0.4">
      <c r="A101" s="6">
        <v>28.4</v>
      </c>
      <c r="B101" s="5">
        <v>39.200000000000003</v>
      </c>
      <c r="C101" s="4"/>
      <c r="D101" s="4"/>
      <c r="E101" s="4"/>
      <c r="F101" s="4"/>
      <c r="G101" s="4"/>
      <c r="H101" s="4"/>
      <c r="I101" s="4"/>
      <c r="J101" s="4"/>
      <c r="K101" s="4"/>
      <c r="L101" s="4"/>
      <c r="M101" s="4"/>
      <c r="N101" s="4"/>
      <c r="O101" s="4"/>
      <c r="P101" s="4"/>
      <c r="Q101" s="4"/>
    </row>
    <row r="102" spans="1:17" ht="18" x14ac:dyDescent="0.4">
      <c r="A102" s="6">
        <v>32.200000000000003</v>
      </c>
      <c r="B102" s="5">
        <v>39.200000000000003</v>
      </c>
      <c r="C102" s="4"/>
      <c r="D102" s="4"/>
      <c r="E102" s="4"/>
      <c r="F102" s="4"/>
      <c r="G102" s="4"/>
      <c r="H102" s="4"/>
      <c r="I102" s="4"/>
      <c r="J102" s="4"/>
      <c r="K102" s="4"/>
      <c r="L102" s="4"/>
      <c r="M102" s="4"/>
      <c r="N102" s="4"/>
      <c r="O102" s="4"/>
      <c r="P102" s="4"/>
      <c r="Q102" s="4"/>
    </row>
    <row r="103" spans="1:17" ht="18" x14ac:dyDescent="0.4">
      <c r="A103" s="6">
        <v>25.5</v>
      </c>
      <c r="B103" s="5">
        <v>39.299999999999997</v>
      </c>
      <c r="C103" s="4"/>
      <c r="D103" s="4"/>
      <c r="E103" s="4"/>
      <c r="F103" s="4"/>
      <c r="G103" s="4"/>
      <c r="H103" s="4"/>
      <c r="I103" s="4"/>
      <c r="J103" s="4"/>
      <c r="K103" s="4"/>
      <c r="L103" s="4"/>
      <c r="M103" s="4"/>
      <c r="N103" s="4"/>
      <c r="O103" s="4"/>
      <c r="P103" s="4"/>
      <c r="Q103" s="4"/>
    </row>
    <row r="104" spans="1:17" ht="18" x14ac:dyDescent="0.4">
      <c r="A104" s="6">
        <v>32.799999999999997</v>
      </c>
      <c r="B104" s="5">
        <v>39.6</v>
      </c>
      <c r="C104" s="4"/>
      <c r="D104" s="4"/>
      <c r="E104" s="4"/>
      <c r="F104" s="4"/>
      <c r="G104" s="4"/>
      <c r="H104" s="4"/>
      <c r="I104" s="4"/>
      <c r="J104" s="4"/>
      <c r="K104" s="4"/>
      <c r="L104" s="4"/>
      <c r="M104" s="4"/>
      <c r="N104" s="4"/>
      <c r="O104" s="4"/>
      <c r="P104" s="4"/>
      <c r="Q104" s="4"/>
    </row>
    <row r="105" spans="1:17" ht="18" x14ac:dyDescent="0.4">
      <c r="A105" s="6">
        <v>34.6</v>
      </c>
      <c r="B105" s="5">
        <v>40.1</v>
      </c>
      <c r="C105" s="4"/>
      <c r="D105" s="4"/>
      <c r="E105" s="4"/>
      <c r="F105" s="4"/>
      <c r="G105" s="4"/>
      <c r="H105" s="4"/>
      <c r="I105" s="4"/>
      <c r="J105" s="4"/>
      <c r="K105" s="4"/>
      <c r="L105" s="4"/>
      <c r="M105" s="4"/>
      <c r="N105" s="4"/>
      <c r="O105" s="4"/>
      <c r="P105" s="4"/>
      <c r="Q105" s="4"/>
    </row>
    <row r="106" spans="1:17" ht="18" x14ac:dyDescent="0.4">
      <c r="A106" s="6">
        <v>27.5</v>
      </c>
      <c r="B106" s="5">
        <v>40.4</v>
      </c>
      <c r="C106" s="4"/>
      <c r="D106" s="4"/>
      <c r="E106" s="4"/>
      <c r="F106" s="4"/>
      <c r="G106" s="4"/>
      <c r="H106" s="4"/>
      <c r="I106" s="4"/>
      <c r="J106" s="4"/>
      <c r="K106" s="4"/>
      <c r="L106" s="4"/>
      <c r="M106" s="4"/>
      <c r="N106" s="4"/>
      <c r="O106" s="4"/>
      <c r="P106" s="4"/>
      <c r="Q106" s="4"/>
    </row>
    <row r="107" spans="1:17" ht="18" x14ac:dyDescent="0.4">
      <c r="A107" s="6">
        <v>36.299999999999997</v>
      </c>
      <c r="B107" s="5">
        <v>41.8</v>
      </c>
      <c r="C107" s="4"/>
      <c r="D107" s="4"/>
      <c r="E107" s="4"/>
      <c r="F107" s="4"/>
      <c r="G107" s="4"/>
      <c r="H107" s="4"/>
      <c r="I107" s="4"/>
      <c r="J107" s="4"/>
      <c r="K107" s="4"/>
      <c r="L107" s="4"/>
      <c r="M107" s="4"/>
      <c r="N107" s="4"/>
      <c r="O107" s="4"/>
      <c r="P107" s="4"/>
      <c r="Q107" s="4"/>
    </row>
    <row r="108" spans="1:17" ht="18" x14ac:dyDescent="0.4">
      <c r="A108" s="6">
        <v>18.399999999999999</v>
      </c>
      <c r="B108" s="5">
        <v>44.3</v>
      </c>
      <c r="C108" s="4"/>
      <c r="D108" s="4"/>
      <c r="E108" s="4"/>
      <c r="F108" s="4"/>
      <c r="G108" s="4"/>
      <c r="H108" s="4"/>
      <c r="I108" s="4"/>
      <c r="J108" s="4"/>
      <c r="K108" s="4"/>
      <c r="L108" s="4"/>
      <c r="M108" s="4"/>
      <c r="N108" s="4"/>
      <c r="O108" s="4"/>
      <c r="P108" s="4"/>
      <c r="Q108" s="4"/>
    </row>
    <row r="109" spans="1:17" ht="18" x14ac:dyDescent="0.4">
      <c r="A109" s="6">
        <v>39.200000000000003</v>
      </c>
      <c r="B109" s="5">
        <v>44.9</v>
      </c>
      <c r="C109" s="4"/>
      <c r="D109" s="4"/>
      <c r="E109" s="4"/>
      <c r="F109" s="4"/>
      <c r="G109" s="4"/>
      <c r="H109" s="4"/>
      <c r="I109" s="4"/>
      <c r="J109" s="4"/>
      <c r="K109" s="4"/>
      <c r="L109" s="4"/>
      <c r="M109" s="4"/>
      <c r="N109" s="4"/>
      <c r="O109" s="4"/>
      <c r="P109" s="4"/>
      <c r="Q109" s="4"/>
    </row>
    <row r="110" spans="1:17" ht="18" x14ac:dyDescent="0.4">
      <c r="A110" s="6">
        <v>31.5</v>
      </c>
      <c r="B110" s="5">
        <v>47.1</v>
      </c>
      <c r="C110" s="4"/>
      <c r="D110" s="4"/>
      <c r="E110" s="4"/>
      <c r="F110" s="4"/>
      <c r="G110" s="4"/>
      <c r="H110" s="4"/>
      <c r="I110" s="4"/>
      <c r="J110" s="4"/>
      <c r="K110" s="4"/>
      <c r="L110" s="4"/>
      <c r="M110" s="4"/>
      <c r="N110" s="4"/>
      <c r="O110" s="4"/>
      <c r="P110" s="4"/>
      <c r="Q110" s="4"/>
    </row>
    <row r="111" spans="1:17" ht="18" x14ac:dyDescent="0.4">
      <c r="A111" s="6">
        <v>36.6</v>
      </c>
      <c r="B111" s="5">
        <v>47.5</v>
      </c>
      <c r="C111" s="4"/>
      <c r="D111" s="4"/>
      <c r="E111" s="4"/>
      <c r="F111" s="4"/>
      <c r="G111" s="4"/>
      <c r="H111" s="4"/>
      <c r="I111" s="4"/>
      <c r="J111" s="4"/>
      <c r="K111" s="4"/>
      <c r="L111" s="4"/>
      <c r="M111" s="4"/>
      <c r="N111" s="4"/>
      <c r="O111" s="4"/>
      <c r="P111" s="4"/>
      <c r="Q111" s="4"/>
    </row>
  </sheetData>
  <mergeCells count="3">
    <mergeCell ref="E4:K4"/>
    <mergeCell ref="F15:K15"/>
    <mergeCell ref="J1:Q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9D24-44AA-4BCE-BBDE-01DEDD0EC49A}">
  <dimension ref="A1:Q46"/>
  <sheetViews>
    <sheetView zoomScale="63" zoomScaleNormal="85" workbookViewId="0">
      <selection activeCell="H22" sqref="H22"/>
    </sheetView>
  </sheetViews>
  <sheetFormatPr defaultColWidth="9.1796875" defaultRowHeight="18" x14ac:dyDescent="0.4"/>
  <cols>
    <col min="1" max="1" width="12.54296875" style="4" bestFit="1" customWidth="1"/>
    <col min="2" max="2" width="12.81640625" style="4" bestFit="1" customWidth="1"/>
    <col min="3" max="3" width="12.54296875" style="4" bestFit="1" customWidth="1"/>
    <col min="4" max="4" width="9.1796875" style="4"/>
    <col min="5" max="6" width="16.1796875" style="4" bestFit="1" customWidth="1"/>
    <col min="7" max="16384" width="9.1796875" style="4"/>
  </cols>
  <sheetData>
    <row r="1" spans="1:17" x14ac:dyDescent="0.4">
      <c r="A1" s="18" t="s">
        <v>10</v>
      </c>
      <c r="B1" s="18"/>
      <c r="C1" s="18"/>
      <c r="D1" s="18"/>
      <c r="E1" s="18"/>
      <c r="F1" s="18"/>
      <c r="G1" s="18"/>
      <c r="H1" s="18"/>
      <c r="J1" s="19" t="s">
        <v>32</v>
      </c>
      <c r="K1" s="19"/>
      <c r="L1" s="19"/>
      <c r="M1" s="19"/>
      <c r="N1" s="19"/>
      <c r="O1" s="19"/>
      <c r="P1" s="19"/>
      <c r="Q1" s="19"/>
    </row>
    <row r="2" spans="1:17" x14ac:dyDescent="0.4">
      <c r="A2" s="18"/>
      <c r="B2" s="18"/>
      <c r="C2" s="18"/>
      <c r="D2" s="18"/>
      <c r="E2" s="18"/>
      <c r="F2" s="18"/>
      <c r="G2" s="18"/>
      <c r="H2" s="18"/>
      <c r="J2" s="19"/>
      <c r="K2" s="19"/>
      <c r="L2" s="19"/>
      <c r="M2" s="19"/>
      <c r="N2" s="19"/>
      <c r="O2" s="19"/>
      <c r="P2" s="19"/>
      <c r="Q2" s="19"/>
    </row>
    <row r="3" spans="1:17" x14ac:dyDescent="0.4">
      <c r="A3" s="18"/>
      <c r="B3" s="18"/>
      <c r="C3" s="18"/>
      <c r="D3" s="18"/>
      <c r="E3" s="18"/>
      <c r="F3" s="18"/>
      <c r="G3" s="18"/>
      <c r="H3" s="18"/>
      <c r="J3" s="19"/>
      <c r="K3" s="19"/>
      <c r="L3" s="19"/>
      <c r="M3" s="19"/>
      <c r="N3" s="19"/>
      <c r="O3" s="19"/>
      <c r="P3" s="19"/>
      <c r="Q3" s="19"/>
    </row>
    <row r="4" spans="1:17" x14ac:dyDescent="0.4">
      <c r="A4" s="18"/>
      <c r="B4" s="18"/>
      <c r="C4" s="18"/>
      <c r="D4" s="18"/>
      <c r="E4" s="18"/>
      <c r="F4" s="18"/>
      <c r="G4" s="18"/>
      <c r="H4" s="18"/>
      <c r="J4" s="19"/>
      <c r="K4" s="19"/>
      <c r="L4" s="19"/>
      <c r="M4" s="19"/>
      <c r="N4" s="19"/>
      <c r="O4" s="19"/>
      <c r="P4" s="19"/>
      <c r="Q4" s="19"/>
    </row>
    <row r="5" spans="1:17" x14ac:dyDescent="0.4">
      <c r="A5" s="18"/>
      <c r="B5" s="18"/>
      <c r="C5" s="18"/>
      <c r="D5" s="18"/>
      <c r="E5" s="18"/>
      <c r="F5" s="18"/>
      <c r="G5" s="18"/>
      <c r="H5" s="18"/>
    </row>
    <row r="6" spans="1:17" ht="18.5" thickBot="1" x14ac:dyDescent="0.45">
      <c r="A6" s="18"/>
      <c r="B6" s="18"/>
      <c r="C6" s="18"/>
      <c r="D6" s="18"/>
      <c r="E6" s="18"/>
      <c r="F6" s="18"/>
      <c r="G6" s="18"/>
      <c r="H6" s="18"/>
    </row>
    <row r="7" spans="1:17" ht="19" thickTop="1" thickBot="1" x14ac:dyDescent="0.45">
      <c r="A7" s="11" t="s">
        <v>9</v>
      </c>
      <c r="B7" s="11"/>
      <c r="C7" s="11"/>
      <c r="D7" s="11"/>
      <c r="E7" s="11"/>
      <c r="F7" s="11"/>
      <c r="G7" s="11"/>
    </row>
    <row r="8" spans="1:17" ht="19" thickTop="1" thickBot="1" x14ac:dyDescent="0.45">
      <c r="A8" s="10" t="s">
        <v>5</v>
      </c>
      <c r="B8" s="9" t="s">
        <v>8</v>
      </c>
      <c r="C8" s="9" t="s">
        <v>7</v>
      </c>
      <c r="D8" s="9" t="s">
        <v>3</v>
      </c>
      <c r="E8" s="9" t="s">
        <v>2</v>
      </c>
      <c r="F8" s="9" t="s">
        <v>1</v>
      </c>
      <c r="G8" s="9" t="s">
        <v>0</v>
      </c>
    </row>
    <row r="9" spans="1:17" ht="18.5" thickTop="1" x14ac:dyDescent="0.4">
      <c r="A9" s="8">
        <v>1</v>
      </c>
      <c r="B9" s="8">
        <v>15.4</v>
      </c>
      <c r="C9" s="8">
        <v>19.412500000000001</v>
      </c>
      <c r="D9" s="8">
        <v>3</v>
      </c>
      <c r="E9" s="8">
        <v>3</v>
      </c>
      <c r="F9" s="8">
        <v>2.7272727272727271E-2</v>
      </c>
      <c r="G9" s="8">
        <v>2.7272727272727271E-2</v>
      </c>
    </row>
    <row r="10" spans="1:17" x14ac:dyDescent="0.4">
      <c r="A10" s="8">
        <v>2</v>
      </c>
      <c r="B10" s="8">
        <v>19.412500000000001</v>
      </c>
      <c r="C10" s="8">
        <v>23.425000000000001</v>
      </c>
      <c r="D10" s="8">
        <v>12</v>
      </c>
      <c r="E10" s="8">
        <v>15</v>
      </c>
      <c r="F10" s="8">
        <v>0.10909090909090909</v>
      </c>
      <c r="G10" s="8">
        <v>0.13636363636363635</v>
      </c>
    </row>
    <row r="11" spans="1:17" x14ac:dyDescent="0.4">
      <c r="A11" s="8">
        <v>3</v>
      </c>
      <c r="B11" s="8">
        <v>23.425000000000001</v>
      </c>
      <c r="C11" s="8">
        <v>27.4375</v>
      </c>
      <c r="D11" s="8">
        <v>17</v>
      </c>
      <c r="E11" s="8">
        <v>32</v>
      </c>
      <c r="F11" s="8">
        <v>0.15454545454545454</v>
      </c>
      <c r="G11" s="8">
        <v>0.29090909090909089</v>
      </c>
    </row>
    <row r="12" spans="1:17" x14ac:dyDescent="0.4">
      <c r="A12" s="8">
        <v>4</v>
      </c>
      <c r="B12" s="8">
        <v>27.4375</v>
      </c>
      <c r="C12" s="8">
        <v>31.45</v>
      </c>
      <c r="D12" s="8">
        <v>30</v>
      </c>
      <c r="E12" s="8">
        <v>62</v>
      </c>
      <c r="F12" s="8">
        <v>0.27272727272727271</v>
      </c>
      <c r="G12" s="8">
        <v>0.5636363636363636</v>
      </c>
    </row>
    <row r="13" spans="1:17" x14ac:dyDescent="0.4">
      <c r="A13" s="8">
        <v>5</v>
      </c>
      <c r="B13" s="8">
        <v>31.45</v>
      </c>
      <c r="C13" s="8">
        <v>35.462499999999999</v>
      </c>
      <c r="D13" s="8">
        <v>24</v>
      </c>
      <c r="E13" s="8">
        <v>86</v>
      </c>
      <c r="F13" s="8">
        <v>0.21818181818181817</v>
      </c>
      <c r="G13" s="8">
        <v>0.78181818181818186</v>
      </c>
    </row>
    <row r="14" spans="1:17" x14ac:dyDescent="0.4">
      <c r="A14" s="8">
        <v>6</v>
      </c>
      <c r="B14" s="8">
        <v>35.462499999999999</v>
      </c>
      <c r="C14" s="8">
        <v>39.475000000000001</v>
      </c>
      <c r="D14" s="8">
        <v>16</v>
      </c>
      <c r="E14" s="8">
        <v>102</v>
      </c>
      <c r="F14" s="8">
        <v>0.14545454545454545</v>
      </c>
      <c r="G14" s="8">
        <v>0.92727272727272725</v>
      </c>
    </row>
    <row r="15" spans="1:17" x14ac:dyDescent="0.4">
      <c r="A15" s="8">
        <v>7</v>
      </c>
      <c r="B15" s="8">
        <v>39.475000000000001</v>
      </c>
      <c r="C15" s="8">
        <v>43.487500000000004</v>
      </c>
      <c r="D15" s="8">
        <v>4</v>
      </c>
      <c r="E15" s="8">
        <v>106</v>
      </c>
      <c r="F15" s="8">
        <v>3.6363636363636362E-2</v>
      </c>
      <c r="G15" s="8">
        <v>0.96363636363636362</v>
      </c>
    </row>
    <row r="16" spans="1:17" x14ac:dyDescent="0.4">
      <c r="A16" s="8">
        <v>8</v>
      </c>
      <c r="B16" s="8">
        <v>43.487500000000004</v>
      </c>
      <c r="C16" s="8">
        <v>47.500000000000007</v>
      </c>
      <c r="D16" s="8">
        <v>4</v>
      </c>
      <c r="E16" s="8">
        <v>110</v>
      </c>
      <c r="F16" s="8">
        <v>3.6363636363636362E-2</v>
      </c>
      <c r="G16" s="8">
        <v>1</v>
      </c>
    </row>
    <row r="17" spans="1:6" ht="18.5" thickBot="1" x14ac:dyDescent="0.45"/>
    <row r="18" spans="1:6" ht="19" thickTop="1" thickBot="1" x14ac:dyDescent="0.45">
      <c r="A18" s="11" t="s">
        <v>6</v>
      </c>
      <c r="B18" s="11"/>
      <c r="C18" s="11"/>
      <c r="D18" s="11"/>
      <c r="E18" s="11"/>
      <c r="F18" s="11"/>
    </row>
    <row r="19" spans="1:6" ht="19" thickTop="1" thickBot="1" x14ac:dyDescent="0.45">
      <c r="A19" s="10" t="s">
        <v>5</v>
      </c>
      <c r="B19" s="9" t="s">
        <v>4</v>
      </c>
      <c r="C19" s="9" t="s">
        <v>3</v>
      </c>
      <c r="D19" s="9" t="s">
        <v>2</v>
      </c>
      <c r="E19" s="9" t="s">
        <v>1</v>
      </c>
      <c r="F19" s="9" t="s">
        <v>0</v>
      </c>
    </row>
    <row r="20" spans="1:6" ht="18.5" thickTop="1" x14ac:dyDescent="0.4">
      <c r="A20" s="8">
        <v>1</v>
      </c>
      <c r="B20" s="8">
        <v>17.40625</v>
      </c>
      <c r="C20" s="8">
        <v>3</v>
      </c>
      <c r="D20" s="8">
        <v>3</v>
      </c>
      <c r="E20" s="8">
        <v>2.7272727272727271E-2</v>
      </c>
      <c r="F20" s="8">
        <v>2.7272727272727271E-2</v>
      </c>
    </row>
    <row r="21" spans="1:6" x14ac:dyDescent="0.4">
      <c r="A21" s="8">
        <v>2</v>
      </c>
      <c r="B21" s="8">
        <v>21.418750000000003</v>
      </c>
      <c r="C21" s="8">
        <v>12</v>
      </c>
      <c r="D21" s="8">
        <v>15</v>
      </c>
      <c r="E21" s="8">
        <v>0.10909090909090909</v>
      </c>
      <c r="F21" s="8">
        <v>0.13636363636363635</v>
      </c>
    </row>
    <row r="22" spans="1:6" x14ac:dyDescent="0.4">
      <c r="A22" s="8">
        <v>3</v>
      </c>
      <c r="B22" s="8">
        <v>25.431249999999999</v>
      </c>
      <c r="C22" s="8">
        <v>17</v>
      </c>
      <c r="D22" s="8">
        <v>32</v>
      </c>
      <c r="E22" s="8">
        <v>0.15454545454545454</v>
      </c>
      <c r="F22" s="8">
        <v>0.29090909090909089</v>
      </c>
    </row>
    <row r="23" spans="1:6" x14ac:dyDescent="0.4">
      <c r="A23" s="8">
        <v>4</v>
      </c>
      <c r="B23" s="8">
        <v>29.443750000000001</v>
      </c>
      <c r="C23" s="8">
        <v>30</v>
      </c>
      <c r="D23" s="8">
        <v>62</v>
      </c>
      <c r="E23" s="8">
        <v>0.27272727272727271</v>
      </c>
      <c r="F23" s="8">
        <v>0.5636363636363636</v>
      </c>
    </row>
    <row r="24" spans="1:6" x14ac:dyDescent="0.4">
      <c r="A24" s="8">
        <v>5</v>
      </c>
      <c r="B24" s="8">
        <v>33.456249999999997</v>
      </c>
      <c r="C24" s="8">
        <v>24</v>
      </c>
      <c r="D24" s="8">
        <v>86</v>
      </c>
      <c r="E24" s="8">
        <v>0.21818181818181817</v>
      </c>
      <c r="F24" s="8">
        <v>0.78181818181818186</v>
      </c>
    </row>
    <row r="25" spans="1:6" x14ac:dyDescent="0.4">
      <c r="A25" s="8">
        <v>6</v>
      </c>
      <c r="B25" s="8">
        <v>37.46875</v>
      </c>
      <c r="C25" s="8">
        <v>16</v>
      </c>
      <c r="D25" s="8">
        <v>102</v>
      </c>
      <c r="E25" s="8">
        <v>0.14545454545454545</v>
      </c>
      <c r="F25" s="8">
        <v>0.92727272727272725</v>
      </c>
    </row>
    <row r="26" spans="1:6" x14ac:dyDescent="0.4">
      <c r="A26" s="8">
        <v>7</v>
      </c>
      <c r="B26" s="8">
        <v>41.481250000000003</v>
      </c>
      <c r="C26" s="8">
        <v>4</v>
      </c>
      <c r="D26" s="8">
        <v>106</v>
      </c>
      <c r="E26" s="8">
        <v>3.6363636363636362E-2</v>
      </c>
      <c r="F26" s="8">
        <v>0.96363636363636362</v>
      </c>
    </row>
    <row r="27" spans="1:6" x14ac:dyDescent="0.4">
      <c r="A27" s="8">
        <v>8</v>
      </c>
      <c r="B27" s="8">
        <v>45.493750000000006</v>
      </c>
      <c r="C27" s="8">
        <v>4</v>
      </c>
      <c r="D27" s="8">
        <v>110</v>
      </c>
      <c r="E27" s="8">
        <v>3.6363636363636362E-2</v>
      </c>
      <c r="F27" s="8">
        <v>1</v>
      </c>
    </row>
    <row r="28" spans="1:6" ht="18.5" thickBot="1" x14ac:dyDescent="0.45"/>
    <row r="29" spans="1:6" ht="20.25" customHeight="1" thickTop="1" thickBot="1" x14ac:dyDescent="0.45">
      <c r="A29" s="17" t="s">
        <v>31</v>
      </c>
      <c r="B29" s="16"/>
      <c r="C29" s="1"/>
    </row>
    <row r="30" spans="1:6" ht="19" thickTop="1" thickBot="1" x14ac:dyDescent="0.45">
      <c r="A30" s="9" t="s">
        <v>30</v>
      </c>
      <c r="B30" s="8">
        <f>B12+'ЛР1-1'!H2*(D12-D11)/(2*D12-D11-D13)</f>
        <v>30.182894736842105</v>
      </c>
      <c r="C30" s="1"/>
      <c r="E30" s="9" t="s">
        <v>29</v>
      </c>
      <c r="F30" s="9" t="s">
        <v>28</v>
      </c>
    </row>
    <row r="31" spans="1:6" ht="19" thickTop="1" thickBot="1" x14ac:dyDescent="0.45">
      <c r="A31" s="9" t="s">
        <v>27</v>
      </c>
      <c r="B31" s="8">
        <f>B12+'ЛР1-1'!H2*('ЛР1-1'!C2/2-E11)/D12</f>
        <v>30.513750000000002</v>
      </c>
      <c r="C31" s="1"/>
      <c r="E31" s="8">
        <f>B32-B34</f>
        <v>24.403527271248528</v>
      </c>
      <c r="F31" s="8">
        <f>B32+B34</f>
        <v>36.964427274206024</v>
      </c>
    </row>
    <row r="32" spans="1:6" ht="19" thickTop="1" thickBot="1" x14ac:dyDescent="0.45">
      <c r="A32" s="9" t="s">
        <v>26</v>
      </c>
      <c r="B32" s="8">
        <f>SUMPRODUCT(B20:B27,C20:C27)/'ЛР1-1'!C2</f>
        <v>30.683977272727276</v>
      </c>
      <c r="C32" s="1"/>
    </row>
    <row r="33" spans="1:3" ht="19" thickTop="1" thickBot="1" x14ac:dyDescent="0.45">
      <c r="A33" s="9" t="s">
        <v>25</v>
      </c>
      <c r="B33" s="8">
        <f>SUMPRODUCT(A39:A46,C20:C27)/'ЛР1-1'!C2</f>
        <v>39.444052221074379</v>
      </c>
      <c r="C33" s="1"/>
    </row>
    <row r="34" spans="1:3" ht="19" thickTop="1" thickBot="1" x14ac:dyDescent="0.45">
      <c r="A34" s="9" t="s">
        <v>24</v>
      </c>
      <c r="B34" s="8">
        <f>B33^0.5</f>
        <v>6.2804500014787461</v>
      </c>
      <c r="C34" s="1"/>
    </row>
    <row r="35" spans="1:3" ht="19" thickTop="1" thickBot="1" x14ac:dyDescent="0.45">
      <c r="A35" s="9" t="s">
        <v>23</v>
      </c>
      <c r="B35" s="8">
        <f>SUMPRODUCT(B39:B46,C20:C27)/(B34^3*'ЛР1-1'!C2)</f>
        <v>0.16324813342287586</v>
      </c>
      <c r="C35" s="1"/>
    </row>
    <row r="36" spans="1:3" ht="19" thickTop="1" thickBot="1" x14ac:dyDescent="0.45">
      <c r="A36" s="9" t="s">
        <v>22</v>
      </c>
      <c r="B36" s="8">
        <f>SUMPRODUCT(C39:C46,C20:C27)/('ЛР1-1'!C2*'ЛР1-2'!B34^4)-3</f>
        <v>-0.21403133311136058</v>
      </c>
      <c r="C36" s="1"/>
    </row>
    <row r="37" spans="1:3" ht="19" thickTop="1" thickBot="1" x14ac:dyDescent="0.45"/>
    <row r="38" spans="1:3" ht="19" thickTop="1" thickBot="1" x14ac:dyDescent="0.45">
      <c r="A38" s="9" t="s">
        <v>21</v>
      </c>
      <c r="B38" s="9" t="s">
        <v>20</v>
      </c>
      <c r="C38" s="9" t="s">
        <v>19</v>
      </c>
    </row>
    <row r="39" spans="1:3" ht="18.5" thickTop="1" x14ac:dyDescent="0.4">
      <c r="A39" s="8">
        <f>(B20-$B$32)^2</f>
        <v>176.29804152892569</v>
      </c>
      <c r="B39" s="8">
        <f>(B20-$B$32)^3</f>
        <v>-2340.8373141370225</v>
      </c>
      <c r="C39" s="8">
        <f>(B20-$B$32)^4</f>
        <v>31080.999446934809</v>
      </c>
    </row>
    <row r="40" spans="1:3" x14ac:dyDescent="0.4">
      <c r="A40" s="8">
        <f>(B21-$B$32)^2</f>
        <v>85.844436415289266</v>
      </c>
      <c r="B40" s="8">
        <f>(B21-$B$32)^3</f>
        <v>-795.36821348684032</v>
      </c>
      <c r="C40" s="8">
        <f>(B21-$B$32)^4</f>
        <v>7369.2672634586415</v>
      </c>
    </row>
    <row r="41" spans="1:3" x14ac:dyDescent="0.4">
      <c r="A41" s="8">
        <f>(B22-$B$32)^2</f>
        <v>27.59114380165294</v>
      </c>
      <c r="B41" s="8">
        <f>(B22-$B$32)^3</f>
        <v>-144.92875353268258</v>
      </c>
      <c r="C41" s="8">
        <f>(B22-$B$32)^4</f>
        <v>761.27121628349141</v>
      </c>
    </row>
    <row r="42" spans="1:3" x14ac:dyDescent="0.4">
      <c r="A42" s="8">
        <f>(B23-$B$32)^2</f>
        <v>1.5381636880165332</v>
      </c>
      <c r="B42" s="8">
        <f>(B23-$B$32)^3</f>
        <v>-1.9076725557968714</v>
      </c>
      <c r="C42" s="8">
        <f>(B23-$B$32)^4</f>
        <v>2.365947531132623</v>
      </c>
    </row>
    <row r="43" spans="1:3" x14ac:dyDescent="0.4">
      <c r="A43" s="8">
        <f>(B24-$B$32)^2</f>
        <v>7.6854960743801319</v>
      </c>
      <c r="B43" s="8">
        <f>(B24-$B$32)^3</f>
        <v>21.3062911625656</v>
      </c>
      <c r="C43" s="8">
        <f>(B24-$B$32)^4</f>
        <v>59.066849909312417</v>
      </c>
    </row>
    <row r="44" spans="1:3" x14ac:dyDescent="0.4">
      <c r="A44" s="8">
        <f>(B25-$B$32)^2</f>
        <v>46.033140960743758</v>
      </c>
      <c r="B44" s="8">
        <f>(B25-$B$32)^3</f>
        <v>312.32439934115519</v>
      </c>
      <c r="C44" s="8">
        <f>(B25-$B$32)^4</f>
        <v>2119.0500667117049</v>
      </c>
    </row>
    <row r="45" spans="1:3" x14ac:dyDescent="0.4">
      <c r="A45" s="8">
        <f>(B26-$B$32)^2</f>
        <v>116.58109834710743</v>
      </c>
      <c r="B45" s="8">
        <f>(B26-$B$32)^3</f>
        <v>1258.7579136987226</v>
      </c>
      <c r="C45" s="8">
        <f>(B26-$B$32)^4</f>
        <v>13591.152491817935</v>
      </c>
    </row>
    <row r="46" spans="1:3" x14ac:dyDescent="0.4">
      <c r="A46" s="8">
        <f>(B27-$B$32)^2</f>
        <v>219.32936823347114</v>
      </c>
      <c r="B46" s="8">
        <f>(B27-$B$32)^3</f>
        <v>3248.2180959540187</v>
      </c>
      <c r="C46" s="8">
        <f>(B27-$B$32)^4</f>
        <v>48105.371769693578</v>
      </c>
    </row>
  </sheetData>
  <mergeCells count="5">
    <mergeCell ref="A29:B29"/>
    <mergeCell ref="A7:G7"/>
    <mergeCell ref="A18:F18"/>
    <mergeCell ref="A1:H6"/>
    <mergeCell ref="J1:Q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DBD5-6830-42C8-9CAE-BFE5CA2EA993}">
  <dimension ref="A1:L17"/>
  <sheetViews>
    <sheetView zoomScaleNormal="100" workbookViewId="0">
      <selection activeCell="G22" sqref="G22"/>
    </sheetView>
  </sheetViews>
  <sheetFormatPr defaultRowHeight="14.5" x14ac:dyDescent="0.35"/>
  <cols>
    <col min="1" max="1" width="13.1796875" style="1" bestFit="1" customWidth="1"/>
    <col min="2" max="9" width="8.7265625" style="1"/>
    <col min="10" max="10" width="20.26953125" style="1" customWidth="1"/>
    <col min="11" max="16384" width="8.7265625" style="1"/>
  </cols>
  <sheetData>
    <row r="1" spans="1:12" ht="15.5" thickTop="1" thickBot="1" x14ac:dyDescent="0.4">
      <c r="A1" s="21" t="s">
        <v>42</v>
      </c>
      <c r="B1" s="8"/>
    </row>
    <row r="2" spans="1:12" ht="15.5" thickTop="1" thickBot="1" x14ac:dyDescent="0.4">
      <c r="A2" s="21" t="s">
        <v>41</v>
      </c>
      <c r="B2" s="8">
        <v>30.683977272727276</v>
      </c>
    </row>
    <row r="3" spans="1:12" ht="31.5" customHeight="1" thickTop="1" thickBot="1" x14ac:dyDescent="0.4">
      <c r="A3" s="21" t="s">
        <v>40</v>
      </c>
      <c r="B3" s="8">
        <v>6.2804500014787461</v>
      </c>
      <c r="E3" s="23" t="s">
        <v>39</v>
      </c>
      <c r="F3" s="22"/>
    </row>
    <row r="4" spans="1:12" ht="15.5" thickTop="1" thickBot="1" x14ac:dyDescent="0.4">
      <c r="A4" s="21" t="s">
        <v>38</v>
      </c>
      <c r="B4" s="8">
        <v>0.05</v>
      </c>
    </row>
    <row r="5" spans="1:12" ht="15" thickTop="1" x14ac:dyDescent="0.35"/>
    <row r="6" spans="1:12" ht="15" thickBot="1" x14ac:dyDescent="0.4"/>
    <row r="7" spans="1:12" ht="15" customHeight="1" thickTop="1" thickBot="1" x14ac:dyDescent="0.4">
      <c r="A7" s="20" t="s">
        <v>9</v>
      </c>
      <c r="B7" s="20"/>
      <c r="C7" s="20"/>
      <c r="D7" s="20"/>
      <c r="E7" s="20"/>
      <c r="F7" s="20"/>
      <c r="G7" s="20"/>
      <c r="H7" s="20"/>
      <c r="I7" s="20"/>
      <c r="J7" s="20"/>
      <c r="K7" s="20"/>
      <c r="L7" s="20"/>
    </row>
    <row r="8" spans="1:12" ht="15.5" thickTop="1" thickBot="1" x14ac:dyDescent="0.4">
      <c r="A8" s="10" t="s">
        <v>5</v>
      </c>
      <c r="B8" s="9" t="s">
        <v>8</v>
      </c>
      <c r="C8" s="9" t="s">
        <v>7</v>
      </c>
      <c r="D8" s="9" t="s">
        <v>3</v>
      </c>
      <c r="E8" s="9" t="s">
        <v>2</v>
      </c>
      <c r="F8" s="9" t="s">
        <v>1</v>
      </c>
      <c r="G8" s="9" t="s">
        <v>0</v>
      </c>
      <c r="H8" s="9" t="s">
        <v>37</v>
      </c>
      <c r="I8" s="9" t="s">
        <v>36</v>
      </c>
      <c r="J8" s="9" t="s">
        <v>35</v>
      </c>
      <c r="K8" s="9" t="s">
        <v>34</v>
      </c>
      <c r="L8" s="9" t="s">
        <v>33</v>
      </c>
    </row>
    <row r="9" spans="1:12" ht="15" thickTop="1" x14ac:dyDescent="0.35">
      <c r="A9" s="10">
        <v>1</v>
      </c>
      <c r="B9" s="10">
        <v>15.4</v>
      </c>
      <c r="C9" s="10">
        <v>19.412500000000001</v>
      </c>
      <c r="D9" s="10">
        <v>3</v>
      </c>
      <c r="E9" s="10">
        <v>3</v>
      </c>
      <c r="F9" s="10">
        <v>2.7272727272727271E-2</v>
      </c>
      <c r="G9" s="10">
        <v>2.7272727272727271E-2</v>
      </c>
      <c r="H9" s="8">
        <f>_xlfn.NORM.DIST(C9,$B$2,$B$3,TRUE)-_xlfn.NORM.DIST(B9,$B$2,$B$3,TRUE)</f>
        <v>2.8876177015189713E-2</v>
      </c>
      <c r="I9" s="8">
        <f>H9*'ЛР1-1'!$C$2</f>
        <v>3.1763794716708684</v>
      </c>
      <c r="J9" s="8">
        <f>(D9-I9)^2/I9</f>
        <v>9.7940810612688091E-3</v>
      </c>
      <c r="K9" s="8">
        <f>SUM(J9:J16)</f>
        <v>4.7691034071919187</v>
      </c>
      <c r="L9" s="8">
        <f>_xlfn.CHISQ.INV(0.95,8-2-1)</f>
        <v>11.070497693516351</v>
      </c>
    </row>
    <row r="10" spans="1:12" x14ac:dyDescent="0.35">
      <c r="A10" s="10">
        <v>2</v>
      </c>
      <c r="B10" s="10">
        <v>19.412500000000001</v>
      </c>
      <c r="C10" s="10">
        <v>23.425000000000001</v>
      </c>
      <c r="D10" s="10">
        <v>12</v>
      </c>
      <c r="E10" s="10">
        <v>15</v>
      </c>
      <c r="F10" s="10">
        <v>0.10909090909090909</v>
      </c>
      <c r="G10" s="10">
        <v>0.13636363636363635</v>
      </c>
      <c r="H10" s="8">
        <f>_xlfn.NORM.DIST(C10,$B$2,$B$3,TRUE)-_xlfn.NORM.DIST(B10,$B$2,$B$3,TRUE)</f>
        <v>8.7529062971797855E-2</v>
      </c>
      <c r="I10" s="8">
        <f>H10*'ЛР1-1'!$C$2</f>
        <v>9.6281969268977647</v>
      </c>
      <c r="J10" s="8">
        <f>(D10-I10)^2/I10</f>
        <v>0.58426825503139612</v>
      </c>
      <c r="K10" s="8"/>
      <c r="L10" s="8"/>
    </row>
    <row r="11" spans="1:12" x14ac:dyDescent="0.35">
      <c r="A11" s="10">
        <v>3</v>
      </c>
      <c r="B11" s="10">
        <v>23.425000000000001</v>
      </c>
      <c r="C11" s="10">
        <v>27.4375</v>
      </c>
      <c r="D11" s="10">
        <v>17</v>
      </c>
      <c r="E11" s="10">
        <v>32</v>
      </c>
      <c r="F11" s="10">
        <v>0.15454545454545454</v>
      </c>
      <c r="G11" s="10">
        <v>0.29090909090909089</v>
      </c>
      <c r="H11" s="8">
        <f>_xlfn.NORM.DIST(C11,$B$2,$B$3,TRUE)-_xlfn.NORM.DIST(B11,$B$2,$B$3,TRUE)</f>
        <v>0.17872631564833452</v>
      </c>
      <c r="I11" s="8">
        <f>H11*'ЛР1-1'!$C$2</f>
        <v>19.659894721316796</v>
      </c>
      <c r="J11" s="8">
        <f>(D11-I11)^2/I11</f>
        <v>0.35987170983258848</v>
      </c>
      <c r="K11" s="8"/>
      <c r="L11" s="8"/>
    </row>
    <row r="12" spans="1:12" x14ac:dyDescent="0.35">
      <c r="A12" s="10">
        <v>4</v>
      </c>
      <c r="B12" s="10">
        <v>27.4375</v>
      </c>
      <c r="C12" s="10">
        <v>31.45</v>
      </c>
      <c r="D12" s="10">
        <v>30</v>
      </c>
      <c r="E12" s="10">
        <v>62</v>
      </c>
      <c r="F12" s="10">
        <v>0.27272727272727271</v>
      </c>
      <c r="G12" s="10">
        <v>0.5636363636363636</v>
      </c>
      <c r="H12" s="8">
        <f>_xlfn.NORM.DIST(C12,$B$2,$B$3,TRUE)-_xlfn.NORM.DIST(B12,$B$2,$B$3,TRUE)</f>
        <v>0.24593165220661717</v>
      </c>
      <c r="I12" s="8">
        <f>H12*'ЛР1-1'!$C$2</f>
        <v>27.052481742727888</v>
      </c>
      <c r="J12" s="8">
        <f>(D12-I12)^2/I12</f>
        <v>0.32114849792987493</v>
      </c>
      <c r="K12" s="8"/>
      <c r="L12" s="8"/>
    </row>
    <row r="13" spans="1:12" x14ac:dyDescent="0.35">
      <c r="A13" s="10">
        <v>5</v>
      </c>
      <c r="B13" s="10">
        <v>31.45</v>
      </c>
      <c r="C13" s="10">
        <v>35.462499999999999</v>
      </c>
      <c r="D13" s="10">
        <v>24</v>
      </c>
      <c r="E13" s="10">
        <v>86</v>
      </c>
      <c r="F13" s="10">
        <v>0.21818181818181817</v>
      </c>
      <c r="G13" s="10">
        <v>0.78181818181818186</v>
      </c>
      <c r="H13" s="8">
        <f>_xlfn.NORM.DIST(C13,$B$2,$B$3,TRUE)-_xlfn.NORM.DIST(B13,$B$2,$B$3,TRUE)</f>
        <v>0.22809030649128925</v>
      </c>
      <c r="I13" s="8">
        <f>H13*'ЛР1-1'!$C$2</f>
        <v>25.089933714041816</v>
      </c>
      <c r="J13" s="8">
        <f>(D13-I13)^2/I13</f>
        <v>4.7347893164824788E-2</v>
      </c>
      <c r="K13" s="8"/>
      <c r="L13" s="8"/>
    </row>
    <row r="14" spans="1:12" x14ac:dyDescent="0.35">
      <c r="A14" s="10">
        <v>6</v>
      </c>
      <c r="B14" s="10">
        <v>35.462499999999999</v>
      </c>
      <c r="C14" s="10">
        <v>39.475000000000001</v>
      </c>
      <c r="D14" s="10">
        <v>16</v>
      </c>
      <c r="E14" s="10">
        <v>102</v>
      </c>
      <c r="F14" s="10">
        <v>0.14545454545454545</v>
      </c>
      <c r="G14" s="10">
        <v>0.92727272727272725</v>
      </c>
      <c r="H14" s="8">
        <f>_xlfn.NORM.DIST(C14,$B$2,$B$3,TRUE)-_xlfn.NORM.DIST(B14,$B$2,$B$3,TRUE)</f>
        <v>0.14257633530664404</v>
      </c>
      <c r="I14" s="8">
        <f>H14*'ЛР1-1'!$C$2</f>
        <v>15.683396883730845</v>
      </c>
      <c r="J14" s="8">
        <f>(D14-I14)^2/I14</f>
        <v>6.3913152217247868E-3</v>
      </c>
      <c r="K14" s="8"/>
      <c r="L14" s="8"/>
    </row>
    <row r="15" spans="1:12" x14ac:dyDescent="0.35">
      <c r="A15" s="10">
        <v>7</v>
      </c>
      <c r="B15" s="10">
        <v>39.475000000000001</v>
      </c>
      <c r="C15" s="10">
        <v>43.487500000000004</v>
      </c>
      <c r="D15" s="10">
        <v>4</v>
      </c>
      <c r="E15" s="10">
        <v>106</v>
      </c>
      <c r="F15" s="10">
        <v>3.6363636363636362E-2</v>
      </c>
      <c r="G15" s="10">
        <v>0.96363636363636362</v>
      </c>
      <c r="H15" s="8">
        <f>_xlfn.NORM.DIST(C15,$B$2,$B$3,TRUE)-_xlfn.NORM.DIST(B15,$B$2,$B$3,TRUE)</f>
        <v>6.0051570623165906E-2</v>
      </c>
      <c r="I15" s="8">
        <f>H15*'ЛР1-1'!$C$2</f>
        <v>6.6056727685482493</v>
      </c>
      <c r="J15" s="8">
        <f>(D15-I15)^2/I15</f>
        <v>1.0278333206393535</v>
      </c>
      <c r="K15" s="8"/>
      <c r="L15" s="8"/>
    </row>
    <row r="16" spans="1:12" x14ac:dyDescent="0.35">
      <c r="A16" s="10">
        <v>8</v>
      </c>
      <c r="B16" s="10">
        <v>43.487500000000004</v>
      </c>
      <c r="C16" s="10">
        <v>47.500000000000007</v>
      </c>
      <c r="D16" s="10">
        <v>4</v>
      </c>
      <c r="E16" s="10">
        <v>110</v>
      </c>
      <c r="F16" s="10">
        <v>3.6363636363636362E-2</v>
      </c>
      <c r="G16" s="10">
        <v>1</v>
      </c>
      <c r="H16" s="8">
        <f>_xlfn.NORM.DIST(C16,$B$2,$B$3,TRUE)-_xlfn.NORM.DIST(B16,$B$2,$B$3,TRUE)</f>
        <v>1.7034928403916738E-2</v>
      </c>
      <c r="I16" s="8">
        <f>H16*'ЛР1-1'!$C$2</f>
        <v>1.8738421244308412</v>
      </c>
      <c r="J16" s="8">
        <f>(D16-I16)^2/I16</f>
        <v>2.4124483343108873</v>
      </c>
      <c r="K16" s="8"/>
      <c r="L16" s="8"/>
    </row>
    <row r="17" spans="6:6" x14ac:dyDescent="0.35">
      <c r="F17" s="7">
        <f>SUM(F9:F16)</f>
        <v>1</v>
      </c>
    </row>
  </sheetData>
  <mergeCells count="2">
    <mergeCell ref="A7:L7"/>
    <mergeCell ref="E3:F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501F5-BB84-4B47-A041-37E55E3A5E71}">
  <dimension ref="A1:Q27"/>
  <sheetViews>
    <sheetView zoomScale="85" zoomScaleNormal="85" workbookViewId="0">
      <selection activeCell="I26" sqref="I26"/>
    </sheetView>
  </sheetViews>
  <sheetFormatPr defaultRowHeight="14.5" x14ac:dyDescent="0.35"/>
  <cols>
    <col min="1" max="1" width="8.7265625" style="1"/>
    <col min="2" max="2" width="23" style="1" bestFit="1" customWidth="1"/>
    <col min="3" max="3" width="8.7265625" style="1"/>
    <col min="4" max="4" width="7.26953125" style="1" bestFit="1" customWidth="1"/>
    <col min="5" max="5" width="15.7265625" style="1" bestFit="1" customWidth="1"/>
    <col min="6" max="6" width="16.453125" style="1" bestFit="1" customWidth="1"/>
    <col min="7" max="7" width="11.453125" style="1" bestFit="1" customWidth="1"/>
    <col min="8" max="8" width="14.26953125" style="1" bestFit="1" customWidth="1"/>
    <col min="9" max="11" width="8.7265625" style="1"/>
    <col min="12" max="12" width="11.81640625" style="1" bestFit="1" customWidth="1"/>
    <col min="13" max="16384" width="8.7265625" style="1"/>
  </cols>
  <sheetData>
    <row r="1" spans="1:17" ht="30.75" customHeight="1" thickTop="1" thickBot="1" x14ac:dyDescent="0.4">
      <c r="A1" s="29" t="s">
        <v>75</v>
      </c>
      <c r="B1" s="29" t="s">
        <v>74</v>
      </c>
      <c r="C1" s="29"/>
      <c r="D1" s="29"/>
      <c r="E1" s="29"/>
      <c r="F1" s="29"/>
      <c r="G1" s="29"/>
      <c r="H1" s="29"/>
      <c r="I1" s="29"/>
      <c r="J1" s="29"/>
      <c r="K1" s="29"/>
      <c r="L1" s="28" t="s">
        <v>73</v>
      </c>
      <c r="M1" s="25" t="s">
        <v>72</v>
      </c>
      <c r="N1" s="25"/>
      <c r="O1" s="25"/>
      <c r="P1" s="25"/>
      <c r="Q1" s="25"/>
    </row>
    <row r="2" spans="1:17" ht="15.5" thickTop="1" thickBot="1" x14ac:dyDescent="0.4">
      <c r="A2" s="29"/>
      <c r="B2" s="29" t="s">
        <v>71</v>
      </c>
      <c r="C2" s="29"/>
      <c r="D2" s="29"/>
      <c r="E2" s="29"/>
      <c r="F2" s="29"/>
      <c r="G2" s="29"/>
      <c r="H2" s="29"/>
      <c r="I2" s="29"/>
      <c r="J2" s="29"/>
      <c r="K2" s="29"/>
      <c r="L2" s="28"/>
      <c r="M2" s="25"/>
      <c r="N2" s="25"/>
      <c r="O2" s="25"/>
      <c r="P2" s="25"/>
      <c r="Q2" s="25"/>
    </row>
    <row r="3" spans="1:17" ht="30" thickTop="1" thickBot="1" x14ac:dyDescent="0.4">
      <c r="A3" s="15" t="s">
        <v>70</v>
      </c>
      <c r="B3" s="27">
        <v>242</v>
      </c>
      <c r="C3" s="27">
        <v>245</v>
      </c>
      <c r="D3" s="27">
        <v>244</v>
      </c>
      <c r="E3" s="27">
        <v>248</v>
      </c>
      <c r="F3" s="27">
        <v>247</v>
      </c>
      <c r="G3" s="27">
        <v>248</v>
      </c>
      <c r="H3" s="27">
        <v>242</v>
      </c>
      <c r="I3" s="27">
        <v>244</v>
      </c>
      <c r="J3" s="27">
        <v>246</v>
      </c>
      <c r="K3" s="27">
        <v>242</v>
      </c>
      <c r="L3" s="26">
        <v>0</v>
      </c>
      <c r="M3" s="25"/>
      <c r="N3" s="25"/>
      <c r="O3" s="25"/>
      <c r="P3" s="25"/>
      <c r="Q3" s="25"/>
    </row>
    <row r="4" spans="1:17" ht="30" thickTop="1" thickBot="1" x14ac:dyDescent="0.4">
      <c r="A4" s="15" t="s">
        <v>69</v>
      </c>
      <c r="B4" s="27">
        <v>248</v>
      </c>
      <c r="C4" s="27">
        <v>246</v>
      </c>
      <c r="D4" s="27">
        <v>245</v>
      </c>
      <c r="E4" s="27">
        <v>247</v>
      </c>
      <c r="F4" s="27">
        <v>248</v>
      </c>
      <c r="G4" s="27">
        <v>250</v>
      </c>
      <c r="H4" s="27">
        <v>247</v>
      </c>
      <c r="I4" s="27">
        <v>246</v>
      </c>
      <c r="J4" s="27">
        <v>243</v>
      </c>
      <c r="K4" s="27">
        <v>244</v>
      </c>
      <c r="L4" s="26">
        <v>100</v>
      </c>
      <c r="M4" s="25"/>
      <c r="N4" s="25"/>
      <c r="O4" s="25"/>
      <c r="P4" s="25"/>
      <c r="Q4" s="25"/>
    </row>
    <row r="5" spans="1:17" ht="30" thickTop="1" thickBot="1" x14ac:dyDescent="0.4">
      <c r="A5" s="15" t="s">
        <v>68</v>
      </c>
      <c r="B5" s="27">
        <v>246</v>
      </c>
      <c r="C5" s="27">
        <v>248</v>
      </c>
      <c r="D5" s="27">
        <v>250</v>
      </c>
      <c r="E5" s="27">
        <v>252</v>
      </c>
      <c r="F5" s="27">
        <v>248</v>
      </c>
      <c r="G5" s="27">
        <v>250</v>
      </c>
      <c r="H5" s="27">
        <v>246</v>
      </c>
      <c r="I5" s="27">
        <v>248</v>
      </c>
      <c r="J5" s="27">
        <v>245</v>
      </c>
      <c r="K5" s="27">
        <v>250</v>
      </c>
      <c r="L5" s="26">
        <v>200</v>
      </c>
      <c r="M5" s="25"/>
      <c r="N5" s="25"/>
      <c r="O5" s="25"/>
      <c r="P5" s="25"/>
      <c r="Q5" s="25"/>
    </row>
    <row r="6" spans="1:17" ht="15.5" thickTop="1" thickBot="1" x14ac:dyDescent="0.4">
      <c r="M6" s="25"/>
      <c r="N6" s="25"/>
      <c r="O6" s="25"/>
      <c r="P6" s="25"/>
      <c r="Q6" s="25"/>
    </row>
    <row r="7" spans="1:17" ht="15.5" thickTop="1" thickBot="1" x14ac:dyDescent="0.4">
      <c r="A7" s="21" t="s">
        <v>67</v>
      </c>
      <c r="B7" s="8">
        <f>COUNT(B3:K5)</f>
        <v>30</v>
      </c>
      <c r="M7" s="25"/>
      <c r="N7" s="25"/>
      <c r="O7" s="25"/>
      <c r="P7" s="25"/>
      <c r="Q7" s="25"/>
    </row>
    <row r="8" spans="1:17" ht="15.5" thickTop="1" thickBot="1" x14ac:dyDescent="0.4">
      <c r="M8" s="25"/>
      <c r="N8" s="25"/>
      <c r="O8" s="25"/>
      <c r="P8" s="25"/>
      <c r="Q8" s="25"/>
    </row>
    <row r="9" spans="1:17" ht="15.5" thickTop="1" thickBot="1" x14ac:dyDescent="0.4">
      <c r="B9" s="21" t="s">
        <v>66</v>
      </c>
      <c r="M9" s="25"/>
      <c r="N9" s="25"/>
      <c r="O9" s="25"/>
      <c r="P9" s="25"/>
      <c r="Q9" s="25"/>
    </row>
    <row r="10" spans="1:17" ht="15.5" thickTop="1" thickBot="1" x14ac:dyDescent="0.4">
      <c r="B10" s="9" t="s">
        <v>65</v>
      </c>
      <c r="C10" s="9" t="s">
        <v>64</v>
      </c>
      <c r="D10" s="9" t="s">
        <v>63</v>
      </c>
      <c r="E10" s="9" t="s">
        <v>62</v>
      </c>
      <c r="F10" s="9" t="s">
        <v>61</v>
      </c>
      <c r="M10" s="25" t="s">
        <v>60</v>
      </c>
      <c r="N10" s="25"/>
      <c r="O10" s="25"/>
      <c r="P10" s="25"/>
      <c r="Q10" s="25"/>
    </row>
    <row r="11" spans="1:17" ht="15" thickTop="1" x14ac:dyDescent="0.35">
      <c r="B11" s="24" t="s">
        <v>59</v>
      </c>
      <c r="C11" s="24">
        <v>10</v>
      </c>
      <c r="D11" s="24">
        <v>2448</v>
      </c>
      <c r="E11" s="24">
        <v>244.8</v>
      </c>
      <c r="F11" s="24">
        <v>5.7333333333333325</v>
      </c>
      <c r="M11" s="25"/>
      <c r="N11" s="25"/>
      <c r="O11" s="25"/>
      <c r="P11" s="25"/>
      <c r="Q11" s="25"/>
    </row>
    <row r="12" spans="1:17" x14ac:dyDescent="0.35">
      <c r="B12" s="24" t="s">
        <v>58</v>
      </c>
      <c r="C12" s="24">
        <v>10</v>
      </c>
      <c r="D12" s="24">
        <v>2464</v>
      </c>
      <c r="E12" s="24">
        <v>246.4</v>
      </c>
      <c r="F12" s="24">
        <v>4.2666666666666666</v>
      </c>
      <c r="M12" s="25"/>
      <c r="N12" s="25"/>
      <c r="O12" s="25"/>
      <c r="P12" s="25"/>
      <c r="Q12" s="25"/>
    </row>
    <row r="13" spans="1:17" x14ac:dyDescent="0.35">
      <c r="B13" s="24" t="s">
        <v>57</v>
      </c>
      <c r="C13" s="24">
        <v>10</v>
      </c>
      <c r="D13" s="24">
        <v>2483</v>
      </c>
      <c r="E13" s="24">
        <v>248.3</v>
      </c>
      <c r="F13" s="24">
        <v>4.8999999999999995</v>
      </c>
    </row>
    <row r="15" spans="1:17" ht="15" thickBot="1" x14ac:dyDescent="0.4"/>
    <row r="16" spans="1:17" ht="15.5" thickTop="1" thickBot="1" x14ac:dyDescent="0.4">
      <c r="B16" s="21" t="s">
        <v>56</v>
      </c>
    </row>
    <row r="17" spans="2:8" ht="15.5" thickTop="1" thickBot="1" x14ac:dyDescent="0.4">
      <c r="B17" s="9" t="s">
        <v>55</v>
      </c>
      <c r="C17" s="9" t="s">
        <v>54</v>
      </c>
      <c r="D17" s="9" t="s">
        <v>53</v>
      </c>
      <c r="E17" s="9" t="s">
        <v>52</v>
      </c>
      <c r="F17" s="9" t="s">
        <v>51</v>
      </c>
      <c r="G17" s="9" t="s">
        <v>50</v>
      </c>
      <c r="H17" s="9" t="s">
        <v>49</v>
      </c>
    </row>
    <row r="18" spans="2:8" ht="15" thickTop="1" x14ac:dyDescent="0.35">
      <c r="B18" s="24" t="s">
        <v>48</v>
      </c>
      <c r="C18" s="24">
        <v>61.400000000000006</v>
      </c>
      <c r="D18" s="24">
        <v>2</v>
      </c>
      <c r="E18" s="24">
        <v>30.700000000000003</v>
      </c>
      <c r="F18" s="24">
        <v>6.1812080536912752</v>
      </c>
      <c r="G18" s="24">
        <v>6.1632135740955557E-3</v>
      </c>
      <c r="H18" s="24">
        <v>3.3541308285291991</v>
      </c>
    </row>
    <row r="19" spans="2:8" x14ac:dyDescent="0.35">
      <c r="B19" s="24" t="s">
        <v>47</v>
      </c>
      <c r="C19" s="24">
        <v>134.1</v>
      </c>
      <c r="D19" s="24">
        <v>27</v>
      </c>
      <c r="E19" s="24">
        <v>4.9666666666666668</v>
      </c>
      <c r="F19" s="24"/>
      <c r="G19" s="24"/>
      <c r="H19" s="24"/>
    </row>
    <row r="20" spans="2:8" x14ac:dyDescent="0.35">
      <c r="B20" s="24"/>
      <c r="C20" s="24"/>
      <c r="D20" s="24"/>
      <c r="E20" s="24"/>
      <c r="F20" s="24"/>
      <c r="G20" s="24"/>
      <c r="H20" s="24"/>
    </row>
    <row r="21" spans="2:8" x14ac:dyDescent="0.35">
      <c r="B21" s="24" t="s">
        <v>46</v>
      </c>
      <c r="C21" s="24">
        <v>195.5</v>
      </c>
      <c r="D21" s="24">
        <v>29</v>
      </c>
      <c r="E21" s="24"/>
      <c r="F21" s="24"/>
      <c r="G21" s="24"/>
      <c r="H21" s="24"/>
    </row>
    <row r="22" spans="2:8" ht="15" thickBot="1" x14ac:dyDescent="0.4"/>
    <row r="23" spans="2:8" ht="15.5" thickTop="1" thickBot="1" x14ac:dyDescent="0.4">
      <c r="E23" s="11" t="s">
        <v>45</v>
      </c>
      <c r="F23" s="11"/>
    </row>
    <row r="24" spans="2:8" ht="15.5" thickTop="1" thickBot="1" x14ac:dyDescent="0.4">
      <c r="E24" s="21" t="s">
        <v>44</v>
      </c>
      <c r="F24" s="21" t="s">
        <v>43</v>
      </c>
    </row>
    <row r="25" spans="2:8" ht="15" thickTop="1" x14ac:dyDescent="0.35">
      <c r="E25" s="8">
        <f>E11-_xlfn.T.INV(0.95,28)*SQRT($E$19/C11)</f>
        <v>243.60113508980098</v>
      </c>
      <c r="F25" s="8">
        <f>E11+_xlfn.T.INV(0.95,28)*SQRT($E$19/C11)</f>
        <v>245.99886491019905</v>
      </c>
    </row>
    <row r="26" spans="2:8" x14ac:dyDescent="0.35">
      <c r="E26" s="8">
        <f>E12-_xlfn.T.INV(0.95,28)*SQRT($E$19/C12)</f>
        <v>245.20113508980097</v>
      </c>
      <c r="F26" s="8">
        <f>E12+_xlfn.T.INV(0.95,28)*SQRT($E$19/C12)</f>
        <v>247.59886491019904</v>
      </c>
    </row>
    <row r="27" spans="2:8" x14ac:dyDescent="0.35">
      <c r="E27" s="8">
        <f>E13-_xlfn.T.INV(0.95,28)*SQRT($E$19/C13)</f>
        <v>247.10113508980098</v>
      </c>
      <c r="F27" s="8">
        <f>E13+_xlfn.T.INV(0.95,28)*SQRT($E$19/C13)</f>
        <v>249.49886491019905</v>
      </c>
    </row>
  </sheetData>
  <mergeCells count="7">
    <mergeCell ref="E23:F23"/>
    <mergeCell ref="M1:Q9"/>
    <mergeCell ref="M10:Q12"/>
    <mergeCell ref="L1:L2"/>
    <mergeCell ref="A1:A2"/>
    <mergeCell ref="B1:K1"/>
    <mergeCell ref="B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3081E-7355-412F-BC45-22A424590AC5}">
  <dimension ref="A1:J86"/>
  <sheetViews>
    <sheetView workbookViewId="0">
      <selection activeCell="I20" sqref="I20"/>
    </sheetView>
  </sheetViews>
  <sheetFormatPr defaultRowHeight="14.5" x14ac:dyDescent="0.35"/>
  <cols>
    <col min="1" max="1" width="26.26953125" style="1" bestFit="1" customWidth="1"/>
    <col min="2" max="2" width="17.26953125" style="1" bestFit="1" customWidth="1"/>
    <col min="3" max="3" width="23.26953125" style="1" bestFit="1" customWidth="1"/>
    <col min="4" max="4" width="17.81640625" style="1" bestFit="1" customWidth="1"/>
    <col min="5" max="5" width="12" style="1" bestFit="1" customWidth="1"/>
    <col min="6" max="6" width="14.7265625" style="1" bestFit="1" customWidth="1"/>
    <col min="7" max="7" width="13.1796875" style="1" bestFit="1" customWidth="1"/>
    <col min="8" max="8" width="14.7265625" style="1" bestFit="1" customWidth="1"/>
    <col min="9" max="9" width="14.81640625" style="1" bestFit="1" customWidth="1"/>
    <col min="10" max="10" width="12" style="1" bestFit="1" customWidth="1"/>
    <col min="11" max="16384" width="8.7265625" style="1"/>
  </cols>
  <sheetData>
    <row r="1" spans="1:6" ht="15.5" thickTop="1" thickBot="1" x14ac:dyDescent="0.4">
      <c r="A1" s="14" t="s">
        <v>81</v>
      </c>
      <c r="B1" s="14" t="s">
        <v>104</v>
      </c>
      <c r="D1" s="25" t="s">
        <v>103</v>
      </c>
      <c r="E1" s="25"/>
      <c r="F1" s="25"/>
    </row>
    <row r="2" spans="1:6" ht="15" thickTop="1" x14ac:dyDescent="0.35">
      <c r="A2" s="36">
        <v>259.2</v>
      </c>
      <c r="B2" s="36">
        <v>69051</v>
      </c>
      <c r="D2" s="25"/>
      <c r="E2" s="25"/>
      <c r="F2" s="25"/>
    </row>
    <row r="3" spans="1:6" x14ac:dyDescent="0.35">
      <c r="A3" s="36">
        <v>297.39999999999998</v>
      </c>
      <c r="B3" s="36">
        <v>89430</v>
      </c>
      <c r="D3" s="25"/>
      <c r="E3" s="25"/>
      <c r="F3" s="25"/>
    </row>
    <row r="4" spans="1:6" x14ac:dyDescent="0.35">
      <c r="A4" s="36">
        <v>453.6</v>
      </c>
      <c r="B4" s="36">
        <v>105410</v>
      </c>
      <c r="D4" s="25"/>
      <c r="E4" s="25"/>
      <c r="F4" s="25"/>
    </row>
    <row r="5" spans="1:6" x14ac:dyDescent="0.35">
      <c r="A5" s="36">
        <v>473.7</v>
      </c>
      <c r="B5" s="36">
        <v>175145</v>
      </c>
      <c r="D5" s="25"/>
      <c r="E5" s="25"/>
      <c r="F5" s="25"/>
    </row>
    <row r="6" spans="1:6" x14ac:dyDescent="0.35">
      <c r="A6" s="36">
        <v>517.1</v>
      </c>
      <c r="B6" s="36">
        <v>196632</v>
      </c>
      <c r="D6" s="25"/>
      <c r="E6" s="25"/>
      <c r="F6" s="25"/>
    </row>
    <row r="7" spans="1:6" x14ac:dyDescent="0.35">
      <c r="A7" s="36">
        <v>547</v>
      </c>
      <c r="B7" s="36">
        <v>516399</v>
      </c>
      <c r="D7" s="25"/>
      <c r="E7" s="25"/>
      <c r="F7" s="25"/>
    </row>
    <row r="8" spans="1:6" x14ac:dyDescent="0.35">
      <c r="A8" s="36">
        <v>613.79999999999995</v>
      </c>
      <c r="B8" s="36">
        <v>176428</v>
      </c>
    </row>
    <row r="9" spans="1:6" x14ac:dyDescent="0.35">
      <c r="A9" s="36">
        <v>628.1</v>
      </c>
      <c r="B9" s="36">
        <v>233387</v>
      </c>
    </row>
    <row r="10" spans="1:6" x14ac:dyDescent="0.35">
      <c r="A10" s="36">
        <v>837.8</v>
      </c>
      <c r="B10" s="36">
        <v>426384</v>
      </c>
    </row>
    <row r="11" spans="1:6" x14ac:dyDescent="0.35">
      <c r="A11" s="36">
        <v>991.5</v>
      </c>
      <c r="B11" s="36">
        <v>472475</v>
      </c>
    </row>
    <row r="12" spans="1:6" x14ac:dyDescent="0.35">
      <c r="A12" s="36">
        <v>1062.3</v>
      </c>
      <c r="B12" s="36">
        <v>595304</v>
      </c>
    </row>
    <row r="13" spans="1:6" x14ac:dyDescent="0.35">
      <c r="A13" s="36">
        <v>1143.5</v>
      </c>
      <c r="B13" s="36">
        <v>620442</v>
      </c>
    </row>
    <row r="14" spans="1:6" x14ac:dyDescent="0.35">
      <c r="A14" s="36">
        <v>1164.9000000000001</v>
      </c>
      <c r="B14" s="36">
        <v>698362</v>
      </c>
    </row>
    <row r="15" spans="1:6" x14ac:dyDescent="0.35">
      <c r="A15" s="36">
        <v>1250.5999999999999</v>
      </c>
      <c r="B15" s="36">
        <v>576345</v>
      </c>
    </row>
    <row r="23" spans="1:2" ht="15" thickBot="1" x14ac:dyDescent="0.4"/>
    <row r="24" spans="1:2" ht="15.5" thickTop="1" thickBot="1" x14ac:dyDescent="0.4">
      <c r="A24" s="21" t="s">
        <v>102</v>
      </c>
    </row>
    <row r="25" spans="1:2" ht="15.5" thickTop="1" thickBot="1" x14ac:dyDescent="0.4"/>
    <row r="26" spans="1:2" ht="15.5" thickTop="1" thickBot="1" x14ac:dyDescent="0.4">
      <c r="A26" s="35" t="s">
        <v>101</v>
      </c>
      <c r="B26" s="35"/>
    </row>
    <row r="27" spans="1:2" ht="15" thickTop="1" x14ac:dyDescent="0.35">
      <c r="A27" s="8" t="s">
        <v>100</v>
      </c>
      <c r="B27" s="8">
        <v>0.90747380561875246</v>
      </c>
    </row>
    <row r="28" spans="1:2" x14ac:dyDescent="0.35">
      <c r="A28" s="8" t="s">
        <v>99</v>
      </c>
      <c r="B28" s="8">
        <v>0.8235087078841814</v>
      </c>
    </row>
    <row r="29" spans="1:2" x14ac:dyDescent="0.35">
      <c r="A29" s="8" t="s">
        <v>98</v>
      </c>
      <c r="B29" s="8">
        <v>0.80880110020786322</v>
      </c>
    </row>
    <row r="30" spans="1:2" x14ac:dyDescent="0.35">
      <c r="A30" s="8" t="s">
        <v>93</v>
      </c>
      <c r="B30" s="8">
        <v>98428.056493225769</v>
      </c>
    </row>
    <row r="31" spans="1:2" x14ac:dyDescent="0.35">
      <c r="A31" s="8" t="s">
        <v>74</v>
      </c>
      <c r="B31" s="8">
        <v>14</v>
      </c>
    </row>
    <row r="32" spans="1:2" ht="15" thickBot="1" x14ac:dyDescent="0.4"/>
    <row r="33" spans="1:10" ht="15.5" thickTop="1" thickBot="1" x14ac:dyDescent="0.4">
      <c r="A33" s="21" t="s">
        <v>56</v>
      </c>
    </row>
    <row r="34" spans="1:10" ht="15.5" thickTop="1" thickBot="1" x14ac:dyDescent="0.4">
      <c r="A34" s="9"/>
      <c r="B34" s="9" t="s">
        <v>53</v>
      </c>
      <c r="C34" s="9" t="s">
        <v>54</v>
      </c>
      <c r="D34" s="9" t="s">
        <v>52</v>
      </c>
      <c r="E34" s="9" t="s">
        <v>51</v>
      </c>
      <c r="F34" s="9" t="s">
        <v>97</v>
      </c>
    </row>
    <row r="35" spans="1:10" ht="15" thickTop="1" x14ac:dyDescent="0.35">
      <c r="A35" s="8" t="s">
        <v>96</v>
      </c>
      <c r="B35" s="8">
        <v>1</v>
      </c>
      <c r="C35" s="8">
        <v>542455327642.45343</v>
      </c>
      <c r="D35" s="8">
        <v>542455327642.45343</v>
      </c>
      <c r="E35" s="8">
        <v>55.992023040577344</v>
      </c>
      <c r="F35" s="8">
        <v>7.402426357982755E-6</v>
      </c>
    </row>
    <row r="36" spans="1:10" x14ac:dyDescent="0.35">
      <c r="A36" s="8" t="s">
        <v>95</v>
      </c>
      <c r="B36" s="8">
        <v>12</v>
      </c>
      <c r="C36" s="8">
        <v>116256987660.40373</v>
      </c>
      <c r="D36" s="8">
        <v>9688082305.0336437</v>
      </c>
      <c r="E36" s="8"/>
      <c r="F36" s="8"/>
    </row>
    <row r="37" spans="1:10" x14ac:dyDescent="0.35">
      <c r="A37" s="8" t="s">
        <v>46</v>
      </c>
      <c r="B37" s="8">
        <v>13</v>
      </c>
      <c r="C37" s="8">
        <v>658712315302.85718</v>
      </c>
      <c r="D37" s="8"/>
      <c r="E37" s="8"/>
      <c r="F37" s="8"/>
    </row>
    <row r="38" spans="1:10" ht="15" thickBot="1" x14ac:dyDescent="0.4"/>
    <row r="39" spans="1:10" ht="15.5" thickTop="1" thickBot="1" x14ac:dyDescent="0.4">
      <c r="A39" s="10"/>
      <c r="B39" s="9" t="s">
        <v>94</v>
      </c>
      <c r="C39" s="9" t="s">
        <v>93</v>
      </c>
      <c r="D39" s="9" t="s">
        <v>84</v>
      </c>
      <c r="E39" s="9" t="s">
        <v>50</v>
      </c>
      <c r="F39" s="9" t="s">
        <v>92</v>
      </c>
      <c r="G39" s="9" t="s">
        <v>91</v>
      </c>
      <c r="H39" s="9" t="s">
        <v>90</v>
      </c>
      <c r="I39" s="9" t="s">
        <v>89</v>
      </c>
    </row>
    <row r="40" spans="1:10" ht="15" thickTop="1" x14ac:dyDescent="0.35">
      <c r="A40" s="8" t="s">
        <v>88</v>
      </c>
      <c r="B40" s="8">
        <v>-89911.869049659173</v>
      </c>
      <c r="C40" s="8">
        <v>64853.330122569911</v>
      </c>
      <c r="D40" s="8">
        <v>-1.3863878520922479</v>
      </c>
      <c r="E40" s="8">
        <v>0.19084723830736899</v>
      </c>
      <c r="F40" s="8">
        <v>-231215.13676735864</v>
      </c>
      <c r="G40" s="8">
        <v>51391.398668040289</v>
      </c>
      <c r="H40" s="8">
        <v>-231215.13676735864</v>
      </c>
      <c r="I40" s="8">
        <v>51391.398668040289</v>
      </c>
    </row>
    <row r="41" spans="1:10" x14ac:dyDescent="0.35">
      <c r="A41" s="8" t="s">
        <v>81</v>
      </c>
      <c r="B41" s="8">
        <v>606.41181257704488</v>
      </c>
      <c r="C41" s="8">
        <v>81.040959243660524</v>
      </c>
      <c r="D41" s="8">
        <v>7.4827817715457483</v>
      </c>
      <c r="E41" s="8">
        <v>7.4024263579827669E-6</v>
      </c>
      <c r="F41" s="8">
        <v>429.83873084841838</v>
      </c>
      <c r="G41" s="8">
        <v>782.98489430567133</v>
      </c>
      <c r="H41" s="8">
        <v>429.83873084841838</v>
      </c>
      <c r="I41" s="8">
        <v>782.98489430567133</v>
      </c>
    </row>
    <row r="44" spans="1:10" ht="15" thickBot="1" x14ac:dyDescent="0.4"/>
    <row r="45" spans="1:10" ht="15.5" thickTop="1" thickBot="1" x14ac:dyDescent="0.4">
      <c r="A45" s="21" t="s">
        <v>87</v>
      </c>
    </row>
    <row r="46" spans="1:10" ht="15.5" thickTop="1" thickBot="1" x14ac:dyDescent="0.4"/>
    <row r="47" spans="1:10" ht="15.5" thickTop="1" thickBot="1" x14ac:dyDescent="0.4">
      <c r="A47" s="9" t="s">
        <v>86</v>
      </c>
      <c r="B47" s="9" t="s">
        <v>80</v>
      </c>
      <c r="C47" s="9" t="s">
        <v>85</v>
      </c>
    </row>
    <row r="48" spans="1:10" ht="15.5" thickTop="1" thickBot="1" x14ac:dyDescent="0.4">
      <c r="A48" s="8">
        <v>1</v>
      </c>
      <c r="B48" s="8">
        <v>67270.072770310857</v>
      </c>
      <c r="C48" s="8">
        <v>1780.9272296891431</v>
      </c>
      <c r="I48" s="34" t="s">
        <v>84</v>
      </c>
      <c r="J48" s="13">
        <f>B27^2*(B31-2)^0.5/(1-B27^2)^0.5</f>
        <v>6.7904284508392472</v>
      </c>
    </row>
    <row r="49" spans="1:10" ht="15.5" thickTop="1" thickBot="1" x14ac:dyDescent="0.4">
      <c r="A49" s="8">
        <v>2</v>
      </c>
      <c r="B49" s="8">
        <v>90435.004010753968</v>
      </c>
      <c r="C49" s="8">
        <v>-1005.004010753968</v>
      </c>
      <c r="I49" s="34" t="s">
        <v>83</v>
      </c>
      <c r="J49" s="13">
        <f>_xlfn.T.INV.2T(0.05,B31-2)</f>
        <v>2.1788128296672284</v>
      </c>
    </row>
    <row r="50" spans="1:10" ht="15.5" thickTop="1" thickBot="1" x14ac:dyDescent="0.4">
      <c r="A50" s="8">
        <v>3</v>
      </c>
      <c r="B50" s="8">
        <v>185156.52913528838</v>
      </c>
      <c r="C50" s="8">
        <v>-79746.52913528838</v>
      </c>
      <c r="I50" s="28" t="s">
        <v>82</v>
      </c>
      <c r="J50" s="28"/>
    </row>
    <row r="51" spans="1:10" ht="15" thickTop="1" x14ac:dyDescent="0.35">
      <c r="A51" s="8">
        <v>4</v>
      </c>
      <c r="B51" s="8">
        <v>197345.406568087</v>
      </c>
      <c r="C51" s="8">
        <v>-22200.406568086997</v>
      </c>
      <c r="I51" s="13">
        <f>B30^2*(B31-2)/_xlfn.CHISQ.INV(0.975,B31-2)</f>
        <v>4981731187.8885202</v>
      </c>
      <c r="J51" s="13">
        <f>B30^2*(B31-2)/_xlfn.CHISQ.INV(0.025,B31-2)</f>
        <v>26399312200.413715</v>
      </c>
    </row>
    <row r="52" spans="1:10" x14ac:dyDescent="0.35">
      <c r="A52" s="8">
        <v>5</v>
      </c>
      <c r="B52" s="8">
        <v>223663.67923393077</v>
      </c>
      <c r="C52" s="8">
        <v>-27031.679233930772</v>
      </c>
    </row>
    <row r="53" spans="1:10" x14ac:dyDescent="0.35">
      <c r="A53" s="8">
        <v>6</v>
      </c>
      <c r="B53" s="8">
        <v>241795.39242998435</v>
      </c>
      <c r="C53" s="8">
        <v>274603.60757001565</v>
      </c>
    </row>
    <row r="54" spans="1:10" x14ac:dyDescent="0.35">
      <c r="A54" s="8">
        <v>7</v>
      </c>
      <c r="B54" s="8">
        <v>282303.70151013095</v>
      </c>
      <c r="C54" s="8">
        <v>-105875.70151013095</v>
      </c>
    </row>
    <row r="55" spans="1:10" x14ac:dyDescent="0.35">
      <c r="A55" s="8">
        <v>8</v>
      </c>
      <c r="B55" s="8">
        <v>290975.39042998274</v>
      </c>
      <c r="C55" s="8">
        <v>-57588.390429982741</v>
      </c>
    </row>
    <row r="56" spans="1:10" x14ac:dyDescent="0.35">
      <c r="A56" s="8">
        <v>9</v>
      </c>
      <c r="B56" s="8">
        <v>418139.94752738898</v>
      </c>
      <c r="C56" s="8">
        <v>8244.0524726110161</v>
      </c>
    </row>
    <row r="57" spans="1:10" x14ac:dyDescent="0.35">
      <c r="A57" s="8">
        <v>10</v>
      </c>
      <c r="B57" s="8">
        <v>511345.44312048081</v>
      </c>
      <c r="C57" s="8">
        <v>-38870.443120480806</v>
      </c>
    </row>
    <row r="58" spans="1:10" x14ac:dyDescent="0.35">
      <c r="A58" s="8">
        <v>11</v>
      </c>
      <c r="B58" s="8">
        <v>554279.39945093566</v>
      </c>
      <c r="C58" s="8">
        <v>41024.600549064344</v>
      </c>
    </row>
    <row r="59" spans="1:10" x14ac:dyDescent="0.35">
      <c r="A59" s="8">
        <v>12</v>
      </c>
      <c r="B59" s="8">
        <v>603520.03863219172</v>
      </c>
      <c r="C59" s="8">
        <v>16921.961367808282</v>
      </c>
    </row>
    <row r="60" spans="1:10" x14ac:dyDescent="0.35">
      <c r="A60" s="8">
        <v>13</v>
      </c>
      <c r="B60" s="8">
        <v>616497.25142134051</v>
      </c>
      <c r="C60" s="8">
        <v>81864.748578659492</v>
      </c>
    </row>
    <row r="61" spans="1:10" x14ac:dyDescent="0.35">
      <c r="A61" s="8">
        <v>14</v>
      </c>
      <c r="B61" s="8">
        <v>668466.74375919299</v>
      </c>
      <c r="C61" s="8">
        <v>-92121.743759192992</v>
      </c>
    </row>
    <row r="68" spans="1:4" ht="15" thickBot="1" x14ac:dyDescent="0.4">
      <c r="C68" s="33"/>
      <c r="D68" s="33"/>
    </row>
    <row r="69" spans="1:4" ht="15.5" thickTop="1" thickBot="1" x14ac:dyDescent="0.4">
      <c r="A69" s="14" t="s">
        <v>81</v>
      </c>
      <c r="B69" s="14" t="s">
        <v>80</v>
      </c>
      <c r="C69" s="32" t="s">
        <v>79</v>
      </c>
      <c r="D69" s="32" t="s">
        <v>78</v>
      </c>
    </row>
    <row r="70" spans="1:4" ht="15" thickTop="1" x14ac:dyDescent="0.35">
      <c r="A70" s="13">
        <v>259.2</v>
      </c>
      <c r="B70" s="13">
        <v>67270.072770310857</v>
      </c>
      <c r="C70" s="31">
        <f>B70-_xlfn.T.INV.2T(0.05,$B$31-2)*$B$30*(1/$B$31+(A70-$A$86)^2/($B$31*$B$86))^0.5</f>
        <v>-31432.325030445296</v>
      </c>
      <c r="D70" s="31">
        <f>B70+_xlfn.T.INV.2T(0.05,$B$31-2)*$B$30*(1/$B$31+(A70-$A$86)^2/($B$31*$B$86))^0.5</f>
        <v>165972.47057106701</v>
      </c>
    </row>
    <row r="71" spans="1:4" x14ac:dyDescent="0.35">
      <c r="A71" s="13">
        <v>297.39999999999998</v>
      </c>
      <c r="B71" s="13">
        <v>90435.004010753968</v>
      </c>
      <c r="C71" s="31">
        <f>B71-_xlfn.T.INV.2T(0.05,$B$31-2)*$B$30*(1/$B$31+(A71-$A$86)^2/($B$31*$B$86))^0.5</f>
        <v>-3052.0394550671335</v>
      </c>
      <c r="D71" s="31">
        <f>B71+_xlfn.T.INV.2T(0.05,$B$31-2)*$B$30*(1/$B$31+(A71-$A$86)^2/($B$31*$B$86))^0.5</f>
        <v>183922.04747657507</v>
      </c>
    </row>
    <row r="72" spans="1:4" x14ac:dyDescent="0.35">
      <c r="A72" s="13">
        <v>453.6</v>
      </c>
      <c r="B72" s="13">
        <v>185156.52913528838</v>
      </c>
      <c r="C72" s="31">
        <f>B72-_xlfn.T.INV.2T(0.05,$B$31-2)*$B$30*(1/$B$31+(A72-$A$86)^2/($B$31*$B$86))^0.5</f>
        <v>110857.29145752057</v>
      </c>
      <c r="D72" s="31">
        <f>B72+_xlfn.T.INV.2T(0.05,$B$31-2)*$B$30*(1/$B$31+(A72-$A$86)^2/($B$31*$B$86))^0.5</f>
        <v>259455.76681305619</v>
      </c>
    </row>
    <row r="73" spans="1:4" x14ac:dyDescent="0.35">
      <c r="A73" s="13">
        <v>473.7</v>
      </c>
      <c r="B73" s="13">
        <v>197345.406568087</v>
      </c>
      <c r="C73" s="31">
        <f>B73-_xlfn.T.INV.2T(0.05,$B$31-2)*$B$30*(1/$B$31+(A73-$A$86)^2/($B$31*$B$86))^0.5</f>
        <v>125174.18076421681</v>
      </c>
      <c r="D73" s="31">
        <f>B73+_xlfn.T.INV.2T(0.05,$B$31-2)*$B$30*(1/$B$31+(A73-$A$86)^2/($B$31*$B$86))^0.5</f>
        <v>269516.63237195718</v>
      </c>
    </row>
    <row r="74" spans="1:4" x14ac:dyDescent="0.35">
      <c r="A74" s="13">
        <v>517.1</v>
      </c>
      <c r="B74" s="13">
        <v>223663.67923393077</v>
      </c>
      <c r="C74" s="31">
        <f>B74-_xlfn.T.INV.2T(0.05,$B$31-2)*$B$30*(1/$B$31+(A74-$A$86)^2/($B$31*$B$86))^0.5</f>
        <v>155726.44474063587</v>
      </c>
      <c r="D74" s="31">
        <f>B74+_xlfn.T.INV.2T(0.05,$B$31-2)*$B$30*(1/$B$31+(A74-$A$86)^2/($B$31*$B$86))^0.5</f>
        <v>291600.91372722568</v>
      </c>
    </row>
    <row r="75" spans="1:4" x14ac:dyDescent="0.35">
      <c r="A75" s="13">
        <v>547</v>
      </c>
      <c r="B75" s="13">
        <v>241795.39242998435</v>
      </c>
      <c r="C75" s="31">
        <f>B75-_xlfn.T.INV.2T(0.05,$B$31-2)*$B$30*(1/$B$31+(A75-$A$86)^2/($B$31*$B$86))^0.5</f>
        <v>176448.41613378865</v>
      </c>
      <c r="D75" s="31">
        <f>B75+_xlfn.T.INV.2T(0.05,$B$31-2)*$B$30*(1/$B$31+(A75-$A$86)^2/($B$31*$B$86))^0.5</f>
        <v>307142.36872618005</v>
      </c>
    </row>
    <row r="76" spans="1:4" x14ac:dyDescent="0.35">
      <c r="A76" s="13">
        <v>613.79999999999995</v>
      </c>
      <c r="B76" s="13">
        <v>282303.70151013095</v>
      </c>
      <c r="C76" s="31">
        <f>B76-_xlfn.T.INV.2T(0.05,$B$31-2)*$B$30*(1/$B$31+(A76-$A$86)^2/($B$31*$B$86))^0.5</f>
        <v>221591.82645351638</v>
      </c>
      <c r="D76" s="31">
        <f>B76+_xlfn.T.INV.2T(0.05,$B$31-2)*$B$30*(1/$B$31+(A76-$A$86)^2/($B$31*$B$86))^0.5</f>
        <v>343015.57656674553</v>
      </c>
    </row>
    <row r="77" spans="1:4" x14ac:dyDescent="0.35">
      <c r="A77" s="13">
        <v>628.1</v>
      </c>
      <c r="B77" s="13">
        <v>290975.39042998274</v>
      </c>
      <c r="C77" s="31">
        <f>B77-_xlfn.T.INV.2T(0.05,$B$31-2)*$B$30*(1/$B$31+(A77-$A$86)^2/($B$31*$B$86))^0.5</f>
        <v>231021.85889992575</v>
      </c>
      <c r="D77" s="31">
        <f>B77+_xlfn.T.INV.2T(0.05,$B$31-2)*$B$30*(1/$B$31+(A77-$A$86)^2/($B$31*$B$86))^0.5</f>
        <v>350928.92196003976</v>
      </c>
    </row>
    <row r="78" spans="1:4" x14ac:dyDescent="0.35">
      <c r="A78" s="13">
        <v>837.8</v>
      </c>
      <c r="B78" s="13">
        <v>418139.94752738898</v>
      </c>
      <c r="C78" s="31">
        <f>B78-_xlfn.T.INV.2T(0.05,$B$31-2)*$B$30*(1/$B$31+(A78-$A$86)^2/($B$31*$B$86))^0.5</f>
        <v>358036.15738106455</v>
      </c>
      <c r="D78" s="31">
        <f>B78+_xlfn.T.INV.2T(0.05,$B$31-2)*$B$30*(1/$B$31+(A78-$A$86)^2/($B$31*$B$86))^0.5</f>
        <v>478243.73767371342</v>
      </c>
    </row>
    <row r="79" spans="1:4" x14ac:dyDescent="0.35">
      <c r="A79" s="13">
        <v>991.5</v>
      </c>
      <c r="B79" s="13">
        <v>511345.44312048081</v>
      </c>
      <c r="C79" s="31">
        <f>B79-_xlfn.T.INV.2T(0.05,$B$31-2)*$B$30*(1/$B$31+(A79-$A$86)^2/($B$31*$B$86))^0.5</f>
        <v>438938.6997418463</v>
      </c>
      <c r="D79" s="31">
        <f>B79+_xlfn.T.INV.2T(0.05,$B$31-2)*$B$30*(1/$B$31+(A79-$A$86)^2/($B$31*$B$86))^0.5</f>
        <v>583752.18649911531</v>
      </c>
    </row>
    <row r="80" spans="1:4" x14ac:dyDescent="0.35">
      <c r="A80" s="13">
        <v>1062.3</v>
      </c>
      <c r="B80" s="13">
        <v>554279.39945093566</v>
      </c>
      <c r="C80" s="31">
        <f>B80-_xlfn.T.INV.2T(0.05,$B$31-2)*$B$30*(1/$B$31+(A80-$A$86)^2/($B$31*$B$86))^0.5</f>
        <v>473943.44287529687</v>
      </c>
      <c r="D80" s="31">
        <f>B80+_xlfn.T.INV.2T(0.05,$B$31-2)*$B$30*(1/$B$31+(A80-$A$86)^2/($B$31*$B$86))^0.5</f>
        <v>634615.35602657439</v>
      </c>
    </row>
    <row r="81" spans="1:4" x14ac:dyDescent="0.35">
      <c r="A81" s="13">
        <v>1143.5</v>
      </c>
      <c r="B81" s="13">
        <v>603520.03863219172</v>
      </c>
      <c r="C81" s="31">
        <f>B81-_xlfn.T.INV.2T(0.05,$B$31-2)*$B$30*(1/$B$31+(A81-$A$86)^2/($B$31*$B$86))^0.5</f>
        <v>512964.93495795259</v>
      </c>
      <c r="D81" s="31">
        <f>B81+_xlfn.T.INV.2T(0.05,$B$31-2)*$B$30*(1/$B$31+(A81-$A$86)^2/($B$31*$B$86))^0.5</f>
        <v>694075.14230643085</v>
      </c>
    </row>
    <row r="82" spans="1:4" x14ac:dyDescent="0.35">
      <c r="A82" s="13">
        <v>1164.9000000000001</v>
      </c>
      <c r="B82" s="13">
        <v>616497.25142134051</v>
      </c>
      <c r="C82" s="31">
        <f>B82-_xlfn.T.INV.2T(0.05,$B$31-2)*$B$30*(1/$B$31+(A82-$A$86)^2/($B$31*$B$86))^0.5</f>
        <v>523094.67810382741</v>
      </c>
      <c r="D82" s="31">
        <f>B82+_xlfn.T.INV.2T(0.05,$B$31-2)*$B$30*(1/$B$31+(A82-$A$86)^2/($B$31*$B$86))^0.5</f>
        <v>709899.82473885361</v>
      </c>
    </row>
    <row r="83" spans="1:4" x14ac:dyDescent="0.35">
      <c r="A83" s="13">
        <v>1250.5999999999999</v>
      </c>
      <c r="B83" s="13">
        <v>668466.74375919299</v>
      </c>
      <c r="C83" s="31">
        <f>B83-_xlfn.T.INV.2T(0.05,$B$31-2)*$B$30*(1/$B$31+(A83-$A$86)^2/($B$31*$B$86))^0.5</f>
        <v>563169.68600030767</v>
      </c>
      <c r="D83" s="31">
        <f>B83+_xlfn.T.INV.2T(0.05,$B$31-2)*$B$30*(1/$B$31+(A83-$A$86)^2/($B$31*$B$86))^0.5</f>
        <v>773763.80151807831</v>
      </c>
    </row>
    <row r="84" spans="1:4" ht="15" thickBot="1" x14ac:dyDescent="0.4">
      <c r="A84" s="30"/>
      <c r="B84" s="30"/>
      <c r="C84" s="30"/>
      <c r="D84" s="30"/>
    </row>
    <row r="85" spans="1:4" ht="15.5" thickTop="1" thickBot="1" x14ac:dyDescent="0.4">
      <c r="A85" s="14" t="s">
        <v>77</v>
      </c>
      <c r="B85" s="14" t="s">
        <v>76</v>
      </c>
      <c r="C85" s="30"/>
      <c r="D85" s="30"/>
    </row>
    <row r="86" spans="1:4" ht="15" thickTop="1" x14ac:dyDescent="0.35">
      <c r="A86" s="13">
        <f>AVERAGE(A70:A83)</f>
        <v>731.46428571428567</v>
      </c>
      <c r="B86" s="13">
        <f>_xlfn.VAR.S(A70:A83)</f>
        <v>113471.11478021977</v>
      </c>
      <c r="C86" s="30"/>
      <c r="D86" s="30"/>
    </row>
  </sheetData>
  <mergeCells count="2">
    <mergeCell ref="I50:J50"/>
    <mergeCell ref="D1:F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4FCB-63B7-44F3-A971-033E460236A3}">
  <dimension ref="A1:L109"/>
  <sheetViews>
    <sheetView topLeftCell="A76" workbookViewId="0">
      <selection activeCell="O89" sqref="O89"/>
    </sheetView>
  </sheetViews>
  <sheetFormatPr defaultRowHeight="14.5" x14ac:dyDescent="0.35"/>
  <cols>
    <col min="1" max="1" width="26.26953125" style="1" bestFit="1" customWidth="1"/>
    <col min="2" max="2" width="17.453125" style="1" bestFit="1" customWidth="1"/>
    <col min="3" max="3" width="23.453125" style="1" bestFit="1" customWidth="1"/>
    <col min="4" max="4" width="19.1796875" style="1" bestFit="1" customWidth="1"/>
    <col min="5" max="5" width="12" style="1" bestFit="1" customWidth="1"/>
    <col min="6" max="6" width="13.26953125" style="1" bestFit="1" customWidth="1"/>
    <col min="7" max="7" width="12.81640625" style="1" bestFit="1" customWidth="1"/>
    <col min="8" max="8" width="14.1796875" style="1" bestFit="1" customWidth="1"/>
    <col min="9" max="9" width="14.54296875" style="1" bestFit="1" customWidth="1"/>
    <col min="10" max="11" width="8.7265625" style="1"/>
    <col min="12" max="12" width="12" style="1" bestFit="1" customWidth="1"/>
    <col min="13" max="16384" width="8.7265625" style="1"/>
  </cols>
  <sheetData>
    <row r="1" spans="1:10" ht="15" customHeight="1" thickTop="1" thickBot="1" x14ac:dyDescent="0.4">
      <c r="A1" s="15" t="s">
        <v>112</v>
      </c>
      <c r="B1" s="15" t="s">
        <v>116</v>
      </c>
      <c r="D1" s="25" t="s">
        <v>117</v>
      </c>
      <c r="E1" s="25"/>
      <c r="F1" s="25"/>
      <c r="G1" s="25"/>
      <c r="H1" s="25"/>
      <c r="I1" s="25"/>
      <c r="J1" s="25"/>
    </row>
    <row r="2" spans="1:10" ht="15" thickTop="1" x14ac:dyDescent="0.35">
      <c r="A2" s="36">
        <v>0.5</v>
      </c>
      <c r="B2" s="36">
        <v>0.02</v>
      </c>
      <c r="D2" s="25"/>
      <c r="E2" s="25"/>
      <c r="F2" s="25"/>
      <c r="G2" s="25"/>
      <c r="H2" s="25"/>
      <c r="I2" s="25"/>
      <c r="J2" s="25"/>
    </row>
    <row r="3" spans="1:10" x14ac:dyDescent="0.35">
      <c r="A3" s="36">
        <v>0.6</v>
      </c>
      <c r="B3" s="36">
        <v>2.5000000000000001E-2</v>
      </c>
      <c r="D3" s="25"/>
      <c r="E3" s="25"/>
      <c r="F3" s="25"/>
      <c r="G3" s="25"/>
      <c r="H3" s="25"/>
      <c r="I3" s="25"/>
      <c r="J3" s="25"/>
    </row>
    <row r="4" spans="1:10" x14ac:dyDescent="0.35">
      <c r="A4" s="36">
        <v>0.7</v>
      </c>
      <c r="B4" s="36">
        <v>0.02</v>
      </c>
      <c r="D4" s="25"/>
      <c r="E4" s="25"/>
      <c r="F4" s="25"/>
      <c r="G4" s="25"/>
      <c r="H4" s="25"/>
      <c r="I4" s="25"/>
      <c r="J4" s="25"/>
    </row>
    <row r="5" spans="1:10" x14ac:dyDescent="0.35">
      <c r="A5" s="36">
        <v>0.8</v>
      </c>
      <c r="B5" s="36">
        <v>3.5000000000000003E-2</v>
      </c>
      <c r="D5" s="25"/>
      <c r="E5" s="25"/>
      <c r="F5" s="25"/>
      <c r="G5" s="25"/>
      <c r="H5" s="25"/>
      <c r="I5" s="25"/>
      <c r="J5" s="25"/>
    </row>
    <row r="6" spans="1:10" x14ac:dyDescent="0.35">
      <c r="A6" s="36">
        <v>0.9</v>
      </c>
      <c r="B6" s="36">
        <v>3.2000000000000001E-2</v>
      </c>
    </row>
    <row r="7" spans="1:10" x14ac:dyDescent="0.35">
      <c r="A7" s="36">
        <v>1</v>
      </c>
      <c r="B7" s="36">
        <v>4.1000000000000002E-2</v>
      </c>
    </row>
    <row r="8" spans="1:10" x14ac:dyDescent="0.35">
      <c r="A8" s="36">
        <v>1.2</v>
      </c>
      <c r="B8" s="36">
        <v>5.3999999999999999E-2</v>
      </c>
    </row>
    <row r="9" spans="1:10" x14ac:dyDescent="0.35">
      <c r="A9" s="36">
        <v>1.4</v>
      </c>
      <c r="B9" s="36">
        <v>7.0000000000000007E-2</v>
      </c>
    </row>
    <row r="10" spans="1:10" x14ac:dyDescent="0.35">
      <c r="A10" s="36">
        <v>1.5</v>
      </c>
      <c r="B10" s="36">
        <v>7.5999999999999998E-2</v>
      </c>
    </row>
    <row r="11" spans="1:10" x14ac:dyDescent="0.35">
      <c r="A11" s="36">
        <v>1.7</v>
      </c>
      <c r="B11" s="36">
        <v>0.10100000000000001</v>
      </c>
    </row>
    <row r="12" spans="1:10" x14ac:dyDescent="0.35">
      <c r="A12" s="36">
        <v>1.8</v>
      </c>
      <c r="B12" s="36">
        <v>0.13</v>
      </c>
    </row>
    <row r="13" spans="1:10" x14ac:dyDescent="0.35">
      <c r="A13" s="36">
        <v>2</v>
      </c>
      <c r="B13" s="36">
        <v>0.16</v>
      </c>
    </row>
    <row r="20" spans="1:6" ht="15" thickBot="1" x14ac:dyDescent="0.4"/>
    <row r="21" spans="1:6" ht="15.5" thickTop="1" thickBot="1" x14ac:dyDescent="0.4">
      <c r="A21" s="21" t="s">
        <v>102</v>
      </c>
    </row>
    <row r="22" spans="1:6" ht="15.5" thickTop="1" thickBot="1" x14ac:dyDescent="0.4"/>
    <row r="23" spans="1:6" ht="15.5" thickTop="1" thickBot="1" x14ac:dyDescent="0.4">
      <c r="A23" s="35" t="s">
        <v>101</v>
      </c>
      <c r="B23" s="35"/>
    </row>
    <row r="24" spans="1:6" ht="15" thickTop="1" x14ac:dyDescent="0.35">
      <c r="A24" s="24" t="s">
        <v>100</v>
      </c>
      <c r="B24" s="24">
        <v>0.95833850170178214</v>
      </c>
    </row>
    <row r="25" spans="1:6" x14ac:dyDescent="0.35">
      <c r="A25" s="24" t="s">
        <v>99</v>
      </c>
      <c r="B25" s="24">
        <v>0.91841268384401675</v>
      </c>
    </row>
    <row r="26" spans="1:6" x14ac:dyDescent="0.35">
      <c r="A26" s="24" t="s">
        <v>98</v>
      </c>
      <c r="B26" s="24">
        <v>0.91025395222841843</v>
      </c>
    </row>
    <row r="27" spans="1:6" x14ac:dyDescent="0.35">
      <c r="A27" s="24" t="s">
        <v>93</v>
      </c>
      <c r="B27" s="24">
        <v>0.15012826545354607</v>
      </c>
    </row>
    <row r="28" spans="1:6" x14ac:dyDescent="0.35">
      <c r="A28" s="24" t="s">
        <v>74</v>
      </c>
      <c r="B28" s="24">
        <v>12</v>
      </c>
    </row>
    <row r="29" spans="1:6" ht="15" thickBot="1" x14ac:dyDescent="0.4"/>
    <row r="30" spans="1:6" ht="15.5" thickTop="1" thickBot="1" x14ac:dyDescent="0.4">
      <c r="A30" s="21" t="s">
        <v>56</v>
      </c>
    </row>
    <row r="31" spans="1:6" ht="15.5" thickTop="1" thickBot="1" x14ac:dyDescent="0.4">
      <c r="A31" s="38"/>
      <c r="B31" s="9" t="s">
        <v>53</v>
      </c>
      <c r="C31" s="9" t="s">
        <v>54</v>
      </c>
      <c r="D31" s="9" t="s">
        <v>52</v>
      </c>
      <c r="E31" s="9" t="s">
        <v>51</v>
      </c>
      <c r="F31" s="9" t="s">
        <v>97</v>
      </c>
    </row>
    <row r="32" spans="1:6" ht="15.5" thickTop="1" thickBot="1" x14ac:dyDescent="0.4">
      <c r="A32" s="39" t="s">
        <v>96</v>
      </c>
      <c r="B32" s="24">
        <v>1</v>
      </c>
      <c r="C32" s="24">
        <v>2.5371150391190964</v>
      </c>
      <c r="D32" s="24">
        <v>2.5371150391190964</v>
      </c>
      <c r="E32" s="24">
        <v>112.56807149877837</v>
      </c>
      <c r="F32" s="24">
        <v>9.2156903176136043E-7</v>
      </c>
    </row>
    <row r="33" spans="1:9" ht="15.5" thickTop="1" thickBot="1" x14ac:dyDescent="0.4">
      <c r="A33" s="39" t="s">
        <v>95</v>
      </c>
      <c r="B33" s="24">
        <v>10</v>
      </c>
      <c r="C33" s="24">
        <v>0.22538496088090398</v>
      </c>
      <c r="D33" s="24">
        <v>2.2538496088090398E-2</v>
      </c>
      <c r="E33" s="24"/>
      <c r="F33" s="24"/>
    </row>
    <row r="34" spans="1:9" ht="15.5" thickTop="1" thickBot="1" x14ac:dyDescent="0.4">
      <c r="A34" s="39" t="s">
        <v>46</v>
      </c>
      <c r="B34" s="24">
        <v>11</v>
      </c>
      <c r="C34" s="24">
        <v>2.7625000000000002</v>
      </c>
      <c r="D34" s="24"/>
      <c r="E34" s="24"/>
      <c r="F34" s="24"/>
    </row>
    <row r="35" spans="1:9" ht="15.5" thickTop="1" thickBot="1" x14ac:dyDescent="0.4"/>
    <row r="36" spans="1:9" ht="15.5" thickTop="1" thickBot="1" x14ac:dyDescent="0.4">
      <c r="A36" s="38"/>
      <c r="B36" s="9" t="s">
        <v>94</v>
      </c>
      <c r="C36" s="9" t="s">
        <v>93</v>
      </c>
      <c r="D36" s="9" t="s">
        <v>84</v>
      </c>
      <c r="E36" s="9" t="s">
        <v>50</v>
      </c>
      <c r="F36" s="9" t="s">
        <v>92</v>
      </c>
      <c r="G36" s="9" t="s">
        <v>91</v>
      </c>
      <c r="H36" s="9" t="s">
        <v>90</v>
      </c>
      <c r="I36" s="9" t="s">
        <v>89</v>
      </c>
    </row>
    <row r="37" spans="1:9" ht="15" thickTop="1" x14ac:dyDescent="0.35">
      <c r="A37" s="24" t="s">
        <v>88</v>
      </c>
      <c r="B37" s="24">
        <v>0.50641698058533779</v>
      </c>
      <c r="C37" s="24">
        <v>7.6479850389797641E-2</v>
      </c>
      <c r="D37" s="24">
        <v>6.6215738917409475</v>
      </c>
      <c r="E37" s="24">
        <v>5.9159807508140772E-5</v>
      </c>
      <c r="F37" s="24">
        <v>0.33600925453773206</v>
      </c>
      <c r="G37" s="24">
        <v>0.67682470663294358</v>
      </c>
      <c r="H37" s="24">
        <v>0.33600925453773206</v>
      </c>
      <c r="I37" s="24">
        <v>0.67682470663294358</v>
      </c>
    </row>
    <row r="38" spans="1:9" x14ac:dyDescent="0.35">
      <c r="A38" s="24" t="s">
        <v>116</v>
      </c>
      <c r="B38" s="24">
        <v>10.501303969863804</v>
      </c>
      <c r="C38" s="24">
        <v>0.98977303247453607</v>
      </c>
      <c r="D38" s="24">
        <v>10.609810153757619</v>
      </c>
      <c r="E38" s="24">
        <v>9.215690317613654E-7</v>
      </c>
      <c r="F38" s="24">
        <v>8.2959522215590162</v>
      </c>
      <c r="G38" s="24">
        <v>12.706655718168591</v>
      </c>
      <c r="H38" s="24">
        <v>8.2959522215590162</v>
      </c>
      <c r="I38" s="24">
        <v>12.706655718168591</v>
      </c>
    </row>
    <row r="41" spans="1:9" ht="15" thickBot="1" x14ac:dyDescent="0.4"/>
    <row r="42" spans="1:9" ht="15.5" thickTop="1" thickBot="1" x14ac:dyDescent="0.4">
      <c r="A42" s="21" t="s">
        <v>87</v>
      </c>
    </row>
    <row r="43" spans="1:9" ht="15.5" thickTop="1" thickBot="1" x14ac:dyDescent="0.4"/>
    <row r="44" spans="1:9" ht="15.5" thickTop="1" thickBot="1" x14ac:dyDescent="0.4">
      <c r="A44" s="9" t="s">
        <v>86</v>
      </c>
      <c r="B44" s="9" t="s">
        <v>115</v>
      </c>
      <c r="C44" s="9" t="s">
        <v>85</v>
      </c>
      <c r="D44" s="9" t="s">
        <v>114</v>
      </c>
      <c r="E44" s="9" t="s">
        <v>106</v>
      </c>
    </row>
    <row r="45" spans="1:9" ht="15" thickTop="1" x14ac:dyDescent="0.35">
      <c r="A45" s="24">
        <v>1</v>
      </c>
      <c r="B45" s="24">
        <v>0.71644305998261393</v>
      </c>
      <c r="C45" s="24">
        <v>-0.21644305998261393</v>
      </c>
      <c r="D45" s="8">
        <f>ABS(C45)/B2</f>
        <v>10.822152999130696</v>
      </c>
      <c r="E45" s="8">
        <f>AVERAGE(D45:D56)*100</f>
        <v>283.86295209578611</v>
      </c>
    </row>
    <row r="46" spans="1:9" x14ac:dyDescent="0.35">
      <c r="A46" s="24">
        <v>2</v>
      </c>
      <c r="B46" s="24">
        <v>0.76894957983193291</v>
      </c>
      <c r="C46" s="24">
        <v>-0.16894957983193293</v>
      </c>
      <c r="D46" s="8">
        <f>ABS(C46)/B3</f>
        <v>6.7579831932773171</v>
      </c>
    </row>
    <row r="47" spans="1:9" x14ac:dyDescent="0.35">
      <c r="A47" s="24">
        <v>3</v>
      </c>
      <c r="B47" s="24">
        <v>0.71644305998261393</v>
      </c>
      <c r="C47" s="24">
        <v>-1.6443059982613972E-2</v>
      </c>
      <c r="D47" s="8">
        <f>ABS(C47)/B4</f>
        <v>0.82215299913069861</v>
      </c>
    </row>
    <row r="48" spans="1:9" x14ac:dyDescent="0.35">
      <c r="A48" s="24">
        <v>4</v>
      </c>
      <c r="B48" s="24">
        <v>0.87396261953057097</v>
      </c>
      <c r="C48" s="24">
        <v>-7.3962619530570928E-2</v>
      </c>
      <c r="D48" s="8">
        <f>ABS(C48)/B5</f>
        <v>2.113217700873455</v>
      </c>
    </row>
    <row r="49" spans="1:4" x14ac:dyDescent="0.35">
      <c r="A49" s="24">
        <v>5</v>
      </c>
      <c r="B49" s="24">
        <v>0.84245870762097952</v>
      </c>
      <c r="C49" s="24">
        <v>5.7541292379020503E-2</v>
      </c>
      <c r="D49" s="8">
        <f>ABS(C49)/B6</f>
        <v>1.7981653868443908</v>
      </c>
    </row>
    <row r="50" spans="1:4" x14ac:dyDescent="0.35">
      <c r="A50" s="24">
        <v>6</v>
      </c>
      <c r="B50" s="24">
        <v>0.93697044334975377</v>
      </c>
      <c r="C50" s="24">
        <v>6.3029556650246232E-2</v>
      </c>
      <c r="D50" s="8">
        <f>ABS(C50)/B7</f>
        <v>1.5373062597621032</v>
      </c>
    </row>
    <row r="51" spans="1:4" x14ac:dyDescent="0.35">
      <c r="A51" s="24">
        <v>7</v>
      </c>
      <c r="B51" s="24">
        <v>1.0734873949579833</v>
      </c>
      <c r="C51" s="24">
        <v>0.12651260504201667</v>
      </c>
      <c r="D51" s="8">
        <f>ABS(C51)/B8</f>
        <v>2.3428260192966048</v>
      </c>
    </row>
    <row r="52" spans="1:4" x14ac:dyDescent="0.35">
      <c r="A52" s="24">
        <v>8</v>
      </c>
      <c r="B52" s="24">
        <v>1.2415082584758041</v>
      </c>
      <c r="C52" s="24">
        <v>0.15849174152419576</v>
      </c>
      <c r="D52" s="8">
        <f>ABS(C52)/B9</f>
        <v>2.2641677360599393</v>
      </c>
    </row>
    <row r="53" spans="1:4" x14ac:dyDescent="0.35">
      <c r="A53" s="24">
        <v>9</v>
      </c>
      <c r="B53" s="24">
        <v>1.3045160822949868</v>
      </c>
      <c r="C53" s="24">
        <v>0.19548391770501317</v>
      </c>
      <c r="D53" s="8">
        <f>ABS(C53)/B10</f>
        <v>2.572156811908068</v>
      </c>
    </row>
    <row r="54" spans="1:4" x14ac:dyDescent="0.35">
      <c r="A54" s="24">
        <v>10</v>
      </c>
      <c r="B54" s="24">
        <v>1.5670486815415821</v>
      </c>
      <c r="C54" s="24">
        <v>0.1329513184584179</v>
      </c>
      <c r="D54" s="8">
        <f>ABS(C54)/B11</f>
        <v>1.3163496877071079</v>
      </c>
    </row>
    <row r="55" spans="1:4" x14ac:dyDescent="0.35">
      <c r="A55" s="24">
        <v>11</v>
      </c>
      <c r="B55" s="24">
        <v>1.8715864966676323</v>
      </c>
      <c r="C55" s="24">
        <v>-7.1586496667632282E-2</v>
      </c>
      <c r="D55" s="8">
        <f>ABS(C55)/B12</f>
        <v>0.55066535898178681</v>
      </c>
    </row>
    <row r="56" spans="1:4" x14ac:dyDescent="0.35">
      <c r="A56" s="24">
        <v>12</v>
      </c>
      <c r="B56" s="24">
        <v>2.1866256157635462</v>
      </c>
      <c r="C56" s="24">
        <v>-0.18662561576354619</v>
      </c>
      <c r="D56" s="8">
        <f>ABS(C56)/B13</f>
        <v>1.1664100985221637</v>
      </c>
    </row>
    <row r="58" spans="1:4" ht="15" thickBot="1" x14ac:dyDescent="0.4"/>
    <row r="59" spans="1:4" ht="15.5" thickTop="1" thickBot="1" x14ac:dyDescent="0.4">
      <c r="A59" s="15" t="s">
        <v>112</v>
      </c>
      <c r="B59" s="15" t="s">
        <v>113</v>
      </c>
    </row>
    <row r="60" spans="1:4" ht="15" thickTop="1" x14ac:dyDescent="0.35">
      <c r="A60" s="36">
        <v>0.5</v>
      </c>
      <c r="B60" s="36">
        <f>1/B2</f>
        <v>50</v>
      </c>
    </row>
    <row r="61" spans="1:4" x14ac:dyDescent="0.35">
      <c r="A61" s="36">
        <v>0.6</v>
      </c>
      <c r="B61" s="36">
        <f>1/B3</f>
        <v>40</v>
      </c>
    </row>
    <row r="62" spans="1:4" x14ac:dyDescent="0.35">
      <c r="A62" s="36">
        <v>0.7</v>
      </c>
      <c r="B62" s="36">
        <f>1/B4</f>
        <v>50</v>
      </c>
    </row>
    <row r="63" spans="1:4" x14ac:dyDescent="0.35">
      <c r="A63" s="36">
        <v>0.8</v>
      </c>
      <c r="B63" s="36">
        <f>1/B5</f>
        <v>28.571428571428569</v>
      </c>
    </row>
    <row r="64" spans="1:4" x14ac:dyDescent="0.35">
      <c r="A64" s="36">
        <v>0.9</v>
      </c>
      <c r="B64" s="36">
        <f>1/B6</f>
        <v>31.25</v>
      </c>
    </row>
    <row r="65" spans="1:2" x14ac:dyDescent="0.35">
      <c r="A65" s="36">
        <v>1</v>
      </c>
      <c r="B65" s="36">
        <f>1/B7</f>
        <v>24.390243902439025</v>
      </c>
    </row>
    <row r="66" spans="1:2" x14ac:dyDescent="0.35">
      <c r="A66" s="36">
        <v>1.2</v>
      </c>
      <c r="B66" s="36">
        <f>1/B8</f>
        <v>18.518518518518519</v>
      </c>
    </row>
    <row r="67" spans="1:2" x14ac:dyDescent="0.35">
      <c r="A67" s="36">
        <v>1.4</v>
      </c>
      <c r="B67" s="36">
        <f>1/B9</f>
        <v>14.285714285714285</v>
      </c>
    </row>
    <row r="68" spans="1:2" x14ac:dyDescent="0.35">
      <c r="A68" s="36">
        <v>1.5</v>
      </c>
      <c r="B68" s="36">
        <f>1/B10</f>
        <v>13.157894736842106</v>
      </c>
    </row>
    <row r="69" spans="1:2" x14ac:dyDescent="0.35">
      <c r="A69" s="36">
        <v>1.7</v>
      </c>
      <c r="B69" s="36">
        <f>1/B11</f>
        <v>9.9009900990099009</v>
      </c>
    </row>
    <row r="70" spans="1:2" x14ac:dyDescent="0.35">
      <c r="A70" s="36">
        <v>1.8</v>
      </c>
      <c r="B70" s="36">
        <f>1/B12</f>
        <v>7.6923076923076916</v>
      </c>
    </row>
    <row r="71" spans="1:2" x14ac:dyDescent="0.35">
      <c r="A71" s="36">
        <v>2</v>
      </c>
      <c r="B71" s="36">
        <f>1/B13</f>
        <v>6.25</v>
      </c>
    </row>
    <row r="73" spans="1:2" ht="15" thickBot="1" x14ac:dyDescent="0.4"/>
    <row r="74" spans="1:2" ht="15.5" thickTop="1" thickBot="1" x14ac:dyDescent="0.4">
      <c r="A74" s="21" t="s">
        <v>102</v>
      </c>
    </row>
    <row r="75" spans="1:2" ht="15.5" thickTop="1" thickBot="1" x14ac:dyDescent="0.4"/>
    <row r="76" spans="1:2" ht="15.5" thickTop="1" thickBot="1" x14ac:dyDescent="0.4">
      <c r="A76" s="35" t="s">
        <v>101</v>
      </c>
      <c r="B76" s="35"/>
    </row>
    <row r="77" spans="1:2" ht="15" thickTop="1" x14ac:dyDescent="0.35">
      <c r="A77" s="24" t="s">
        <v>100</v>
      </c>
      <c r="B77" s="24">
        <v>0.9373762126257833</v>
      </c>
    </row>
    <row r="78" spans="1:2" x14ac:dyDescent="0.35">
      <c r="A78" s="24" t="s">
        <v>99</v>
      </c>
      <c r="B78" s="24">
        <v>0.87867416399665776</v>
      </c>
    </row>
    <row r="79" spans="1:2" x14ac:dyDescent="0.35">
      <c r="A79" s="24" t="s">
        <v>98</v>
      </c>
      <c r="B79" s="24">
        <v>0.86654158039632345</v>
      </c>
    </row>
    <row r="80" spans="1:2" x14ac:dyDescent="0.35">
      <c r="A80" s="24" t="s">
        <v>93</v>
      </c>
      <c r="B80" s="24">
        <v>5.723825368917197</v>
      </c>
    </row>
    <row r="81" spans="1:12" x14ac:dyDescent="0.35">
      <c r="A81" s="24" t="s">
        <v>74</v>
      </c>
      <c r="B81" s="24">
        <v>12</v>
      </c>
    </row>
    <row r="82" spans="1:12" ht="15" thickBot="1" x14ac:dyDescent="0.4"/>
    <row r="83" spans="1:12" ht="15.5" thickTop="1" thickBot="1" x14ac:dyDescent="0.4">
      <c r="A83" s="21" t="s">
        <v>56</v>
      </c>
    </row>
    <row r="84" spans="1:12" ht="15.5" thickTop="1" thickBot="1" x14ac:dyDescent="0.4">
      <c r="A84" s="38"/>
      <c r="B84" s="9" t="s">
        <v>53</v>
      </c>
      <c r="C84" s="9" t="s">
        <v>54</v>
      </c>
      <c r="D84" s="9" t="s">
        <v>52</v>
      </c>
      <c r="E84" s="9" t="s">
        <v>51</v>
      </c>
      <c r="F84" s="9" t="s">
        <v>97</v>
      </c>
    </row>
    <row r="85" spans="1:12" ht="15" thickTop="1" x14ac:dyDescent="0.35">
      <c r="A85" s="24" t="s">
        <v>96</v>
      </c>
      <c r="B85" s="24">
        <v>1</v>
      </c>
      <c r="C85" s="24">
        <v>2372.7245000795347</v>
      </c>
      <c r="D85" s="24">
        <v>2372.7245000795347</v>
      </c>
      <c r="E85" s="24">
        <v>72.422675412057586</v>
      </c>
      <c r="F85" s="24">
        <v>6.8244923866062568E-6</v>
      </c>
    </row>
    <row r="86" spans="1:12" x14ac:dyDescent="0.35">
      <c r="A86" s="24" t="s">
        <v>95</v>
      </c>
      <c r="B86" s="24">
        <v>10</v>
      </c>
      <c r="C86" s="24">
        <v>327.62176853860086</v>
      </c>
      <c r="D86" s="24">
        <v>32.762176853860083</v>
      </c>
      <c r="E86" s="24"/>
      <c r="F86" s="24"/>
    </row>
    <row r="87" spans="1:12" x14ac:dyDescent="0.35">
      <c r="A87" s="24" t="s">
        <v>46</v>
      </c>
      <c r="B87" s="24">
        <v>11</v>
      </c>
      <c r="C87" s="24">
        <v>2700.3462686181356</v>
      </c>
      <c r="D87" s="24"/>
      <c r="E87" s="24"/>
      <c r="F87" s="24"/>
    </row>
    <row r="88" spans="1:12" ht="15" thickBot="1" x14ac:dyDescent="0.4"/>
    <row r="89" spans="1:12" ht="15.5" thickTop="1" thickBot="1" x14ac:dyDescent="0.4">
      <c r="A89" s="38"/>
      <c r="B89" s="9" t="s">
        <v>94</v>
      </c>
      <c r="C89" s="9" t="s">
        <v>93</v>
      </c>
      <c r="D89" s="9" t="s">
        <v>84</v>
      </c>
      <c r="E89" s="9" t="s">
        <v>50</v>
      </c>
      <c r="F89" s="9" t="s">
        <v>92</v>
      </c>
      <c r="G89" s="9" t="s">
        <v>91</v>
      </c>
      <c r="H89" s="9" t="s">
        <v>90</v>
      </c>
      <c r="I89" s="9" t="s">
        <v>89</v>
      </c>
    </row>
    <row r="90" spans="1:12" ht="15" thickTop="1" x14ac:dyDescent="0.35">
      <c r="A90" s="24" t="s">
        <v>88</v>
      </c>
      <c r="B90" s="24">
        <v>58.937240976269159</v>
      </c>
      <c r="C90" s="24">
        <v>4.3707959886285739</v>
      </c>
      <c r="D90" s="24">
        <v>13.484326683195734</v>
      </c>
      <c r="E90" s="24">
        <v>9.6873504737212226E-8</v>
      </c>
      <c r="F90" s="24">
        <v>49.198500619900074</v>
      </c>
      <c r="G90" s="24">
        <v>68.675981332638244</v>
      </c>
      <c r="H90" s="24">
        <v>49.198500619900074</v>
      </c>
      <c r="I90" s="24">
        <v>68.675981332638244</v>
      </c>
    </row>
    <row r="91" spans="1:12" x14ac:dyDescent="0.35">
      <c r="A91" s="24" t="s">
        <v>112</v>
      </c>
      <c r="B91" s="24">
        <v>-29.307077582196442</v>
      </c>
      <c r="C91" s="24">
        <v>3.443778670415548</v>
      </c>
      <c r="D91" s="24">
        <v>-8.5101513154618811</v>
      </c>
      <c r="E91" s="24">
        <v>6.8244923866062568E-6</v>
      </c>
      <c r="F91" s="24">
        <v>-36.980294635390962</v>
      </c>
      <c r="G91" s="24">
        <v>-21.633860529001925</v>
      </c>
      <c r="H91" s="24">
        <v>-36.980294635390962</v>
      </c>
      <c r="I91" s="24">
        <v>-21.633860529001925</v>
      </c>
    </row>
    <row r="93" spans="1:12" ht="15" thickBot="1" x14ac:dyDescent="0.4"/>
    <row r="94" spans="1:12" ht="15.5" thickTop="1" thickBot="1" x14ac:dyDescent="0.4">
      <c r="L94" s="9" t="s">
        <v>111</v>
      </c>
    </row>
    <row r="95" spans="1:12" ht="15.5" thickTop="1" thickBot="1" x14ac:dyDescent="0.4">
      <c r="A95" s="21" t="s">
        <v>87</v>
      </c>
      <c r="L95" s="10">
        <f>AVERAGE(B2:B13)</f>
        <v>6.3666666666666677E-2</v>
      </c>
    </row>
    <row r="96" spans="1:12" ht="15.5" thickTop="1" thickBot="1" x14ac:dyDescent="0.4"/>
    <row r="97" spans="1:11" ht="15.5" thickTop="1" thickBot="1" x14ac:dyDescent="0.4">
      <c r="A97" s="9" t="s">
        <v>86</v>
      </c>
      <c r="B97" s="9" t="s">
        <v>110</v>
      </c>
      <c r="C97" s="9" t="s">
        <v>85</v>
      </c>
      <c r="D97" s="37" t="s">
        <v>109</v>
      </c>
      <c r="E97" s="37" t="s">
        <v>108</v>
      </c>
      <c r="F97" s="37" t="s">
        <v>107</v>
      </c>
      <c r="G97" s="37" t="s">
        <v>106</v>
      </c>
      <c r="H97" s="11" t="s">
        <v>105</v>
      </c>
      <c r="I97" s="11"/>
    </row>
    <row r="98" spans="1:11" ht="15" thickTop="1" x14ac:dyDescent="0.35">
      <c r="A98" s="24">
        <v>1</v>
      </c>
      <c r="B98" s="24">
        <v>44.283702185170938</v>
      </c>
      <c r="C98" s="24">
        <v>5.716297814829062</v>
      </c>
      <c r="D98" s="1">
        <f>1/B98</f>
        <v>2.2581671148869414E-2</v>
      </c>
      <c r="E98" s="1">
        <f>B2-D98</f>
        <v>-2.581671148869414E-3</v>
      </c>
      <c r="F98" s="1">
        <f>ABS(E98)/B2</f>
        <v>0.12908355744347069</v>
      </c>
      <c r="G98" s="1">
        <f>AVERAGE(F98:F109)*100</f>
        <v>167.45413705202313</v>
      </c>
      <c r="H98" s="1">
        <f>D98-$L$95</f>
        <v>-4.1084995517797263E-2</v>
      </c>
      <c r="I98" s="1">
        <f>B2-$L$95</f>
        <v>-4.3666666666666673E-2</v>
      </c>
      <c r="K98" s="1">
        <f>SUMSQ(H98:H109)/SUMSQ(I98:I109)</f>
        <v>400.32221714688882</v>
      </c>
    </row>
    <row r="99" spans="1:11" x14ac:dyDescent="0.35">
      <c r="A99" s="24">
        <v>2</v>
      </c>
      <c r="B99" s="24">
        <v>41.352994426951298</v>
      </c>
      <c r="C99" s="24">
        <v>-1.3529944269512981</v>
      </c>
      <c r="D99" s="1">
        <f>1/B99</f>
        <v>2.4182045674261077E-2</v>
      </c>
      <c r="E99" s="1">
        <f>B3-D99</f>
        <v>8.1795432573892463E-4</v>
      </c>
      <c r="F99" s="1">
        <f>ABS(E99)/B3</f>
        <v>3.2718173029556985E-2</v>
      </c>
      <c r="H99" s="1">
        <f>D99-$L$95</f>
        <v>-3.94846209924056E-2</v>
      </c>
      <c r="I99" s="1">
        <f>B3-$L$95</f>
        <v>-3.8666666666666676E-2</v>
      </c>
    </row>
    <row r="100" spans="1:11" x14ac:dyDescent="0.35">
      <c r="A100" s="24">
        <v>3</v>
      </c>
      <c r="B100" s="24">
        <v>38.422286668731651</v>
      </c>
      <c r="C100" s="24">
        <v>11.577713331268349</v>
      </c>
      <c r="D100" s="1">
        <f>1/B100</f>
        <v>2.6026561319001548E-2</v>
      </c>
      <c r="E100" s="1">
        <f>B4-D100</f>
        <v>-6.0265613190015471E-3</v>
      </c>
      <c r="F100" s="1">
        <f>ABS(E100)/B4</f>
        <v>0.30132806595007733</v>
      </c>
      <c r="H100" s="1">
        <f>D100-$L$95</f>
        <v>-3.7640105347665126E-2</v>
      </c>
      <c r="I100" s="1">
        <f>B4-$L$95</f>
        <v>-4.3666666666666673E-2</v>
      </c>
    </row>
    <row r="101" spans="1:11" x14ac:dyDescent="0.35">
      <c r="A101" s="24">
        <v>4</v>
      </c>
      <c r="B101" s="24">
        <v>35.491578910512004</v>
      </c>
      <c r="C101" s="24">
        <v>-6.9201503390834347</v>
      </c>
      <c r="D101" s="1">
        <f>1/B101</f>
        <v>2.8175697748510618E-2</v>
      </c>
      <c r="E101" s="1">
        <f>B5-D101</f>
        <v>6.8243022514893857E-3</v>
      </c>
      <c r="F101" s="1">
        <f>ABS(E101)/B5</f>
        <v>0.19498006432826814</v>
      </c>
      <c r="H101" s="1">
        <f>D101-$L$95</f>
        <v>-3.5490968918156063E-2</v>
      </c>
      <c r="I101" s="1">
        <f>B5-$L$95</f>
        <v>-2.8666666666666674E-2</v>
      </c>
    </row>
    <row r="102" spans="1:11" x14ac:dyDescent="0.35">
      <c r="A102" s="24">
        <v>5</v>
      </c>
      <c r="B102" s="24">
        <v>32.560871152292364</v>
      </c>
      <c r="C102" s="24">
        <v>-1.3108711522923642</v>
      </c>
      <c r="D102" s="1">
        <f>1/B102</f>
        <v>3.0711709011802577E-2</v>
      </c>
      <c r="E102" s="1">
        <f>B6-D102</f>
        <v>1.2882909881974242E-3</v>
      </c>
      <c r="F102" s="1">
        <f>ABS(E102)/B6</f>
        <v>4.0259093381169501E-2</v>
      </c>
      <c r="H102" s="1">
        <f>D102-$L$95</f>
        <v>-3.29549576548641E-2</v>
      </c>
      <c r="I102" s="1">
        <f>B6-$L$95</f>
        <v>-3.1666666666666676E-2</v>
      </c>
    </row>
    <row r="103" spans="1:11" x14ac:dyDescent="0.35">
      <c r="A103" s="24">
        <v>6</v>
      </c>
      <c r="B103" s="24">
        <v>29.630163394072717</v>
      </c>
      <c r="C103" s="24">
        <v>-5.2399194916336924</v>
      </c>
      <c r="D103" s="1">
        <f>1/B103</f>
        <v>3.3749392019891536E-2</v>
      </c>
      <c r="E103" s="1">
        <f>B7-D103</f>
        <v>7.2506079801084658E-3</v>
      </c>
      <c r="F103" s="1">
        <f>ABS(E103)/B7</f>
        <v>0.17684409707581622</v>
      </c>
      <c r="H103" s="1">
        <f>D103-$L$95</f>
        <v>-2.9917274646775141E-2</v>
      </c>
      <c r="I103" s="1">
        <f>B7-$L$95</f>
        <v>-2.2666666666666675E-2</v>
      </c>
    </row>
    <row r="104" spans="1:11" x14ac:dyDescent="0.35">
      <c r="A104" s="24">
        <v>7</v>
      </c>
      <c r="B104" s="24">
        <v>23.76874787763343</v>
      </c>
      <c r="C104" s="24">
        <v>-5.2502293591149112</v>
      </c>
      <c r="D104" s="1">
        <f>1/B104</f>
        <v>4.2072052139566322E-2</v>
      </c>
      <c r="E104" s="1">
        <f>B8-D104</f>
        <v>1.1927947860433677E-2</v>
      </c>
      <c r="F104" s="1">
        <f>ABS(E104)/B8</f>
        <v>0.22088792334136439</v>
      </c>
      <c r="H104" s="1">
        <f>D104-$L$95</f>
        <v>-2.1594614527100355E-2</v>
      </c>
      <c r="I104" s="1">
        <f>B8-$L$95</f>
        <v>-9.6666666666666776E-3</v>
      </c>
    </row>
    <row r="105" spans="1:11" x14ac:dyDescent="0.35">
      <c r="A105" s="24">
        <v>8</v>
      </c>
      <c r="B105" s="24">
        <v>17.907332361194143</v>
      </c>
      <c r="C105" s="24">
        <v>-3.6216180754798586</v>
      </c>
      <c r="D105" s="1">
        <f>1/B105</f>
        <v>5.5843046849738336E-2</v>
      </c>
      <c r="E105" s="1">
        <f>B9-D105</f>
        <v>1.4156953150261671E-2</v>
      </c>
      <c r="F105" s="1">
        <f>ABS(E105)/B9</f>
        <v>0.202242187860881</v>
      </c>
      <c r="H105" s="1">
        <f>D105-$L$95</f>
        <v>-7.8236198169283414E-3</v>
      </c>
      <c r="I105" s="1">
        <f>B9-$L$95</f>
        <v>6.3333333333333297E-3</v>
      </c>
    </row>
    <row r="106" spans="1:11" x14ac:dyDescent="0.35">
      <c r="A106" s="24">
        <v>9</v>
      </c>
      <c r="B106" s="24">
        <v>14.976624602974496</v>
      </c>
      <c r="C106" s="24">
        <v>-1.8187298661323901</v>
      </c>
      <c r="D106" s="1">
        <f>1/B106</f>
        <v>6.6770719471822157E-2</v>
      </c>
      <c r="E106" s="1">
        <f>B10-D106</f>
        <v>9.2292805281778412E-3</v>
      </c>
      <c r="F106" s="1">
        <f>ABS(E106)/B10</f>
        <v>0.12143790168655054</v>
      </c>
      <c r="H106" s="1">
        <f>D106-$L$95</f>
        <v>3.10405280515548E-3</v>
      </c>
      <c r="I106" s="1">
        <f>B10-$L$95</f>
        <v>1.2333333333333321E-2</v>
      </c>
    </row>
    <row r="107" spans="1:11" x14ac:dyDescent="0.35">
      <c r="A107" s="24">
        <v>10</v>
      </c>
      <c r="B107" s="24">
        <v>9.1152090865352093</v>
      </c>
      <c r="C107" s="24">
        <v>0.78578101247469156</v>
      </c>
      <c r="D107" s="1">
        <f>1/B107</f>
        <v>0.10970675389960922</v>
      </c>
      <c r="E107" s="1">
        <f>B11-D107</f>
        <v>-8.7067538996092181E-3</v>
      </c>
      <c r="F107" s="1">
        <f>ABS(E107)/B11</f>
        <v>8.6205484154546708E-2</v>
      </c>
      <c r="H107" s="1">
        <f>D107-$L$95</f>
        <v>4.6040087232942548E-2</v>
      </c>
      <c r="I107" s="1">
        <f>B11-$L$95</f>
        <v>3.7333333333333329E-2</v>
      </c>
    </row>
    <row r="108" spans="1:11" x14ac:dyDescent="0.35">
      <c r="A108" s="24">
        <v>11</v>
      </c>
      <c r="B108" s="24">
        <v>6.1845013283155623</v>
      </c>
      <c r="C108" s="24">
        <v>1.5078063639921293</v>
      </c>
      <c r="D108" s="1">
        <f>1/B108</f>
        <v>0.16169452424911426</v>
      </c>
      <c r="E108" s="1">
        <f>B12-D108</f>
        <v>-3.1694524249114259E-2</v>
      </c>
      <c r="F108" s="1">
        <f>ABS(E108)/B12</f>
        <v>0.24380403268549428</v>
      </c>
      <c r="H108" s="1">
        <f>D108-$L$95</f>
        <v>9.8027857582447586E-2</v>
      </c>
      <c r="I108" s="1">
        <f>B12-$L$95</f>
        <v>6.6333333333333327E-2</v>
      </c>
    </row>
    <row r="109" spans="1:11" x14ac:dyDescent="0.35">
      <c r="A109" s="24">
        <v>12</v>
      </c>
      <c r="B109" s="24">
        <v>0.32308581187627539</v>
      </c>
      <c r="C109" s="24">
        <v>5.9269141881237246</v>
      </c>
      <c r="D109" s="1">
        <f>1/B109</f>
        <v>3.0951529384488929</v>
      </c>
      <c r="E109" s="1">
        <f>B13-D109</f>
        <v>-2.9351529384488928</v>
      </c>
      <c r="F109" s="1">
        <f>ABS(E109)/B13</f>
        <v>18.344705865305581</v>
      </c>
      <c r="H109" s="1">
        <f>D109-$L$95</f>
        <v>3.0314862717822262</v>
      </c>
      <c r="I109" s="1">
        <f>B13-$L$95</f>
        <v>9.6333333333333326E-2</v>
      </c>
    </row>
  </sheetData>
  <mergeCells count="2">
    <mergeCell ref="D1:J5"/>
    <mergeCell ref="H97:I9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6FD-47EA-45A1-A6FD-97B2A4F31196}">
  <dimension ref="A1"/>
  <sheetViews>
    <sheetView workbookViewId="0">
      <selection activeCell="N19" sqref="N19"/>
    </sheetView>
  </sheetViews>
  <sheetFormatPr defaultRowHeight="14.5" x14ac:dyDescent="0.35"/>
  <cols>
    <col min="1" max="16384" width="8.7265625" style="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98C3-55BA-40BA-A54C-BB745282109C}">
  <dimension ref="A1:AU221"/>
  <sheetViews>
    <sheetView zoomScale="60" zoomScaleNormal="60" workbookViewId="0">
      <selection activeCell="Q18" sqref="Q18"/>
    </sheetView>
  </sheetViews>
  <sheetFormatPr defaultColWidth="9.1796875" defaultRowHeight="14.5" x14ac:dyDescent="0.35"/>
  <cols>
    <col min="1" max="1" width="26.26953125" style="40" bestFit="1" customWidth="1"/>
    <col min="2" max="2" width="17.1796875" style="40" bestFit="1" customWidth="1"/>
    <col min="3" max="3" width="23.26953125" style="40" bestFit="1" customWidth="1"/>
    <col min="4" max="4" width="15.54296875" style="40" bestFit="1" customWidth="1"/>
    <col min="5" max="5" width="15.453125" style="40" bestFit="1" customWidth="1"/>
    <col min="6" max="6" width="14.7265625" style="40" bestFit="1" customWidth="1"/>
    <col min="7" max="7" width="13.1796875" style="40" bestFit="1" customWidth="1"/>
    <col min="8" max="8" width="14.7265625" style="40" bestFit="1" customWidth="1"/>
    <col min="9" max="9" width="14.81640625" style="40" bestFit="1" customWidth="1"/>
    <col min="10" max="10" width="10.453125" style="40" bestFit="1" customWidth="1"/>
    <col min="11" max="11" width="27.54296875" style="40" bestFit="1" customWidth="1"/>
    <col min="12" max="12" width="16.81640625" style="40" bestFit="1" customWidth="1"/>
    <col min="13" max="13" width="23.26953125" style="40" bestFit="1" customWidth="1"/>
    <col min="14" max="14" width="15.54296875" style="40" bestFit="1" customWidth="1"/>
    <col min="15" max="15" width="13.7265625" style="40" bestFit="1" customWidth="1"/>
    <col min="16" max="16" width="20.26953125" style="40" bestFit="1" customWidth="1"/>
    <col min="17" max="17" width="13.1796875" style="40" bestFit="1" customWidth="1"/>
    <col min="18" max="18" width="14.7265625" style="40" bestFit="1" customWidth="1"/>
    <col min="19" max="19" width="18.1796875" style="40" customWidth="1"/>
    <col min="20" max="20" width="9.1796875" style="40"/>
    <col min="21" max="21" width="27.26953125" style="40" bestFit="1" customWidth="1"/>
    <col min="22" max="22" width="18.26953125" style="40" bestFit="1" customWidth="1"/>
    <col min="23" max="23" width="24.1796875" style="40" bestFit="1" customWidth="1"/>
    <col min="24" max="24" width="16.26953125" style="40" bestFit="1" customWidth="1"/>
    <col min="25" max="25" width="14.7265625" style="40" bestFit="1" customWidth="1"/>
    <col min="26" max="26" width="15.1796875" style="40" bestFit="1" customWidth="1"/>
    <col min="27" max="27" width="14.7265625" style="40" bestFit="1" customWidth="1"/>
    <col min="28" max="29" width="15.54296875" style="40" bestFit="1" customWidth="1"/>
    <col min="30" max="31" width="9.1796875" style="40"/>
    <col min="32" max="32" width="26.26953125" style="40" bestFit="1" customWidth="1"/>
    <col min="33" max="33" width="16.81640625" style="40" bestFit="1" customWidth="1"/>
    <col min="34" max="34" width="23.26953125" style="40" bestFit="1" customWidth="1"/>
    <col min="35" max="35" width="15.54296875" style="40" bestFit="1" customWidth="1"/>
    <col min="36" max="36" width="12.54296875" style="40" bestFit="1" customWidth="1"/>
    <col min="37" max="37" width="14.81640625" style="40" bestFit="1" customWidth="1"/>
    <col min="38" max="38" width="13.1796875" style="40" bestFit="1" customWidth="1"/>
    <col min="39" max="39" width="14.81640625" style="40" bestFit="1" customWidth="1"/>
    <col min="40" max="40" width="29.1796875" style="40" bestFit="1" customWidth="1"/>
    <col min="41" max="42" width="9.1796875" style="40"/>
    <col min="43" max="43" width="20.1796875" style="40" customWidth="1"/>
    <col min="44" max="44" width="14.81640625" style="40" bestFit="1" customWidth="1"/>
    <col min="45" max="16384" width="9.1796875" style="40"/>
  </cols>
  <sheetData>
    <row r="1" spans="1:37" ht="15.75" customHeight="1" x14ac:dyDescent="0.35">
      <c r="A1" s="145" t="s">
        <v>161</v>
      </c>
      <c r="B1" s="145"/>
      <c r="C1" s="145"/>
      <c r="D1" s="145"/>
      <c r="E1" s="145"/>
      <c r="G1" s="54" t="s">
        <v>116</v>
      </c>
      <c r="H1" s="54" t="s">
        <v>112</v>
      </c>
      <c r="I1" s="54" t="s">
        <v>124</v>
      </c>
      <c r="J1" s="54" t="s">
        <v>123</v>
      </c>
      <c r="K1" s="54" t="s">
        <v>121</v>
      </c>
      <c r="L1" s="54" t="s">
        <v>119</v>
      </c>
      <c r="M1" s="54"/>
      <c r="P1" s="40" t="s">
        <v>160</v>
      </c>
      <c r="S1" s="148" t="s">
        <v>159</v>
      </c>
    </row>
    <row r="2" spans="1:37" x14ac:dyDescent="0.35">
      <c r="A2" s="145"/>
      <c r="B2" s="145"/>
      <c r="C2" s="145"/>
      <c r="D2" s="145"/>
      <c r="E2" s="145"/>
      <c r="F2" s="135"/>
      <c r="G2" s="66">
        <v>16</v>
      </c>
      <c r="H2" s="66">
        <v>15</v>
      </c>
      <c r="I2" s="67">
        <f>IF($B$7 = "A",0,IF($B$7="B",1))</f>
        <v>0</v>
      </c>
      <c r="J2" s="67">
        <f>IF(C7 = "Тех. 1",0,1)</f>
        <v>0</v>
      </c>
      <c r="K2" s="54">
        <v>0</v>
      </c>
      <c r="L2" s="54">
        <v>0</v>
      </c>
      <c r="M2" s="54"/>
      <c r="P2" s="137" t="s">
        <v>158</v>
      </c>
      <c r="Q2" s="137"/>
      <c r="R2" s="137"/>
      <c r="S2" s="147">
        <f>B51</f>
        <v>1.3630268199233715</v>
      </c>
      <c r="U2" s="68">
        <f>B118</f>
        <v>1.4100467289719623</v>
      </c>
      <c r="AF2" s="146" t="s">
        <v>157</v>
      </c>
      <c r="AG2" s="137"/>
      <c r="AH2" s="137"/>
      <c r="AI2" s="137"/>
      <c r="AJ2" s="137"/>
      <c r="AK2" s="137"/>
    </row>
    <row r="3" spans="1:37" x14ac:dyDescent="0.35">
      <c r="A3" s="145"/>
      <c r="B3" s="145"/>
      <c r="C3" s="145"/>
      <c r="D3" s="145"/>
      <c r="E3" s="145"/>
      <c r="F3" s="135"/>
      <c r="G3" s="66">
        <v>14</v>
      </c>
      <c r="H3" s="66">
        <v>10</v>
      </c>
      <c r="I3" s="67">
        <f>IF(B8 = "A",0,IF(B8="B",1))</f>
        <v>0</v>
      </c>
      <c r="J3" s="67">
        <f>IF(C8 = "Тех. 1",0,1)</f>
        <v>0</v>
      </c>
      <c r="K3" s="54">
        <v>0</v>
      </c>
      <c r="L3" s="54">
        <v>0</v>
      </c>
      <c r="M3" s="54"/>
      <c r="P3" s="40" t="s">
        <v>156</v>
      </c>
      <c r="S3" s="138"/>
      <c r="U3" s="68"/>
      <c r="AF3" s="137"/>
      <c r="AG3" s="137"/>
      <c r="AH3" s="137"/>
      <c r="AI3" s="137"/>
      <c r="AJ3" s="137"/>
      <c r="AK3" s="137"/>
    </row>
    <row r="4" spans="1:37" x14ac:dyDescent="0.35">
      <c r="A4" s="145"/>
      <c r="B4" s="145"/>
      <c r="C4" s="145"/>
      <c r="D4" s="145"/>
      <c r="E4" s="145"/>
      <c r="F4" s="135"/>
      <c r="G4" s="66">
        <v>24</v>
      </c>
      <c r="H4" s="66">
        <v>22</v>
      </c>
      <c r="I4" s="67">
        <f>IF(B9 = "A",0,IF(B9="B",1))</f>
        <v>0</v>
      </c>
      <c r="J4" s="67">
        <f>IF(C9 = "Тех. 1",0,1)</f>
        <v>0</v>
      </c>
      <c r="K4" s="54">
        <v>0</v>
      </c>
      <c r="L4" s="54">
        <v>0</v>
      </c>
      <c r="M4" s="54"/>
      <c r="P4" s="137" t="s">
        <v>155</v>
      </c>
      <c r="Q4" s="137"/>
      <c r="R4" s="137"/>
      <c r="S4" s="144">
        <f>L51</f>
        <v>1.2554285714285711</v>
      </c>
      <c r="U4" s="68">
        <f>L118</f>
        <v>0.96400000000000019</v>
      </c>
    </row>
    <row r="5" spans="1:37" ht="15" thickBot="1" x14ac:dyDescent="0.4">
      <c r="A5" s="143"/>
      <c r="B5" s="143"/>
      <c r="C5" s="143"/>
      <c r="D5" s="143"/>
      <c r="E5" s="143"/>
      <c r="F5" s="135"/>
      <c r="G5" s="66">
        <v>23</v>
      </c>
      <c r="H5" s="66">
        <v>19</v>
      </c>
      <c r="I5" s="67">
        <f>IF(B10 = "A",0,IF(B10="B",1))</f>
        <v>0</v>
      </c>
      <c r="J5" s="67">
        <f>IF(C10 = "Тех. 1",0,1)</f>
        <v>0</v>
      </c>
      <c r="K5" s="54">
        <v>0</v>
      </c>
      <c r="L5" s="54">
        <v>0</v>
      </c>
      <c r="M5" s="54"/>
      <c r="P5" s="40" t="s">
        <v>154</v>
      </c>
      <c r="S5" s="138"/>
      <c r="U5" s="68"/>
    </row>
    <row r="6" spans="1:37" ht="15" thickBot="1" x14ac:dyDescent="0.4">
      <c r="A6" s="142" t="s">
        <v>153</v>
      </c>
      <c r="B6" s="141" t="s">
        <v>152</v>
      </c>
      <c r="C6" s="141" t="s">
        <v>151</v>
      </c>
      <c r="D6" s="141" t="s">
        <v>150</v>
      </c>
      <c r="E6" s="141" t="s">
        <v>149</v>
      </c>
      <c r="F6" s="135"/>
      <c r="G6" s="66">
        <v>26</v>
      </c>
      <c r="H6" s="66">
        <v>18</v>
      </c>
      <c r="I6" s="67">
        <f>IF(B11 = "A",0,IF(B11="B",1))</f>
        <v>0</v>
      </c>
      <c r="J6" s="67">
        <f>IF(C11 = "Тех. 1",0,1)</f>
        <v>0</v>
      </c>
      <c r="K6" s="54">
        <v>0</v>
      </c>
      <c r="L6" s="54">
        <v>0</v>
      </c>
      <c r="M6" s="54"/>
      <c r="P6" s="137" t="s">
        <v>148</v>
      </c>
      <c r="Q6" s="137"/>
      <c r="R6" s="137"/>
      <c r="S6" s="140">
        <f>V51</f>
        <v>1.4766775777414074</v>
      </c>
      <c r="U6" s="68">
        <f>V51</f>
        <v>1.4766775777414074</v>
      </c>
    </row>
    <row r="7" spans="1:37" ht="15" thickBot="1" x14ac:dyDescent="0.4">
      <c r="A7" s="134">
        <v>1</v>
      </c>
      <c r="B7" s="133" t="s">
        <v>23</v>
      </c>
      <c r="C7" s="133" t="s">
        <v>144</v>
      </c>
      <c r="D7" s="133">
        <v>15</v>
      </c>
      <c r="E7" s="133">
        <v>16</v>
      </c>
      <c r="F7" s="135"/>
      <c r="G7" s="66">
        <v>24</v>
      </c>
      <c r="H7" s="66">
        <v>16</v>
      </c>
      <c r="I7" s="67">
        <f>IF(B12 = "A",0,IF(B12="B",1))</f>
        <v>0</v>
      </c>
      <c r="J7" s="67">
        <f>IF(C12 = "Тех. 1",0,1)</f>
        <v>0</v>
      </c>
      <c r="K7" s="54">
        <v>0</v>
      </c>
      <c r="L7" s="54">
        <v>0</v>
      </c>
      <c r="M7" s="54"/>
      <c r="P7" s="40" t="s">
        <v>146</v>
      </c>
      <c r="S7" s="138"/>
      <c r="U7" s="68"/>
    </row>
    <row r="8" spans="1:37" ht="15" thickBot="1" x14ac:dyDescent="0.4">
      <c r="A8" s="134">
        <v>2</v>
      </c>
      <c r="B8" s="133" t="s">
        <v>23</v>
      </c>
      <c r="C8" s="133" t="s">
        <v>144</v>
      </c>
      <c r="D8" s="133">
        <v>10</v>
      </c>
      <c r="E8" s="133">
        <v>14</v>
      </c>
      <c r="F8" s="135"/>
      <c r="G8" s="64">
        <v>29</v>
      </c>
      <c r="H8" s="64">
        <v>24</v>
      </c>
      <c r="I8" s="65">
        <f>IF(B13 = "A",0,IF(B13="B",1))</f>
        <v>0</v>
      </c>
      <c r="J8" s="65">
        <f>IF(C13 = "Тех. 1",0,1)</f>
        <v>1</v>
      </c>
      <c r="K8" s="54">
        <v>0</v>
      </c>
      <c r="L8" s="64">
        <v>24</v>
      </c>
      <c r="M8" s="54"/>
      <c r="P8" s="137" t="s">
        <v>147</v>
      </c>
      <c r="Q8" s="137"/>
      <c r="R8" s="137"/>
      <c r="S8" s="139">
        <f>L84</f>
        <v>1.2511949017525228</v>
      </c>
      <c r="U8" s="68">
        <f>L84</f>
        <v>1.2511949017525228</v>
      </c>
    </row>
    <row r="9" spans="1:37" ht="15" thickBot="1" x14ac:dyDescent="0.4">
      <c r="A9" s="134">
        <v>3</v>
      </c>
      <c r="B9" s="133" t="s">
        <v>23</v>
      </c>
      <c r="C9" s="133" t="s">
        <v>144</v>
      </c>
      <c r="D9" s="133">
        <v>22</v>
      </c>
      <c r="E9" s="133">
        <v>24</v>
      </c>
      <c r="F9" s="135"/>
      <c r="G9" s="64">
        <v>24</v>
      </c>
      <c r="H9" s="64">
        <v>17</v>
      </c>
      <c r="I9" s="65">
        <f>IF(B14 = "A",0,IF(B14="B",1))</f>
        <v>0</v>
      </c>
      <c r="J9" s="65">
        <f>IF(C14 = "Тех. 1",0,1)</f>
        <v>1</v>
      </c>
      <c r="K9" s="54">
        <v>0</v>
      </c>
      <c r="L9" s="64">
        <v>17</v>
      </c>
      <c r="M9" s="54"/>
      <c r="P9" s="40" t="s">
        <v>146</v>
      </c>
      <c r="S9" s="138"/>
      <c r="U9" s="68"/>
    </row>
    <row r="10" spans="1:37" ht="15" thickBot="1" x14ac:dyDescent="0.4">
      <c r="A10" s="134">
        <v>4</v>
      </c>
      <c r="B10" s="133" t="s">
        <v>23</v>
      </c>
      <c r="C10" s="133" t="s">
        <v>144</v>
      </c>
      <c r="D10" s="133">
        <v>19</v>
      </c>
      <c r="E10" s="133">
        <v>23</v>
      </c>
      <c r="F10" s="135"/>
      <c r="G10" s="64">
        <v>31</v>
      </c>
      <c r="H10" s="64">
        <v>20</v>
      </c>
      <c r="I10" s="65">
        <f>IF(B15 = "A",0,IF(B15="B",1))</f>
        <v>0</v>
      </c>
      <c r="J10" s="65">
        <f>IF(C15 = "Тех. 1",0,1)</f>
        <v>1</v>
      </c>
      <c r="K10" s="54">
        <v>0</v>
      </c>
      <c r="L10" s="64">
        <v>20</v>
      </c>
      <c r="M10" s="54"/>
      <c r="P10" s="137" t="s">
        <v>145</v>
      </c>
      <c r="Q10" s="137"/>
      <c r="R10" s="137"/>
      <c r="S10" s="136">
        <f>V84</f>
        <v>1.4162637362637365</v>
      </c>
      <c r="U10" s="68">
        <f>V84</f>
        <v>1.4162637362637365</v>
      </c>
    </row>
    <row r="11" spans="1:37" ht="15" thickBot="1" x14ac:dyDescent="0.4">
      <c r="A11" s="134">
        <v>5</v>
      </c>
      <c r="B11" s="133" t="s">
        <v>23</v>
      </c>
      <c r="C11" s="133" t="s">
        <v>144</v>
      </c>
      <c r="D11" s="133">
        <v>18</v>
      </c>
      <c r="E11" s="133">
        <v>26</v>
      </c>
      <c r="F11" s="135"/>
      <c r="G11" s="64">
        <v>33</v>
      </c>
      <c r="H11" s="64">
        <v>19</v>
      </c>
      <c r="I11" s="65">
        <f>IF(B16 = "A",0,IF(B16="B",1))</f>
        <v>0</v>
      </c>
      <c r="J11" s="65">
        <f>IF(C16 = "Тех. 1",0,1)</f>
        <v>1</v>
      </c>
      <c r="K11" s="54">
        <v>0</v>
      </c>
      <c r="L11" s="64">
        <v>19</v>
      </c>
      <c r="M11" s="54"/>
    </row>
    <row r="12" spans="1:37" ht="15" thickBot="1" x14ac:dyDescent="0.4">
      <c r="A12" s="134">
        <v>6</v>
      </c>
      <c r="B12" s="133" t="s">
        <v>23</v>
      </c>
      <c r="C12" s="133" t="s">
        <v>144</v>
      </c>
      <c r="D12" s="133">
        <v>16</v>
      </c>
      <c r="E12" s="133">
        <v>24</v>
      </c>
      <c r="F12" s="135"/>
      <c r="G12" s="64">
        <v>34</v>
      </c>
      <c r="H12" s="64">
        <v>23</v>
      </c>
      <c r="I12" s="65">
        <f>IF(B17 = "A",0,IF(B17="B",1))</f>
        <v>0</v>
      </c>
      <c r="J12" s="65">
        <f>IF(C17 = "Тех. 1",0,1)</f>
        <v>1</v>
      </c>
      <c r="K12" s="54">
        <v>0</v>
      </c>
      <c r="L12" s="64">
        <v>23</v>
      </c>
      <c r="M12" s="54"/>
    </row>
    <row r="13" spans="1:37" ht="15" thickBot="1" x14ac:dyDescent="0.4">
      <c r="A13" s="134">
        <v>7</v>
      </c>
      <c r="B13" s="133" t="s">
        <v>23</v>
      </c>
      <c r="C13" s="133" t="s">
        <v>136</v>
      </c>
      <c r="D13" s="133">
        <v>24</v>
      </c>
      <c r="E13" s="133">
        <v>29</v>
      </c>
      <c r="F13" s="135"/>
      <c r="G13" s="64">
        <v>28</v>
      </c>
      <c r="H13" s="64">
        <v>17</v>
      </c>
      <c r="I13" s="65">
        <f>IF(B18 = "A",0,IF(B18="B",1))</f>
        <v>0</v>
      </c>
      <c r="J13" s="65">
        <f>IF(C18 = "Тех. 1",0,1)</f>
        <v>1</v>
      </c>
      <c r="K13" s="54">
        <v>0</v>
      </c>
      <c r="L13" s="64">
        <v>17</v>
      </c>
      <c r="M13" s="54"/>
    </row>
    <row r="14" spans="1:37" ht="15" thickBot="1" x14ac:dyDescent="0.4">
      <c r="A14" s="134">
        <v>8</v>
      </c>
      <c r="B14" s="133" t="s">
        <v>23</v>
      </c>
      <c r="C14" s="133" t="s">
        <v>136</v>
      </c>
      <c r="D14" s="133">
        <v>17</v>
      </c>
      <c r="E14" s="133">
        <v>24</v>
      </c>
      <c r="F14" s="135"/>
      <c r="G14" s="55">
        <v>16</v>
      </c>
      <c r="H14" s="55">
        <v>13</v>
      </c>
      <c r="I14" s="56">
        <f>IF(B19 = "A",0,IF(B19="B",1))</f>
        <v>1</v>
      </c>
      <c r="J14" s="56">
        <f>IF(C19 = "Тех. 1",0,1)</f>
        <v>0</v>
      </c>
      <c r="K14" s="55">
        <v>13</v>
      </c>
      <c r="L14" s="54">
        <v>0</v>
      </c>
      <c r="M14" s="54"/>
    </row>
    <row r="15" spans="1:37" ht="15" thickBot="1" x14ac:dyDescent="0.4">
      <c r="A15" s="134">
        <v>9</v>
      </c>
      <c r="B15" s="133" t="s">
        <v>23</v>
      </c>
      <c r="C15" s="133" t="s">
        <v>136</v>
      </c>
      <c r="D15" s="133">
        <v>20</v>
      </c>
      <c r="E15" s="133">
        <v>31</v>
      </c>
      <c r="F15" s="135"/>
      <c r="G15" s="55">
        <v>19</v>
      </c>
      <c r="H15" s="55">
        <v>16</v>
      </c>
      <c r="I15" s="56">
        <f>IF(B20 = "A",0,IF(B20="B",1))</f>
        <v>1</v>
      </c>
      <c r="J15" s="56">
        <f>IF(C20 = "Тех. 1",0,1)</f>
        <v>0</v>
      </c>
      <c r="K15" s="55">
        <v>16</v>
      </c>
      <c r="L15" s="54">
        <v>0</v>
      </c>
      <c r="M15" s="54"/>
    </row>
    <row r="16" spans="1:37" ht="15" thickBot="1" x14ac:dyDescent="0.4">
      <c r="A16" s="134">
        <v>10</v>
      </c>
      <c r="B16" s="133" t="s">
        <v>23</v>
      </c>
      <c r="C16" s="133" t="s">
        <v>136</v>
      </c>
      <c r="D16" s="133">
        <v>19</v>
      </c>
      <c r="E16" s="133">
        <v>33</v>
      </c>
      <c r="F16" s="135"/>
      <c r="G16" s="55">
        <v>25</v>
      </c>
      <c r="H16" s="55">
        <v>22</v>
      </c>
      <c r="I16" s="56">
        <f>IF(B21 = "A",0,IF(B21="B",1))</f>
        <v>1</v>
      </c>
      <c r="J16" s="56">
        <f>IF(C21 = "Тех. 1",0,1)</f>
        <v>0</v>
      </c>
      <c r="K16" s="55">
        <v>22</v>
      </c>
      <c r="L16" s="54">
        <v>0</v>
      </c>
      <c r="M16" s="54"/>
    </row>
    <row r="17" spans="1:15" ht="15" thickBot="1" x14ac:dyDescent="0.4">
      <c r="A17" s="134">
        <v>11</v>
      </c>
      <c r="B17" s="133" t="s">
        <v>23</v>
      </c>
      <c r="C17" s="133" t="s">
        <v>136</v>
      </c>
      <c r="D17" s="133">
        <v>23</v>
      </c>
      <c r="E17" s="133">
        <v>34</v>
      </c>
      <c r="F17" s="135"/>
      <c r="G17" s="55">
        <v>22</v>
      </c>
      <c r="H17" s="55">
        <v>19</v>
      </c>
      <c r="I17" s="56">
        <f>IF(B22 = "A",0,IF(B22="B",1))</f>
        <v>1</v>
      </c>
      <c r="J17" s="56">
        <f>IF(C22 = "Тех. 1",0,1)</f>
        <v>0</v>
      </c>
      <c r="K17" s="55">
        <v>19</v>
      </c>
      <c r="L17" s="54">
        <v>0</v>
      </c>
      <c r="M17" s="54"/>
    </row>
    <row r="18" spans="1:15" ht="15" thickBot="1" x14ac:dyDescent="0.4">
      <c r="A18" s="134">
        <v>12</v>
      </c>
      <c r="B18" s="133" t="s">
        <v>23</v>
      </c>
      <c r="C18" s="133" t="s">
        <v>136</v>
      </c>
      <c r="D18" s="133">
        <v>17</v>
      </c>
      <c r="E18" s="133">
        <v>28</v>
      </c>
      <c r="F18" s="135"/>
      <c r="G18" s="55">
        <v>26</v>
      </c>
      <c r="H18" s="55">
        <v>18</v>
      </c>
      <c r="I18" s="56">
        <f>IF(B23 = "A",0,IF(B23="B",1))</f>
        <v>1</v>
      </c>
      <c r="J18" s="56">
        <f>IF(C23 = "Тех. 1",0,1)</f>
        <v>0</v>
      </c>
      <c r="K18" s="55">
        <v>18</v>
      </c>
      <c r="L18" s="54">
        <v>0</v>
      </c>
      <c r="M18" s="54"/>
    </row>
    <row r="19" spans="1:15" ht="15" thickBot="1" x14ac:dyDescent="0.4">
      <c r="A19" s="134">
        <v>13</v>
      </c>
      <c r="B19" s="133" t="s">
        <v>137</v>
      </c>
      <c r="C19" s="133" t="s">
        <v>144</v>
      </c>
      <c r="D19" s="133">
        <v>13</v>
      </c>
      <c r="E19" s="133">
        <v>16</v>
      </c>
      <c r="F19" s="135"/>
      <c r="G19" s="55">
        <v>24</v>
      </c>
      <c r="H19" s="55">
        <v>17</v>
      </c>
      <c r="I19" s="56">
        <f>IF(B24 = "A",0,IF(B24="B",1))</f>
        <v>1</v>
      </c>
      <c r="J19" s="56">
        <f>IF(C24 = "Тех. 1",0,1)</f>
        <v>0</v>
      </c>
      <c r="K19" s="55">
        <v>17</v>
      </c>
      <c r="L19" s="54">
        <v>0</v>
      </c>
      <c r="M19" s="54"/>
    </row>
    <row r="20" spans="1:15" ht="15" thickBot="1" x14ac:dyDescent="0.4">
      <c r="A20" s="134">
        <v>14</v>
      </c>
      <c r="B20" s="133" t="s">
        <v>137</v>
      </c>
      <c r="C20" s="133" t="s">
        <v>144</v>
      </c>
      <c r="D20" s="133">
        <v>16</v>
      </c>
      <c r="E20" s="133">
        <v>19</v>
      </c>
      <c r="G20" s="52">
        <v>28</v>
      </c>
      <c r="H20" s="52">
        <v>22</v>
      </c>
      <c r="I20" s="53">
        <f>IF(B25 = "A",0,IF(B25="B",1))</f>
        <v>1</v>
      </c>
      <c r="J20" s="53">
        <f>IF(C25 = "Тех. 1",0,1)</f>
        <v>1</v>
      </c>
      <c r="K20" s="52">
        <v>22</v>
      </c>
      <c r="L20" s="52">
        <v>22</v>
      </c>
      <c r="M20" s="54"/>
    </row>
    <row r="21" spans="1:15" ht="15" thickBot="1" x14ac:dyDescent="0.4">
      <c r="A21" s="134">
        <v>15</v>
      </c>
      <c r="B21" s="133" t="s">
        <v>137</v>
      </c>
      <c r="C21" s="133" t="s">
        <v>144</v>
      </c>
      <c r="D21" s="133">
        <v>22</v>
      </c>
      <c r="E21" s="133">
        <v>25</v>
      </c>
      <c r="G21" s="52">
        <v>18</v>
      </c>
      <c r="H21" s="52">
        <v>15</v>
      </c>
      <c r="I21" s="53">
        <f>IF(B26 = "A",0,IF(B26="B",1))</f>
        <v>1</v>
      </c>
      <c r="J21" s="53">
        <f>IF(C26 = "Тех. 1",0,1)</f>
        <v>1</v>
      </c>
      <c r="K21" s="52">
        <v>15</v>
      </c>
      <c r="L21" s="52">
        <v>15</v>
      </c>
      <c r="M21" s="54"/>
    </row>
    <row r="22" spans="1:15" ht="15" thickBot="1" x14ac:dyDescent="0.4">
      <c r="A22" s="134">
        <v>16</v>
      </c>
      <c r="B22" s="133" t="s">
        <v>137</v>
      </c>
      <c r="C22" s="133" t="s">
        <v>144</v>
      </c>
      <c r="D22" s="133">
        <v>19</v>
      </c>
      <c r="E22" s="133">
        <v>22</v>
      </c>
      <c r="G22" s="52">
        <v>30</v>
      </c>
      <c r="H22" s="52">
        <v>20</v>
      </c>
      <c r="I22" s="53">
        <f>IF(B27 = "A",0,IF(B27="B",1))</f>
        <v>1</v>
      </c>
      <c r="J22" s="53">
        <f>IF(C27 = "Тех. 1",0,1)</f>
        <v>1</v>
      </c>
      <c r="K22" s="52">
        <v>20</v>
      </c>
      <c r="L22" s="52">
        <v>20</v>
      </c>
      <c r="M22" s="54"/>
    </row>
    <row r="23" spans="1:15" ht="15" thickBot="1" x14ac:dyDescent="0.4">
      <c r="A23" s="134">
        <v>17</v>
      </c>
      <c r="B23" s="133" t="s">
        <v>137</v>
      </c>
      <c r="C23" s="133" t="s">
        <v>144</v>
      </c>
      <c r="D23" s="133">
        <v>18</v>
      </c>
      <c r="E23" s="133">
        <v>26</v>
      </c>
      <c r="G23" s="52">
        <v>33</v>
      </c>
      <c r="H23" s="52">
        <v>21</v>
      </c>
      <c r="I23" s="53">
        <f>IF(B28 = "A",0,IF(B28="B",1))</f>
        <v>1</v>
      </c>
      <c r="J23" s="53">
        <f>IF(C28 = "Тех. 1",0,1)</f>
        <v>1</v>
      </c>
      <c r="K23" s="52">
        <v>21</v>
      </c>
      <c r="L23" s="52">
        <v>21</v>
      </c>
      <c r="M23" s="54"/>
    </row>
    <row r="24" spans="1:15" ht="15" thickBot="1" x14ac:dyDescent="0.4">
      <c r="A24" s="134">
        <v>18</v>
      </c>
      <c r="B24" s="133" t="s">
        <v>137</v>
      </c>
      <c r="C24" s="133" t="s">
        <v>144</v>
      </c>
      <c r="D24" s="133">
        <v>17</v>
      </c>
      <c r="E24" s="133">
        <v>24</v>
      </c>
      <c r="G24" s="52">
        <v>35</v>
      </c>
      <c r="H24" s="52">
        <v>23</v>
      </c>
      <c r="I24" s="53">
        <f>IF(B29 = "A",0,IF(B29="B",1))</f>
        <v>1</v>
      </c>
      <c r="J24" s="53">
        <f>IF(C29 = "Тех. 1",0,1)</f>
        <v>1</v>
      </c>
      <c r="K24" s="52">
        <v>23</v>
      </c>
      <c r="L24" s="52">
        <v>23</v>
      </c>
      <c r="M24" s="54"/>
    </row>
    <row r="25" spans="1:15" ht="15" thickBot="1" x14ac:dyDescent="0.4">
      <c r="A25" s="134">
        <v>19</v>
      </c>
      <c r="B25" s="133" t="s">
        <v>137</v>
      </c>
      <c r="C25" s="133" t="s">
        <v>136</v>
      </c>
      <c r="D25" s="133">
        <v>22</v>
      </c>
      <c r="E25" s="133">
        <v>28</v>
      </c>
      <c r="G25" s="52">
        <v>17</v>
      </c>
      <c r="H25" s="52">
        <v>14</v>
      </c>
      <c r="I25" s="53">
        <f>IF(B30 = "A",0,IF(B30="B",1))</f>
        <v>1</v>
      </c>
      <c r="J25" s="53">
        <f>IF(C30 = "Тех. 1",0,1)</f>
        <v>1</v>
      </c>
      <c r="K25" s="52">
        <v>14</v>
      </c>
      <c r="L25" s="52">
        <v>14</v>
      </c>
      <c r="M25" s="54"/>
    </row>
    <row r="26" spans="1:15" ht="15" thickBot="1" x14ac:dyDescent="0.4">
      <c r="A26" s="134">
        <v>20</v>
      </c>
      <c r="B26" s="133" t="s">
        <v>137</v>
      </c>
      <c r="C26" s="133" t="s">
        <v>136</v>
      </c>
      <c r="D26" s="133">
        <v>15</v>
      </c>
      <c r="E26" s="133">
        <v>18</v>
      </c>
    </row>
    <row r="27" spans="1:15" ht="15" thickBot="1" x14ac:dyDescent="0.4">
      <c r="A27" s="134">
        <v>21</v>
      </c>
      <c r="B27" s="133" t="s">
        <v>137</v>
      </c>
      <c r="C27" s="133" t="s">
        <v>136</v>
      </c>
      <c r="D27" s="133">
        <v>20</v>
      </c>
      <c r="E27" s="133">
        <v>30</v>
      </c>
      <c r="K27" s="63" t="s">
        <v>143</v>
      </c>
      <c r="L27" s="63"/>
      <c r="M27" s="54" t="s">
        <v>142</v>
      </c>
    </row>
    <row r="28" spans="1:15" ht="15" thickBot="1" x14ac:dyDescent="0.4">
      <c r="A28" s="134">
        <v>22</v>
      </c>
      <c r="B28" s="133" t="s">
        <v>137</v>
      </c>
      <c r="C28" s="133" t="s">
        <v>136</v>
      </c>
      <c r="D28" s="133">
        <v>21</v>
      </c>
      <c r="E28" s="133">
        <v>33</v>
      </c>
      <c r="K28" s="63" t="s">
        <v>141</v>
      </c>
      <c r="L28" s="63"/>
      <c r="M28" s="54" t="s">
        <v>140</v>
      </c>
    </row>
    <row r="29" spans="1:15" ht="15" thickBot="1" x14ac:dyDescent="0.4">
      <c r="A29" s="134">
        <v>23</v>
      </c>
      <c r="B29" s="133" t="s">
        <v>137</v>
      </c>
      <c r="C29" s="133" t="s">
        <v>136</v>
      </c>
      <c r="D29" s="133">
        <v>23</v>
      </c>
      <c r="E29" s="133">
        <v>35</v>
      </c>
      <c r="K29" s="63" t="s">
        <v>139</v>
      </c>
      <c r="L29" s="63"/>
      <c r="M29" s="54" t="s">
        <v>138</v>
      </c>
    </row>
    <row r="30" spans="1:15" ht="15" thickBot="1" x14ac:dyDescent="0.4">
      <c r="A30" s="134">
        <v>24</v>
      </c>
      <c r="B30" s="133" t="s">
        <v>137</v>
      </c>
      <c r="C30" s="133" t="s">
        <v>136</v>
      </c>
      <c r="D30" s="133">
        <v>14</v>
      </c>
      <c r="E30" s="133">
        <v>17</v>
      </c>
      <c r="K30" s="63" t="s">
        <v>135</v>
      </c>
      <c r="L30" s="63"/>
      <c r="M30" s="54" t="s">
        <v>134</v>
      </c>
    </row>
    <row r="31" spans="1:15" x14ac:dyDescent="0.35">
      <c r="K31" s="63" t="s">
        <v>129</v>
      </c>
      <c r="L31" s="63"/>
      <c r="M31" s="63"/>
      <c r="O31" s="48">
        <v>1.2532342416735478</v>
      </c>
    </row>
    <row r="32" spans="1:15" ht="19" thickBot="1" x14ac:dyDescent="0.5">
      <c r="K32" s="132" t="s">
        <v>133</v>
      </c>
      <c r="L32" s="131"/>
      <c r="M32" s="130"/>
      <c r="O32" s="47">
        <v>0.1943182058789</v>
      </c>
    </row>
    <row r="33" spans="1:29" ht="15" thickBot="1" x14ac:dyDescent="0.4"/>
    <row r="34" spans="1:29" x14ac:dyDescent="0.35">
      <c r="A34" s="112" t="s">
        <v>102</v>
      </c>
      <c r="B34" s="111"/>
      <c r="C34" s="111"/>
      <c r="D34" s="111"/>
      <c r="E34" s="111"/>
      <c r="F34" s="111"/>
      <c r="G34" s="111"/>
      <c r="H34" s="111"/>
      <c r="I34" s="111"/>
      <c r="J34" s="109"/>
      <c r="K34" s="110" t="s">
        <v>102</v>
      </c>
      <c r="L34" s="110"/>
      <c r="M34" s="110"/>
      <c r="N34" s="110"/>
      <c r="O34" s="110"/>
      <c r="P34" s="110"/>
      <c r="Q34" s="110"/>
      <c r="R34" s="110"/>
      <c r="S34" s="110"/>
      <c r="T34" s="109"/>
      <c r="U34" s="108" t="s">
        <v>102</v>
      </c>
      <c r="V34" s="108"/>
      <c r="W34" s="108"/>
      <c r="X34" s="108"/>
      <c r="Y34" s="108"/>
      <c r="Z34" s="108"/>
      <c r="AA34" s="108"/>
      <c r="AB34" s="108"/>
      <c r="AC34" s="107"/>
    </row>
    <row r="35" spans="1:29" ht="15" thickBot="1" x14ac:dyDescent="0.4">
      <c r="A35" s="86"/>
      <c r="B35" s="83"/>
      <c r="C35" s="83"/>
      <c r="D35" s="83"/>
      <c r="E35" s="83"/>
      <c r="F35" s="83"/>
      <c r="G35" s="83"/>
      <c r="H35" s="83"/>
      <c r="I35" s="83"/>
      <c r="K35" s="93"/>
      <c r="L35" s="93"/>
      <c r="M35" s="93"/>
      <c r="N35" s="93"/>
      <c r="O35" s="93"/>
      <c r="P35" s="93"/>
      <c r="Q35" s="93"/>
      <c r="R35" s="93"/>
      <c r="S35" s="93"/>
      <c r="U35" s="91"/>
      <c r="V35" s="91"/>
      <c r="W35" s="91"/>
      <c r="X35" s="91"/>
      <c r="Y35" s="91"/>
      <c r="Z35" s="91"/>
      <c r="AA35" s="91"/>
      <c r="AB35" s="91"/>
      <c r="AC35" s="90"/>
    </row>
    <row r="36" spans="1:29" x14ac:dyDescent="0.35">
      <c r="A36" s="106" t="s">
        <v>101</v>
      </c>
      <c r="B36" s="105"/>
      <c r="C36" s="83"/>
      <c r="D36" s="83"/>
      <c r="E36" s="83"/>
      <c r="F36" s="83"/>
      <c r="G36" s="83"/>
      <c r="H36" s="83"/>
      <c r="I36" s="83"/>
      <c r="K36" s="104" t="s">
        <v>101</v>
      </c>
      <c r="L36" s="104"/>
      <c r="M36" s="93"/>
      <c r="N36" s="93"/>
      <c r="O36" s="93"/>
      <c r="P36" s="93"/>
      <c r="Q36" s="93"/>
      <c r="R36" s="93"/>
      <c r="S36" s="93"/>
      <c r="U36" s="103" t="s">
        <v>101</v>
      </c>
      <c r="V36" s="103"/>
      <c r="W36" s="91"/>
      <c r="X36" s="91"/>
      <c r="Y36" s="91"/>
      <c r="Z36" s="91"/>
      <c r="AA36" s="91"/>
      <c r="AB36" s="91"/>
      <c r="AC36" s="90"/>
    </row>
    <row r="37" spans="1:29" x14ac:dyDescent="0.35">
      <c r="A37" s="86" t="s">
        <v>100</v>
      </c>
      <c r="B37" s="83">
        <v>0.99083740712217194</v>
      </c>
      <c r="C37" s="83"/>
      <c r="D37" s="83"/>
      <c r="E37" s="83"/>
      <c r="F37" s="83"/>
      <c r="G37" s="83"/>
      <c r="H37" s="83"/>
      <c r="I37" s="83"/>
      <c r="K37" s="50" t="s">
        <v>100</v>
      </c>
      <c r="L37" s="50">
        <v>0.99091217158779732</v>
      </c>
      <c r="M37" s="93"/>
      <c r="N37" s="93"/>
      <c r="O37" s="93"/>
      <c r="P37" s="93"/>
      <c r="Q37" s="93"/>
      <c r="R37" s="93"/>
      <c r="S37" s="93"/>
      <c r="U37" s="95" t="s">
        <v>100</v>
      </c>
      <c r="V37" s="95">
        <v>0.9927916058100057</v>
      </c>
      <c r="W37" s="91"/>
      <c r="X37" s="91"/>
      <c r="Y37" s="91"/>
      <c r="Z37" s="91"/>
      <c r="AA37" s="91"/>
      <c r="AB37" s="91"/>
      <c r="AC37" s="90"/>
    </row>
    <row r="38" spans="1:29" x14ac:dyDescent="0.35">
      <c r="A38" s="86" t="s">
        <v>99</v>
      </c>
      <c r="B38" s="83">
        <v>0.9817587673525886</v>
      </c>
      <c r="C38" s="83"/>
      <c r="D38" s="83"/>
      <c r="E38" s="83"/>
      <c r="F38" s="83"/>
      <c r="G38" s="83"/>
      <c r="H38" s="83"/>
      <c r="I38" s="83"/>
      <c r="K38" s="50" t="s">
        <v>99</v>
      </c>
      <c r="L38" s="50">
        <v>0.98190693180084432</v>
      </c>
      <c r="M38" s="93"/>
      <c r="N38" s="93"/>
      <c r="O38" s="93"/>
      <c r="P38" s="93"/>
      <c r="Q38" s="93"/>
      <c r="R38" s="93"/>
      <c r="S38" s="93"/>
      <c r="U38" s="95" t="s">
        <v>99</v>
      </c>
      <c r="V38" s="95">
        <v>0.98563517256680966</v>
      </c>
      <c r="W38" s="91"/>
      <c r="X38" s="91"/>
      <c r="Y38" s="91"/>
      <c r="Z38" s="91"/>
      <c r="AA38" s="91"/>
      <c r="AB38" s="91"/>
      <c r="AC38" s="90"/>
    </row>
    <row r="39" spans="1:29" x14ac:dyDescent="0.35">
      <c r="A39" s="86" t="s">
        <v>98</v>
      </c>
      <c r="B39" s="83">
        <v>0.93828050648302341</v>
      </c>
      <c r="C39" s="83"/>
      <c r="D39" s="83"/>
      <c r="E39" s="83"/>
      <c r="F39" s="83"/>
      <c r="G39" s="83"/>
      <c r="H39" s="83"/>
      <c r="I39" s="83"/>
      <c r="K39" s="50" t="s">
        <v>98</v>
      </c>
      <c r="L39" s="50">
        <v>0.78190693180084436</v>
      </c>
      <c r="M39" s="93"/>
      <c r="N39" s="93"/>
      <c r="O39" s="93"/>
      <c r="P39" s="93"/>
      <c r="Q39" s="93"/>
      <c r="R39" s="93"/>
      <c r="S39" s="93"/>
      <c r="U39" s="95" t="s">
        <v>98</v>
      </c>
      <c r="V39" s="95">
        <v>0.78563517256680959</v>
      </c>
      <c r="W39" s="91"/>
      <c r="X39" s="91"/>
      <c r="Y39" s="91"/>
      <c r="Z39" s="91"/>
      <c r="AA39" s="91"/>
      <c r="AB39" s="91"/>
      <c r="AC39" s="90"/>
    </row>
    <row r="40" spans="1:29" x14ac:dyDescent="0.35">
      <c r="A40" s="86" t="s">
        <v>93</v>
      </c>
      <c r="B40" s="83">
        <v>3.5404659604433624</v>
      </c>
      <c r="C40" s="83"/>
      <c r="D40" s="83"/>
      <c r="E40" s="83"/>
      <c r="F40" s="83"/>
      <c r="G40" s="83"/>
      <c r="H40" s="83"/>
      <c r="I40" s="83"/>
      <c r="K40" s="50" t="s">
        <v>93</v>
      </c>
      <c r="L40" s="50">
        <v>3.1882104250324694</v>
      </c>
      <c r="M40" s="93"/>
      <c r="N40" s="93"/>
      <c r="O40" s="93"/>
      <c r="P40" s="93"/>
      <c r="Q40" s="93"/>
      <c r="R40" s="93"/>
      <c r="S40" s="93"/>
      <c r="U40" s="95" t="s">
        <v>93</v>
      </c>
      <c r="V40" s="95">
        <v>3.9413353557204487</v>
      </c>
      <c r="W40" s="91"/>
      <c r="X40" s="91"/>
      <c r="Y40" s="91"/>
      <c r="Z40" s="91"/>
      <c r="AA40" s="91"/>
      <c r="AB40" s="91"/>
      <c r="AC40" s="90"/>
    </row>
    <row r="41" spans="1:29" ht="15" thickBot="1" x14ac:dyDescent="0.4">
      <c r="A41" s="85" t="s">
        <v>74</v>
      </c>
      <c r="B41" s="84">
        <v>24</v>
      </c>
      <c r="C41" s="83"/>
      <c r="D41" s="83"/>
      <c r="E41" s="83"/>
      <c r="F41" s="83"/>
      <c r="G41" s="83"/>
      <c r="H41" s="83"/>
      <c r="I41" s="83"/>
      <c r="K41" s="94" t="s">
        <v>74</v>
      </c>
      <c r="L41" s="94">
        <v>6</v>
      </c>
      <c r="M41" s="93"/>
      <c r="N41" s="93"/>
      <c r="O41" s="93"/>
      <c r="P41" s="93"/>
      <c r="Q41" s="93"/>
      <c r="R41" s="93"/>
      <c r="S41" s="93"/>
      <c r="U41" s="92" t="s">
        <v>74</v>
      </c>
      <c r="V41" s="92">
        <v>6</v>
      </c>
      <c r="W41" s="91"/>
      <c r="X41" s="91"/>
      <c r="Y41" s="91"/>
      <c r="Z41" s="91"/>
      <c r="AA41" s="91"/>
      <c r="AB41" s="91"/>
      <c r="AC41" s="90"/>
    </row>
    <row r="42" spans="1:29" x14ac:dyDescent="0.35">
      <c r="A42" s="86"/>
      <c r="B42" s="83"/>
      <c r="C42" s="83"/>
      <c r="D42" s="83"/>
      <c r="E42" s="83"/>
      <c r="F42" s="83"/>
      <c r="G42" s="83"/>
      <c r="H42" s="83"/>
      <c r="I42" s="83"/>
      <c r="K42" s="93"/>
      <c r="L42" s="93"/>
      <c r="M42" s="93"/>
      <c r="N42" s="93"/>
      <c r="O42" s="93"/>
      <c r="P42" s="93"/>
      <c r="Q42" s="93"/>
      <c r="R42" s="93"/>
      <c r="S42" s="93"/>
      <c r="U42" s="91"/>
      <c r="V42" s="91"/>
      <c r="W42" s="91"/>
      <c r="X42" s="91"/>
      <c r="Y42" s="91"/>
      <c r="Z42" s="91"/>
      <c r="AA42" s="91"/>
      <c r="AB42" s="91"/>
      <c r="AC42" s="90"/>
    </row>
    <row r="43" spans="1:29" ht="15" thickBot="1" x14ac:dyDescent="0.4">
      <c r="A43" s="86" t="s">
        <v>56</v>
      </c>
      <c r="B43" s="83"/>
      <c r="C43" s="83"/>
      <c r="D43" s="83"/>
      <c r="E43" s="83"/>
      <c r="F43" s="83"/>
      <c r="G43" s="83"/>
      <c r="H43" s="83"/>
      <c r="I43" s="83"/>
      <c r="K43" s="93" t="s">
        <v>56</v>
      </c>
      <c r="L43" s="93"/>
      <c r="M43" s="93"/>
      <c r="N43" s="93"/>
      <c r="O43" s="93"/>
      <c r="P43" s="93"/>
      <c r="Q43" s="93"/>
      <c r="R43" s="93"/>
      <c r="S43" s="93"/>
      <c r="U43" s="91" t="s">
        <v>56</v>
      </c>
      <c r="V43" s="91"/>
      <c r="W43" s="91"/>
      <c r="X43" s="91"/>
      <c r="Y43" s="91"/>
      <c r="Z43" s="91"/>
      <c r="AA43" s="91"/>
      <c r="AB43" s="91"/>
      <c r="AC43" s="90"/>
    </row>
    <row r="44" spans="1:29" x14ac:dyDescent="0.35">
      <c r="A44" s="99"/>
      <c r="B44" s="98" t="s">
        <v>53</v>
      </c>
      <c r="C44" s="98" t="s">
        <v>54</v>
      </c>
      <c r="D44" s="98" t="s">
        <v>52</v>
      </c>
      <c r="E44" s="98" t="s">
        <v>51</v>
      </c>
      <c r="F44" s="98" t="s">
        <v>97</v>
      </c>
      <c r="G44" s="83"/>
      <c r="H44" s="83"/>
      <c r="I44" s="83"/>
      <c r="K44" s="97"/>
      <c r="L44" s="97" t="s">
        <v>53</v>
      </c>
      <c r="M44" s="97" t="s">
        <v>54</v>
      </c>
      <c r="N44" s="97" t="s">
        <v>52</v>
      </c>
      <c r="O44" s="97" t="s">
        <v>51</v>
      </c>
      <c r="P44" s="97" t="s">
        <v>97</v>
      </c>
      <c r="Q44" s="93"/>
      <c r="R44" s="93"/>
      <c r="S44" s="93"/>
      <c r="U44" s="96"/>
      <c r="V44" s="96" t="s">
        <v>53</v>
      </c>
      <c r="W44" s="96" t="s">
        <v>54</v>
      </c>
      <c r="X44" s="96" t="s">
        <v>52</v>
      </c>
      <c r="Y44" s="96" t="s">
        <v>51</v>
      </c>
      <c r="Z44" s="96" t="s">
        <v>97</v>
      </c>
      <c r="AA44" s="91"/>
      <c r="AB44" s="91"/>
      <c r="AC44" s="90"/>
    </row>
    <row r="45" spans="1:29" x14ac:dyDescent="0.35">
      <c r="A45" s="86" t="s">
        <v>96</v>
      </c>
      <c r="B45" s="83">
        <v>1</v>
      </c>
      <c r="C45" s="83">
        <v>15516.697318007662</v>
      </c>
      <c r="D45" s="83">
        <v>15516.697318007662</v>
      </c>
      <c r="E45" s="83">
        <v>1237.8797028452959</v>
      </c>
      <c r="F45" s="83">
        <v>7.8042131892744639E-21</v>
      </c>
      <c r="G45" s="83"/>
      <c r="H45" s="83"/>
      <c r="I45" s="83"/>
      <c r="K45" s="50" t="s">
        <v>96</v>
      </c>
      <c r="L45" s="50">
        <v>1</v>
      </c>
      <c r="M45" s="50">
        <v>2758.1765714285716</v>
      </c>
      <c r="N45" s="50">
        <v>2758.1765714285716</v>
      </c>
      <c r="O45" s="50">
        <v>271.34892794099443</v>
      </c>
      <c r="P45" s="50">
        <v>7.9524265374243786E-5</v>
      </c>
      <c r="Q45" s="93"/>
      <c r="R45" s="93"/>
      <c r="S45" s="93"/>
      <c r="U45" s="95" t="s">
        <v>96</v>
      </c>
      <c r="V45" s="95">
        <v>1</v>
      </c>
      <c r="W45" s="95">
        <v>5329.32937806874</v>
      </c>
      <c r="X45" s="95">
        <v>5329.32937806874</v>
      </c>
      <c r="Y45" s="95">
        <v>343.07240276672997</v>
      </c>
      <c r="Z45" s="95">
        <v>5.0001974887217859E-5</v>
      </c>
      <c r="AA45" s="91"/>
      <c r="AB45" s="91"/>
      <c r="AC45" s="90"/>
    </row>
    <row r="46" spans="1:29" x14ac:dyDescent="0.35">
      <c r="A46" s="86" t="s">
        <v>95</v>
      </c>
      <c r="B46" s="83">
        <v>23</v>
      </c>
      <c r="C46" s="83">
        <v>288.30268199233723</v>
      </c>
      <c r="D46" s="83">
        <v>12.53489921705814</v>
      </c>
      <c r="E46" s="83"/>
      <c r="F46" s="83"/>
      <c r="G46" s="83"/>
      <c r="H46" s="83"/>
      <c r="I46" s="83"/>
      <c r="K46" s="50" t="s">
        <v>95</v>
      </c>
      <c r="L46" s="50">
        <v>5</v>
      </c>
      <c r="M46" s="50">
        <v>50.823428571428607</v>
      </c>
      <c r="N46" s="50">
        <v>10.164685714285721</v>
      </c>
      <c r="O46" s="50"/>
      <c r="P46" s="50"/>
      <c r="Q46" s="93"/>
      <c r="R46" s="93"/>
      <c r="S46" s="93"/>
      <c r="U46" s="95" t="s">
        <v>95</v>
      </c>
      <c r="V46" s="95">
        <v>5</v>
      </c>
      <c r="W46" s="95">
        <v>77.670621931260172</v>
      </c>
      <c r="X46" s="95">
        <v>15.534124386252035</v>
      </c>
      <c r="Y46" s="95"/>
      <c r="Z46" s="95"/>
      <c r="AA46" s="91"/>
      <c r="AB46" s="91"/>
      <c r="AC46" s="90"/>
    </row>
    <row r="47" spans="1:29" ht="15" thickBot="1" x14ac:dyDescent="0.4">
      <c r="A47" s="85" t="s">
        <v>46</v>
      </c>
      <c r="B47" s="84">
        <v>24</v>
      </c>
      <c r="C47" s="84">
        <v>15805</v>
      </c>
      <c r="D47" s="84"/>
      <c r="E47" s="84"/>
      <c r="F47" s="84"/>
      <c r="G47" s="83"/>
      <c r="H47" s="83"/>
      <c r="I47" s="83"/>
      <c r="K47" s="94" t="s">
        <v>46</v>
      </c>
      <c r="L47" s="94">
        <v>6</v>
      </c>
      <c r="M47" s="94">
        <v>2809</v>
      </c>
      <c r="N47" s="94"/>
      <c r="O47" s="94"/>
      <c r="P47" s="94"/>
      <c r="Q47" s="93"/>
      <c r="R47" s="93"/>
      <c r="S47" s="93"/>
      <c r="U47" s="92" t="s">
        <v>46</v>
      </c>
      <c r="V47" s="92">
        <v>6</v>
      </c>
      <c r="W47" s="92">
        <v>5407</v>
      </c>
      <c r="X47" s="92"/>
      <c r="Y47" s="92"/>
      <c r="Z47" s="92"/>
      <c r="AA47" s="91"/>
      <c r="AB47" s="91"/>
      <c r="AC47" s="90"/>
    </row>
    <row r="48" spans="1:29" ht="15" thickBot="1" x14ac:dyDescent="0.4">
      <c r="A48" s="86"/>
      <c r="B48" s="83"/>
      <c r="C48" s="83"/>
      <c r="D48" s="83"/>
      <c r="E48" s="83"/>
      <c r="F48" s="83"/>
      <c r="G48" s="83"/>
      <c r="H48" s="83"/>
      <c r="I48" s="83"/>
      <c r="K48" s="93"/>
      <c r="L48" s="93"/>
      <c r="M48" s="93"/>
      <c r="N48" s="93"/>
      <c r="O48" s="93"/>
      <c r="P48" s="93"/>
      <c r="Q48" s="93"/>
      <c r="R48" s="93"/>
      <c r="S48" s="93"/>
      <c r="U48" s="91"/>
      <c r="V48" s="91"/>
      <c r="W48" s="91"/>
      <c r="X48" s="91"/>
      <c r="Y48" s="91"/>
      <c r="Z48" s="91"/>
      <c r="AA48" s="91"/>
      <c r="AB48" s="91"/>
      <c r="AC48" s="90"/>
    </row>
    <row r="49" spans="1:40" x14ac:dyDescent="0.35">
      <c r="A49" s="99"/>
      <c r="B49" s="98" t="s">
        <v>94</v>
      </c>
      <c r="C49" s="98" t="s">
        <v>93</v>
      </c>
      <c r="D49" s="98" t="s">
        <v>84</v>
      </c>
      <c r="E49" s="98" t="s">
        <v>50</v>
      </c>
      <c r="F49" s="98" t="s">
        <v>92</v>
      </c>
      <c r="G49" s="98" t="s">
        <v>91</v>
      </c>
      <c r="H49" s="98" t="s">
        <v>90</v>
      </c>
      <c r="I49" s="98" t="s">
        <v>89</v>
      </c>
      <c r="K49" s="97"/>
      <c r="L49" s="97" t="s">
        <v>94</v>
      </c>
      <c r="M49" s="97" t="s">
        <v>93</v>
      </c>
      <c r="N49" s="97" t="s">
        <v>84</v>
      </c>
      <c r="O49" s="97" t="s">
        <v>50</v>
      </c>
      <c r="P49" s="97" t="s">
        <v>92</v>
      </c>
      <c r="Q49" s="97" t="s">
        <v>91</v>
      </c>
      <c r="R49" s="97" t="s">
        <v>90</v>
      </c>
      <c r="S49" s="97" t="s">
        <v>89</v>
      </c>
      <c r="U49" s="96"/>
      <c r="V49" s="96" t="s">
        <v>94</v>
      </c>
      <c r="W49" s="96" t="s">
        <v>93</v>
      </c>
      <c r="X49" s="96" t="s">
        <v>84</v>
      </c>
      <c r="Y49" s="96" t="s">
        <v>50</v>
      </c>
      <c r="Z49" s="96" t="s">
        <v>92</v>
      </c>
      <c r="AA49" s="96" t="s">
        <v>91</v>
      </c>
      <c r="AB49" s="96" t="s">
        <v>90</v>
      </c>
      <c r="AC49" s="102" t="s">
        <v>89</v>
      </c>
    </row>
    <row r="50" spans="1:40" x14ac:dyDescent="0.35">
      <c r="A50" s="86" t="s">
        <v>88</v>
      </c>
      <c r="B50" s="83">
        <v>0</v>
      </c>
      <c r="C50" s="83" t="e">
        <v>#N/A</v>
      </c>
      <c r="D50" s="83" t="e">
        <v>#N/A</v>
      </c>
      <c r="E50" s="83" t="e">
        <v>#N/A</v>
      </c>
      <c r="F50" s="83" t="e">
        <v>#N/A</v>
      </c>
      <c r="G50" s="83" t="e">
        <v>#N/A</v>
      </c>
      <c r="H50" s="83" t="e">
        <v>#N/A</v>
      </c>
      <c r="I50" s="83" t="e">
        <v>#N/A</v>
      </c>
      <c r="K50" s="50" t="s">
        <v>88</v>
      </c>
      <c r="L50" s="50">
        <v>0</v>
      </c>
      <c r="M50" s="50" t="e">
        <v>#N/A</v>
      </c>
      <c r="N50" s="50" t="e">
        <v>#N/A</v>
      </c>
      <c r="O50" s="50" t="e">
        <v>#N/A</v>
      </c>
      <c r="P50" s="50" t="e">
        <v>#N/A</v>
      </c>
      <c r="Q50" s="50" t="e">
        <v>#N/A</v>
      </c>
      <c r="R50" s="50" t="e">
        <v>#N/A</v>
      </c>
      <c r="S50" s="50" t="e">
        <v>#N/A</v>
      </c>
      <c r="U50" s="95" t="s">
        <v>88</v>
      </c>
      <c r="V50" s="95">
        <v>0</v>
      </c>
      <c r="W50" s="95" t="e">
        <v>#N/A</v>
      </c>
      <c r="X50" s="95" t="e">
        <v>#N/A</v>
      </c>
      <c r="Y50" s="95" t="e">
        <v>#N/A</v>
      </c>
      <c r="Z50" s="95" t="e">
        <v>#N/A</v>
      </c>
      <c r="AA50" s="95" t="e">
        <v>#N/A</v>
      </c>
      <c r="AB50" s="95" t="e">
        <v>#N/A</v>
      </c>
      <c r="AC50" s="101" t="e">
        <v>#N/A</v>
      </c>
    </row>
    <row r="51" spans="1:40" ht="15" thickBot="1" x14ac:dyDescent="0.4">
      <c r="A51" s="85" t="s">
        <v>132</v>
      </c>
      <c r="B51" s="84">
        <v>1.3630268199233715</v>
      </c>
      <c r="C51" s="84">
        <v>3.8740496327257463E-2</v>
      </c>
      <c r="D51" s="84">
        <v>35.183514645999985</v>
      </c>
      <c r="E51" s="84">
        <v>1.667844327747095E-21</v>
      </c>
      <c r="F51" s="84">
        <v>1.2828859973645792</v>
      </c>
      <c r="G51" s="84">
        <v>1.4431676424821638</v>
      </c>
      <c r="H51" s="84">
        <v>1.2828859973645792</v>
      </c>
      <c r="I51" s="84">
        <v>1.4431676424821638</v>
      </c>
      <c r="K51" s="94" t="s">
        <v>132</v>
      </c>
      <c r="L51" s="94">
        <v>1.2554285714285711</v>
      </c>
      <c r="M51" s="94">
        <v>7.6212806251539492E-2</v>
      </c>
      <c r="N51" s="94">
        <v>16.472672155451718</v>
      </c>
      <c r="O51" s="94">
        <v>1.5048267315053386E-5</v>
      </c>
      <c r="P51" s="94">
        <v>1.0595173160354938</v>
      </c>
      <c r="Q51" s="94">
        <v>1.4513398268216484</v>
      </c>
      <c r="R51" s="94">
        <v>1.0595173160354938</v>
      </c>
      <c r="S51" s="94">
        <v>1.4513398268216484</v>
      </c>
      <c r="U51" s="92" t="s">
        <v>132</v>
      </c>
      <c r="V51" s="92">
        <v>1.4766775777414074</v>
      </c>
      <c r="W51" s="92">
        <v>7.9724680670160711E-2</v>
      </c>
      <c r="X51" s="92">
        <v>18.522213765280053</v>
      </c>
      <c r="Y51" s="92">
        <v>8.440555017694705E-6</v>
      </c>
      <c r="Z51" s="92">
        <v>1.2717387617587868</v>
      </c>
      <c r="AA51" s="92">
        <v>1.681616393724028</v>
      </c>
      <c r="AB51" s="92">
        <v>1.2717387617587868</v>
      </c>
      <c r="AC51" s="100">
        <v>1.681616393724028</v>
      </c>
    </row>
    <row r="52" spans="1:40" x14ac:dyDescent="0.35">
      <c r="A52" s="86"/>
      <c r="B52" s="83"/>
      <c r="C52" s="83"/>
      <c r="D52" s="83"/>
      <c r="E52" s="83"/>
      <c r="F52" s="83"/>
      <c r="G52" s="83"/>
      <c r="H52" s="83"/>
      <c r="I52" s="83"/>
      <c r="K52" s="93"/>
      <c r="L52" s="93"/>
      <c r="M52" s="93"/>
      <c r="N52" s="93"/>
      <c r="O52" s="93"/>
      <c r="P52" s="93"/>
      <c r="Q52" s="93"/>
      <c r="R52" s="93"/>
      <c r="S52" s="93"/>
      <c r="U52" s="91"/>
      <c r="V52" s="91"/>
      <c r="W52" s="91"/>
      <c r="X52" s="91"/>
      <c r="Y52" s="91"/>
      <c r="Z52" s="91"/>
      <c r="AA52" s="91"/>
      <c r="AB52" s="91"/>
      <c r="AC52" s="90"/>
    </row>
    <row r="53" spans="1:40" x14ac:dyDescent="0.35">
      <c r="A53" s="86"/>
      <c r="B53" s="83"/>
      <c r="C53" s="83"/>
      <c r="D53" s="83"/>
      <c r="E53" s="83"/>
      <c r="F53" s="83"/>
      <c r="G53" s="83"/>
      <c r="H53" s="83"/>
      <c r="I53" s="83"/>
      <c r="K53" s="93"/>
      <c r="L53" s="93"/>
      <c r="M53" s="93"/>
      <c r="N53" s="93"/>
      <c r="O53" s="93"/>
      <c r="P53" s="93"/>
      <c r="Q53" s="93"/>
      <c r="R53" s="93"/>
      <c r="S53" s="93"/>
      <c r="U53" s="91"/>
      <c r="V53" s="91"/>
      <c r="W53" s="91"/>
      <c r="X53" s="91"/>
      <c r="Y53" s="91"/>
      <c r="Z53" s="91"/>
      <c r="AA53" s="91"/>
      <c r="AB53" s="91"/>
      <c r="AC53" s="90"/>
    </row>
    <row r="54" spans="1:40" x14ac:dyDescent="0.35">
      <c r="A54" s="86"/>
      <c r="B54" s="83"/>
      <c r="C54" s="83"/>
      <c r="D54" s="83"/>
      <c r="E54" s="83"/>
      <c r="F54" s="83"/>
      <c r="G54" s="83"/>
      <c r="H54" s="83"/>
      <c r="I54" s="83"/>
      <c r="K54" s="93"/>
      <c r="L54" s="93"/>
      <c r="M54" s="93"/>
      <c r="N54" s="93"/>
      <c r="O54" s="93"/>
      <c r="P54" s="93"/>
      <c r="Q54" s="93"/>
      <c r="R54" s="93"/>
      <c r="S54" s="93"/>
      <c r="U54" s="91"/>
      <c r="V54" s="91"/>
      <c r="W54" s="91"/>
      <c r="X54" s="91"/>
      <c r="Y54" s="91"/>
      <c r="Z54" s="91"/>
      <c r="AA54" s="91"/>
      <c r="AB54" s="91"/>
      <c r="AC54" s="90"/>
    </row>
    <row r="55" spans="1:40" x14ac:dyDescent="0.35">
      <c r="A55" s="86" t="s">
        <v>87</v>
      </c>
      <c r="B55" s="83"/>
      <c r="C55" s="83"/>
      <c r="D55" s="83"/>
      <c r="E55" s="83"/>
      <c r="F55" s="83"/>
      <c r="G55" s="83"/>
      <c r="H55" s="83"/>
      <c r="I55" s="83"/>
      <c r="K55" s="93" t="s">
        <v>87</v>
      </c>
      <c r="L55" s="93"/>
      <c r="M55" s="93"/>
      <c r="N55" s="93"/>
      <c r="O55" s="93"/>
      <c r="P55" s="93"/>
      <c r="Q55" s="93"/>
      <c r="R55" s="93"/>
      <c r="S55" s="93"/>
      <c r="U55" s="91" t="s">
        <v>87</v>
      </c>
      <c r="V55" s="91"/>
      <c r="W55" s="91"/>
      <c r="X55" s="91"/>
      <c r="Y55" s="91"/>
      <c r="Z55" s="91"/>
      <c r="AA55" s="91"/>
      <c r="AB55" s="91"/>
      <c r="AC55" s="90"/>
    </row>
    <row r="56" spans="1:40" ht="15" thickBot="1" x14ac:dyDescent="0.4">
      <c r="A56" s="86"/>
      <c r="B56" s="83"/>
      <c r="C56" s="83"/>
      <c r="D56" s="83"/>
      <c r="E56" s="83"/>
      <c r="F56" s="83"/>
      <c r="G56" s="83"/>
      <c r="H56" s="83"/>
      <c r="I56" s="83"/>
      <c r="K56" s="93"/>
      <c r="L56" s="93"/>
      <c r="M56" s="93"/>
      <c r="N56" s="93"/>
      <c r="O56" s="93"/>
      <c r="P56" s="93"/>
      <c r="Q56" s="93"/>
      <c r="R56" s="93"/>
      <c r="S56" s="93"/>
      <c r="U56" s="91"/>
      <c r="V56" s="91"/>
      <c r="W56" s="91"/>
      <c r="X56" s="91"/>
      <c r="Y56" s="91"/>
      <c r="Z56" s="91"/>
      <c r="AA56" s="91"/>
      <c r="AB56" s="91"/>
      <c r="AC56" s="90"/>
    </row>
    <row r="57" spans="1:40" x14ac:dyDescent="0.35">
      <c r="A57" s="99" t="s">
        <v>86</v>
      </c>
      <c r="B57" s="98" t="s">
        <v>109</v>
      </c>
      <c r="C57" s="98" t="s">
        <v>85</v>
      </c>
      <c r="D57" s="83"/>
      <c r="E57" s="83"/>
      <c r="F57" s="83"/>
      <c r="G57" s="83"/>
      <c r="H57" s="83"/>
      <c r="I57" s="83"/>
      <c r="K57" s="97" t="s">
        <v>86</v>
      </c>
      <c r="L57" s="97" t="s">
        <v>109</v>
      </c>
      <c r="M57" s="97" t="s">
        <v>85</v>
      </c>
      <c r="N57" s="93"/>
      <c r="O57" s="93"/>
      <c r="P57" s="93"/>
      <c r="Q57" s="93"/>
      <c r="R57" s="93"/>
      <c r="S57" s="93"/>
      <c r="U57" s="96" t="s">
        <v>86</v>
      </c>
      <c r="V57" s="96" t="s">
        <v>109</v>
      </c>
      <c r="W57" s="96" t="s">
        <v>85</v>
      </c>
      <c r="X57" s="91"/>
      <c r="Y57" s="91"/>
      <c r="Z57" s="91"/>
      <c r="AA57" s="91"/>
      <c r="AB57" s="91"/>
      <c r="AC57" s="90"/>
    </row>
    <row r="58" spans="1:40" x14ac:dyDescent="0.35">
      <c r="A58" s="86">
        <v>1</v>
      </c>
      <c r="B58" s="83">
        <v>20.445402298850574</v>
      </c>
      <c r="C58" s="83">
        <v>-4.4454022988505741</v>
      </c>
      <c r="D58" s="83"/>
      <c r="E58" s="83"/>
      <c r="F58" s="83"/>
      <c r="G58" s="83"/>
      <c r="H58" s="83"/>
      <c r="I58" s="83"/>
      <c r="K58" s="50">
        <v>1</v>
      </c>
      <c r="L58" s="50">
        <v>18.831428571428567</v>
      </c>
      <c r="M58" s="50">
        <v>-2.8314285714285674</v>
      </c>
      <c r="N58" s="93"/>
      <c r="O58" s="93"/>
      <c r="P58" s="93"/>
      <c r="Q58" s="93"/>
      <c r="R58" s="93"/>
      <c r="S58" s="93"/>
      <c r="U58" s="95">
        <v>1</v>
      </c>
      <c r="V58" s="95">
        <v>35.440261865793779</v>
      </c>
      <c r="W58" s="95">
        <v>-6.4402618657937794</v>
      </c>
      <c r="X58" s="91"/>
      <c r="Y58" s="91"/>
      <c r="Z58" s="91"/>
      <c r="AA58" s="91"/>
      <c r="AB58" s="91"/>
      <c r="AC58" s="90"/>
      <c r="AF58" s="43"/>
      <c r="AG58" s="43"/>
      <c r="AH58" s="43"/>
      <c r="AI58" s="43"/>
      <c r="AJ58" s="43"/>
      <c r="AK58" s="43"/>
      <c r="AL58" s="43"/>
      <c r="AM58" s="43"/>
      <c r="AN58" s="43"/>
    </row>
    <row r="59" spans="1:40" x14ac:dyDescent="0.35">
      <c r="A59" s="86">
        <v>2</v>
      </c>
      <c r="B59" s="83">
        <v>13.630268199233715</v>
      </c>
      <c r="C59" s="83">
        <v>0.36973180076628509</v>
      </c>
      <c r="D59" s="83"/>
      <c r="E59" s="83"/>
      <c r="F59" s="83"/>
      <c r="G59" s="83"/>
      <c r="H59" s="83"/>
      <c r="I59" s="83"/>
      <c r="K59" s="50">
        <v>2</v>
      </c>
      <c r="L59" s="50">
        <v>12.554285714285712</v>
      </c>
      <c r="M59" s="50">
        <v>1.4457142857142884</v>
      </c>
      <c r="N59" s="93"/>
      <c r="O59" s="93"/>
      <c r="P59" s="93"/>
      <c r="Q59" s="93"/>
      <c r="R59" s="93"/>
      <c r="S59" s="93"/>
      <c r="U59" s="95">
        <v>2</v>
      </c>
      <c r="V59" s="95">
        <v>25.103518821603927</v>
      </c>
      <c r="W59" s="95">
        <v>-1.1035188216039273</v>
      </c>
      <c r="X59" s="91"/>
      <c r="Y59" s="91"/>
      <c r="Z59" s="91"/>
      <c r="AA59" s="91"/>
      <c r="AB59" s="91"/>
      <c r="AC59" s="90"/>
    </row>
    <row r="60" spans="1:40" x14ac:dyDescent="0.35">
      <c r="A60" s="86">
        <v>3</v>
      </c>
      <c r="B60" s="83">
        <v>29.986590038314173</v>
      </c>
      <c r="C60" s="83">
        <v>-5.9865900383141728</v>
      </c>
      <c r="D60" s="83"/>
      <c r="E60" s="83"/>
      <c r="F60" s="83"/>
      <c r="G60" s="83"/>
      <c r="H60" s="83"/>
      <c r="I60" s="83"/>
      <c r="K60" s="50">
        <v>3</v>
      </c>
      <c r="L60" s="50">
        <v>27.619428571428564</v>
      </c>
      <c r="M60" s="50">
        <v>-3.6194285714285641</v>
      </c>
      <c r="N60" s="93"/>
      <c r="O60" s="93"/>
      <c r="P60" s="93"/>
      <c r="Q60" s="93"/>
      <c r="R60" s="93"/>
      <c r="S60" s="93"/>
      <c r="U60" s="95">
        <v>3</v>
      </c>
      <c r="V60" s="95">
        <v>29.533551554828147</v>
      </c>
      <c r="W60" s="95">
        <v>1.4664484451718529</v>
      </c>
      <c r="X60" s="91"/>
      <c r="Y60" s="91"/>
      <c r="Z60" s="91"/>
      <c r="AA60" s="91"/>
      <c r="AB60" s="91"/>
      <c r="AC60" s="90"/>
    </row>
    <row r="61" spans="1:40" x14ac:dyDescent="0.35">
      <c r="A61" s="86">
        <v>4</v>
      </c>
      <c r="B61" s="83">
        <v>25.89750957854406</v>
      </c>
      <c r="C61" s="83">
        <v>-2.8975095785440601</v>
      </c>
      <c r="D61" s="83"/>
      <c r="E61" s="83"/>
      <c r="F61" s="83"/>
      <c r="G61" s="83"/>
      <c r="H61" s="83"/>
      <c r="I61" s="83"/>
      <c r="K61" s="50">
        <v>4</v>
      </c>
      <c r="L61" s="50">
        <v>23.853142857142853</v>
      </c>
      <c r="M61" s="50">
        <v>-0.85314285714285276</v>
      </c>
      <c r="N61" s="93"/>
      <c r="O61" s="93"/>
      <c r="P61" s="93"/>
      <c r="Q61" s="93"/>
      <c r="R61" s="93"/>
      <c r="S61" s="93"/>
      <c r="U61" s="95">
        <v>4</v>
      </c>
      <c r="V61" s="95">
        <v>28.056873977086742</v>
      </c>
      <c r="W61" s="95">
        <v>4.9431260229132583</v>
      </c>
      <c r="X61" s="91"/>
      <c r="Y61" s="91"/>
      <c r="Z61" s="91"/>
      <c r="AA61" s="91"/>
      <c r="AB61" s="91"/>
      <c r="AC61" s="90"/>
    </row>
    <row r="62" spans="1:40" x14ac:dyDescent="0.35">
      <c r="A62" s="86">
        <v>5</v>
      </c>
      <c r="B62" s="83">
        <v>24.534482758620687</v>
      </c>
      <c r="C62" s="83">
        <v>1.4655172413793132</v>
      </c>
      <c r="D62" s="83"/>
      <c r="E62" s="83"/>
      <c r="F62" s="83"/>
      <c r="G62" s="83"/>
      <c r="H62" s="83"/>
      <c r="I62" s="83"/>
      <c r="K62" s="50">
        <v>5</v>
      </c>
      <c r="L62" s="50">
        <v>22.597714285714279</v>
      </c>
      <c r="M62" s="50">
        <v>3.4022857142857212</v>
      </c>
      <c r="N62" s="93"/>
      <c r="O62" s="93"/>
      <c r="P62" s="93"/>
      <c r="Q62" s="93"/>
      <c r="R62" s="93"/>
      <c r="S62" s="93"/>
      <c r="U62" s="95">
        <v>5</v>
      </c>
      <c r="V62" s="95">
        <v>33.963584288052367</v>
      </c>
      <c r="W62" s="95">
        <v>3.6415711947633156E-2</v>
      </c>
      <c r="X62" s="91"/>
      <c r="Y62" s="91"/>
      <c r="Z62" s="91"/>
      <c r="AA62" s="91"/>
      <c r="AB62" s="91"/>
      <c r="AC62" s="90"/>
    </row>
    <row r="63" spans="1:40" ht="15" thickBot="1" x14ac:dyDescent="0.4">
      <c r="A63" s="86">
        <v>6</v>
      </c>
      <c r="B63" s="83">
        <v>21.808429118773944</v>
      </c>
      <c r="C63" s="83">
        <v>2.1915708812260561</v>
      </c>
      <c r="D63" s="83"/>
      <c r="E63" s="83"/>
      <c r="F63" s="83"/>
      <c r="G63" s="83"/>
      <c r="H63" s="83"/>
      <c r="I63" s="83"/>
      <c r="K63" s="94">
        <v>6</v>
      </c>
      <c r="L63" s="94">
        <v>20.086857142857138</v>
      </c>
      <c r="M63" s="94">
        <v>3.9131428571428621</v>
      </c>
      <c r="N63" s="93"/>
      <c r="O63" s="93"/>
      <c r="P63" s="93"/>
      <c r="Q63" s="93"/>
      <c r="R63" s="93"/>
      <c r="S63" s="93"/>
      <c r="U63" s="92">
        <v>6</v>
      </c>
      <c r="V63" s="92">
        <v>25.103518821603927</v>
      </c>
      <c r="W63" s="92">
        <v>2.8964811783960727</v>
      </c>
      <c r="X63" s="91"/>
      <c r="Y63" s="91"/>
      <c r="Z63" s="91"/>
      <c r="AA63" s="91"/>
      <c r="AB63" s="91"/>
      <c r="AC63" s="90"/>
    </row>
    <row r="64" spans="1:40" x14ac:dyDescent="0.35">
      <c r="A64" s="86">
        <v>7</v>
      </c>
      <c r="B64" s="83">
        <v>32.712643678160916</v>
      </c>
      <c r="C64" s="83">
        <v>-3.7126436781609158</v>
      </c>
      <c r="D64" s="83"/>
      <c r="E64" s="83"/>
      <c r="F64" s="83"/>
      <c r="G64" s="83"/>
      <c r="H64" s="83"/>
      <c r="I64" s="83"/>
      <c r="AC64" s="89"/>
    </row>
    <row r="65" spans="1:29" x14ac:dyDescent="0.35">
      <c r="A65" s="86">
        <v>8</v>
      </c>
      <c r="B65" s="83">
        <v>23.171455938697314</v>
      </c>
      <c r="C65" s="83">
        <v>0.82854406130268643</v>
      </c>
      <c r="D65" s="83"/>
      <c r="E65" s="83"/>
      <c r="F65" s="83"/>
      <c r="G65" s="83"/>
      <c r="H65" s="83"/>
      <c r="I65" s="83"/>
      <c r="AC65" s="89"/>
    </row>
    <row r="66" spans="1:29" x14ac:dyDescent="0.35">
      <c r="A66" s="86">
        <v>9</v>
      </c>
      <c r="B66" s="83">
        <v>27.26053639846743</v>
      </c>
      <c r="C66" s="83">
        <v>3.7394636015325702</v>
      </c>
      <c r="D66" s="83"/>
      <c r="E66" s="83"/>
      <c r="F66" s="83"/>
      <c r="G66" s="83"/>
      <c r="H66" s="83"/>
      <c r="I66" s="83"/>
      <c r="AC66" s="89"/>
    </row>
    <row r="67" spans="1:29" x14ac:dyDescent="0.35">
      <c r="A67" s="86">
        <v>10</v>
      </c>
      <c r="B67" s="83">
        <v>25.89750957854406</v>
      </c>
      <c r="C67" s="83">
        <v>7.1024904214559399</v>
      </c>
      <c r="D67" s="83"/>
      <c r="E67" s="83"/>
      <c r="F67" s="83"/>
      <c r="G67" s="83"/>
      <c r="H67" s="83"/>
      <c r="I67" s="83"/>
      <c r="K67" s="77" t="s">
        <v>102</v>
      </c>
      <c r="L67" s="77"/>
      <c r="M67" s="77"/>
      <c r="N67" s="77"/>
      <c r="O67" s="77"/>
      <c r="P67" s="77"/>
      <c r="Q67" s="77"/>
      <c r="R67" s="77"/>
      <c r="S67" s="77"/>
      <c r="U67" s="120" t="s">
        <v>102</v>
      </c>
      <c r="V67" s="120"/>
      <c r="W67" s="120"/>
      <c r="X67" s="120"/>
      <c r="Y67" s="120"/>
      <c r="Z67" s="120"/>
      <c r="AA67" s="120"/>
      <c r="AB67" s="120"/>
      <c r="AC67" s="119"/>
    </row>
    <row r="68" spans="1:29" ht="15" thickBot="1" x14ac:dyDescent="0.4">
      <c r="A68" s="86">
        <v>11</v>
      </c>
      <c r="B68" s="83">
        <v>31.349616858237546</v>
      </c>
      <c r="C68" s="83">
        <v>2.6503831417624539</v>
      </c>
      <c r="D68" s="83"/>
      <c r="E68" s="83"/>
      <c r="F68" s="83"/>
      <c r="G68" s="83"/>
      <c r="H68" s="83"/>
      <c r="I68" s="83"/>
      <c r="K68" s="77"/>
      <c r="L68" s="77"/>
      <c r="M68" s="77"/>
      <c r="N68" s="77"/>
      <c r="O68" s="77"/>
      <c r="P68" s="77"/>
      <c r="Q68" s="77"/>
      <c r="R68" s="77"/>
      <c r="S68" s="77"/>
      <c r="U68" s="120"/>
      <c r="V68" s="120"/>
      <c r="W68" s="120"/>
      <c r="X68" s="120"/>
      <c r="Y68" s="120"/>
      <c r="Z68" s="120"/>
      <c r="AA68" s="120"/>
      <c r="AB68" s="120"/>
      <c r="AC68" s="119"/>
    </row>
    <row r="69" spans="1:29" x14ac:dyDescent="0.35">
      <c r="A69" s="86">
        <v>12</v>
      </c>
      <c r="B69" s="83">
        <v>23.171455938697314</v>
      </c>
      <c r="C69" s="83">
        <v>4.8285440613026864</v>
      </c>
      <c r="D69" s="83"/>
      <c r="E69" s="83"/>
      <c r="F69" s="83"/>
      <c r="G69" s="83"/>
      <c r="H69" s="83"/>
      <c r="I69" s="83"/>
      <c r="K69" s="88" t="s">
        <v>101</v>
      </c>
      <c r="L69" s="88"/>
      <c r="M69" s="77"/>
      <c r="N69" s="77"/>
      <c r="O69" s="77"/>
      <c r="P69" s="77"/>
      <c r="Q69" s="77"/>
      <c r="R69" s="77"/>
      <c r="S69" s="77"/>
      <c r="U69" s="129" t="s">
        <v>101</v>
      </c>
      <c r="V69" s="129"/>
      <c r="W69" s="120"/>
      <c r="X69" s="120"/>
      <c r="Y69" s="120"/>
      <c r="Z69" s="120"/>
      <c r="AA69" s="120"/>
      <c r="AB69" s="120"/>
      <c r="AC69" s="119"/>
    </row>
    <row r="70" spans="1:29" x14ac:dyDescent="0.35">
      <c r="A70" s="86">
        <v>13</v>
      </c>
      <c r="B70" s="83">
        <v>17.719348659003828</v>
      </c>
      <c r="C70" s="83">
        <v>-1.7193486590038276</v>
      </c>
      <c r="D70" s="83"/>
      <c r="E70" s="83"/>
      <c r="F70" s="83"/>
      <c r="G70" s="83"/>
      <c r="H70" s="83"/>
      <c r="I70" s="83"/>
      <c r="K70" s="78" t="s">
        <v>100</v>
      </c>
      <c r="L70" s="78">
        <v>0.99491912535321225</v>
      </c>
      <c r="M70" s="77"/>
      <c r="N70" s="77"/>
      <c r="O70" s="77"/>
      <c r="P70" s="77"/>
      <c r="Q70" s="77"/>
      <c r="R70" s="77"/>
      <c r="S70" s="77"/>
      <c r="U70" s="120" t="s">
        <v>100</v>
      </c>
      <c r="V70" s="120">
        <v>0.9948034310650774</v>
      </c>
      <c r="W70" s="120"/>
      <c r="X70" s="120"/>
      <c r="Y70" s="120"/>
      <c r="Z70" s="120"/>
      <c r="AA70" s="120"/>
      <c r="AB70" s="120"/>
      <c r="AC70" s="119"/>
    </row>
    <row r="71" spans="1:29" x14ac:dyDescent="0.35">
      <c r="A71" s="86">
        <v>14</v>
      </c>
      <c r="B71" s="83">
        <v>21.808429118773944</v>
      </c>
      <c r="C71" s="83">
        <v>-2.8084291187739439</v>
      </c>
      <c r="D71" s="83"/>
      <c r="E71" s="83"/>
      <c r="F71" s="83"/>
      <c r="G71" s="83"/>
      <c r="H71" s="83"/>
      <c r="I71" s="83"/>
      <c r="K71" s="78" t="s">
        <v>99</v>
      </c>
      <c r="L71" s="78">
        <v>0.98986406599360077</v>
      </c>
      <c r="M71" s="77"/>
      <c r="N71" s="77"/>
      <c r="O71" s="77"/>
      <c r="P71" s="77"/>
      <c r="Q71" s="77"/>
      <c r="R71" s="77"/>
      <c r="S71" s="77"/>
      <c r="U71" s="120" t="s">
        <v>99</v>
      </c>
      <c r="V71" s="120">
        <v>0.98963386645885021</v>
      </c>
      <c r="W71" s="120"/>
      <c r="X71" s="120"/>
      <c r="Y71" s="120"/>
      <c r="Z71" s="120"/>
      <c r="AA71" s="120"/>
      <c r="AB71" s="120"/>
      <c r="AC71" s="119"/>
    </row>
    <row r="72" spans="1:29" x14ac:dyDescent="0.35">
      <c r="A72" s="86">
        <v>15</v>
      </c>
      <c r="B72" s="83">
        <v>29.986590038314173</v>
      </c>
      <c r="C72" s="83">
        <v>-4.9865900383141728</v>
      </c>
      <c r="D72" s="83"/>
      <c r="E72" s="83"/>
      <c r="F72" s="83"/>
      <c r="G72" s="83"/>
      <c r="H72" s="83"/>
      <c r="I72" s="83"/>
      <c r="K72" s="78" t="s">
        <v>98</v>
      </c>
      <c r="L72" s="78">
        <v>0.78986406599360082</v>
      </c>
      <c r="M72" s="77"/>
      <c r="N72" s="77"/>
      <c r="O72" s="77"/>
      <c r="P72" s="77"/>
      <c r="Q72" s="77"/>
      <c r="R72" s="77"/>
      <c r="S72" s="77"/>
      <c r="U72" s="120" t="s">
        <v>98</v>
      </c>
      <c r="V72" s="120">
        <v>0.78963386645885014</v>
      </c>
      <c r="W72" s="120"/>
      <c r="X72" s="120"/>
      <c r="Y72" s="120"/>
      <c r="Z72" s="120"/>
      <c r="AA72" s="120"/>
      <c r="AB72" s="120"/>
      <c r="AC72" s="119"/>
    </row>
    <row r="73" spans="1:29" x14ac:dyDescent="0.35">
      <c r="A73" s="86">
        <v>16</v>
      </c>
      <c r="B73" s="83">
        <v>25.89750957854406</v>
      </c>
      <c r="C73" s="83">
        <v>-3.8975095785440601</v>
      </c>
      <c r="D73" s="83"/>
      <c r="E73" s="83"/>
      <c r="F73" s="83"/>
      <c r="G73" s="83"/>
      <c r="H73" s="83"/>
      <c r="I73" s="83"/>
      <c r="K73" s="78" t="s">
        <v>93</v>
      </c>
      <c r="L73" s="78">
        <v>2.4570230552868972</v>
      </c>
      <c r="M73" s="77"/>
      <c r="N73" s="77"/>
      <c r="O73" s="77"/>
      <c r="P73" s="77"/>
      <c r="Q73" s="77"/>
      <c r="R73" s="77"/>
      <c r="S73" s="77"/>
      <c r="U73" s="120" t="s">
        <v>93</v>
      </c>
      <c r="V73" s="120">
        <v>3.0918681006227211</v>
      </c>
      <c r="W73" s="120"/>
      <c r="X73" s="120"/>
      <c r="Y73" s="120"/>
      <c r="Z73" s="120"/>
      <c r="AA73" s="120"/>
      <c r="AB73" s="120"/>
      <c r="AC73" s="119"/>
    </row>
    <row r="74" spans="1:29" ht="15" thickBot="1" x14ac:dyDescent="0.4">
      <c r="A74" s="86">
        <v>17</v>
      </c>
      <c r="B74" s="83">
        <v>24.534482758620687</v>
      </c>
      <c r="C74" s="83">
        <v>1.4655172413793132</v>
      </c>
      <c r="D74" s="83"/>
      <c r="E74" s="83"/>
      <c r="F74" s="83"/>
      <c r="G74" s="83"/>
      <c r="H74" s="83"/>
      <c r="I74" s="83"/>
      <c r="K74" s="73" t="s">
        <v>74</v>
      </c>
      <c r="L74" s="73">
        <v>6</v>
      </c>
      <c r="M74" s="77"/>
      <c r="N74" s="77"/>
      <c r="O74" s="77"/>
      <c r="P74" s="77"/>
      <c r="Q74" s="77"/>
      <c r="R74" s="77"/>
      <c r="S74" s="77"/>
      <c r="U74" s="115" t="s">
        <v>74</v>
      </c>
      <c r="V74" s="115">
        <v>6</v>
      </c>
      <c r="W74" s="120"/>
      <c r="X74" s="120"/>
      <c r="Y74" s="120"/>
      <c r="Z74" s="120"/>
      <c r="AA74" s="120"/>
      <c r="AB74" s="120"/>
      <c r="AC74" s="119"/>
    </row>
    <row r="75" spans="1:29" x14ac:dyDescent="0.35">
      <c r="A75" s="86">
        <v>18</v>
      </c>
      <c r="B75" s="83">
        <v>23.171455938697314</v>
      </c>
      <c r="C75" s="83">
        <v>0.82854406130268643</v>
      </c>
      <c r="D75" s="83"/>
      <c r="E75" s="83"/>
      <c r="F75" s="83"/>
      <c r="G75" s="83"/>
      <c r="H75" s="83"/>
      <c r="I75" s="83"/>
      <c r="K75" s="77"/>
      <c r="L75" s="77"/>
      <c r="M75" s="77"/>
      <c r="N75" s="77"/>
      <c r="O75" s="77"/>
      <c r="P75" s="77"/>
      <c r="Q75" s="77"/>
      <c r="R75" s="77"/>
      <c r="S75" s="77"/>
      <c r="U75" s="120"/>
      <c r="V75" s="120"/>
      <c r="W75" s="120"/>
      <c r="X75" s="120"/>
      <c r="Y75" s="120"/>
      <c r="Z75" s="120"/>
      <c r="AA75" s="120"/>
      <c r="AB75" s="120"/>
      <c r="AC75" s="119"/>
    </row>
    <row r="76" spans="1:29" ht="15" thickBot="1" x14ac:dyDescent="0.4">
      <c r="A76" s="86">
        <v>19</v>
      </c>
      <c r="B76" s="83">
        <v>29.986590038314173</v>
      </c>
      <c r="C76" s="83">
        <v>-1.9865900383141728</v>
      </c>
      <c r="D76" s="83"/>
      <c r="E76" s="83"/>
      <c r="F76" s="83"/>
      <c r="G76" s="83"/>
      <c r="H76" s="83"/>
      <c r="I76" s="83"/>
      <c r="K76" s="77" t="s">
        <v>56</v>
      </c>
      <c r="L76" s="77"/>
      <c r="M76" s="77"/>
      <c r="N76" s="77"/>
      <c r="O76" s="77"/>
      <c r="P76" s="77"/>
      <c r="Q76" s="77"/>
      <c r="R76" s="77"/>
      <c r="S76" s="77"/>
      <c r="U76" s="120" t="s">
        <v>56</v>
      </c>
      <c r="V76" s="120"/>
      <c r="W76" s="120"/>
      <c r="X76" s="120"/>
      <c r="Y76" s="120"/>
      <c r="Z76" s="120"/>
      <c r="AA76" s="120"/>
      <c r="AB76" s="120"/>
      <c r="AC76" s="119"/>
    </row>
    <row r="77" spans="1:29" x14ac:dyDescent="0.35">
      <c r="A77" s="86">
        <v>20</v>
      </c>
      <c r="B77" s="83">
        <v>20.445402298850574</v>
      </c>
      <c r="C77" s="83">
        <v>-2.4454022988505741</v>
      </c>
      <c r="D77" s="83"/>
      <c r="E77" s="83"/>
      <c r="F77" s="83"/>
      <c r="G77" s="83"/>
      <c r="H77" s="83"/>
      <c r="I77" s="83"/>
      <c r="K77" s="81"/>
      <c r="L77" s="81" t="s">
        <v>53</v>
      </c>
      <c r="M77" s="81" t="s">
        <v>54</v>
      </c>
      <c r="N77" s="81" t="s">
        <v>52</v>
      </c>
      <c r="O77" s="81" t="s">
        <v>51</v>
      </c>
      <c r="P77" s="81" t="s">
        <v>97</v>
      </c>
      <c r="Q77" s="77"/>
      <c r="R77" s="77"/>
      <c r="S77" s="77"/>
      <c r="U77" s="124"/>
      <c r="V77" s="124" t="s">
        <v>53</v>
      </c>
      <c r="W77" s="124" t="s">
        <v>54</v>
      </c>
      <c r="X77" s="124" t="s">
        <v>52</v>
      </c>
      <c r="Y77" s="124" t="s">
        <v>51</v>
      </c>
      <c r="Z77" s="124" t="s">
        <v>97</v>
      </c>
      <c r="AA77" s="120"/>
      <c r="AB77" s="120"/>
      <c r="AC77" s="119"/>
    </row>
    <row r="78" spans="1:29" x14ac:dyDescent="0.35">
      <c r="A78" s="86">
        <v>21</v>
      </c>
      <c r="B78" s="83">
        <v>27.26053639846743</v>
      </c>
      <c r="C78" s="83">
        <v>2.7394636015325702</v>
      </c>
      <c r="D78" s="83"/>
      <c r="E78" s="83"/>
      <c r="F78" s="83"/>
      <c r="G78" s="83"/>
      <c r="H78" s="83"/>
      <c r="I78" s="83"/>
      <c r="K78" s="78" t="s">
        <v>96</v>
      </c>
      <c r="L78" s="78">
        <v>1</v>
      </c>
      <c r="M78" s="78">
        <v>2947.8151885289431</v>
      </c>
      <c r="N78" s="78">
        <v>2947.8151885289431</v>
      </c>
      <c r="O78" s="78">
        <v>488.29445089552814</v>
      </c>
      <c r="P78" s="78">
        <v>2.4824551785177288E-5</v>
      </c>
      <c r="Q78" s="77"/>
      <c r="R78" s="77"/>
      <c r="S78" s="77"/>
      <c r="U78" s="120" t="s">
        <v>96</v>
      </c>
      <c r="V78" s="120">
        <v>1</v>
      </c>
      <c r="W78" s="120">
        <v>4563.2017582417584</v>
      </c>
      <c r="X78" s="120">
        <v>4563.2017582417584</v>
      </c>
      <c r="Y78" s="120">
        <v>477.33991778629951</v>
      </c>
      <c r="Z78" s="120">
        <v>2.5968955538225391E-5</v>
      </c>
      <c r="AA78" s="120"/>
      <c r="AB78" s="120"/>
      <c r="AC78" s="119"/>
    </row>
    <row r="79" spans="1:29" x14ac:dyDescent="0.35">
      <c r="A79" s="86">
        <v>22</v>
      </c>
      <c r="B79" s="83">
        <v>28.6235632183908</v>
      </c>
      <c r="C79" s="83">
        <v>4.3764367816092005</v>
      </c>
      <c r="D79" s="83"/>
      <c r="E79" s="83"/>
      <c r="F79" s="83"/>
      <c r="G79" s="83"/>
      <c r="H79" s="83"/>
      <c r="I79" s="83"/>
      <c r="K79" s="78" t="s">
        <v>95</v>
      </c>
      <c r="L79" s="78">
        <v>5</v>
      </c>
      <c r="M79" s="78">
        <v>30.18481147105679</v>
      </c>
      <c r="N79" s="78">
        <v>6.0369622942113583</v>
      </c>
      <c r="O79" s="78"/>
      <c r="P79" s="78"/>
      <c r="Q79" s="77"/>
      <c r="R79" s="77"/>
      <c r="S79" s="77"/>
      <c r="U79" s="120" t="s">
        <v>95</v>
      </c>
      <c r="V79" s="120">
        <v>5</v>
      </c>
      <c r="W79" s="120">
        <v>47.798241758241758</v>
      </c>
      <c r="X79" s="120">
        <v>9.5596483516483524</v>
      </c>
      <c r="Y79" s="120"/>
      <c r="Z79" s="120"/>
      <c r="AA79" s="120"/>
      <c r="AB79" s="120"/>
      <c r="AC79" s="119"/>
    </row>
    <row r="80" spans="1:29" ht="15" thickBot="1" x14ac:dyDescent="0.4">
      <c r="A80" s="86">
        <v>23</v>
      </c>
      <c r="B80" s="83">
        <v>31.349616858237546</v>
      </c>
      <c r="C80" s="83">
        <v>3.6503831417624539</v>
      </c>
      <c r="D80" s="83"/>
      <c r="E80" s="83"/>
      <c r="F80" s="83"/>
      <c r="G80" s="83"/>
      <c r="H80" s="83"/>
      <c r="I80" s="83"/>
      <c r="K80" s="73" t="s">
        <v>46</v>
      </c>
      <c r="L80" s="73">
        <v>6</v>
      </c>
      <c r="M80" s="73">
        <v>2978</v>
      </c>
      <c r="N80" s="73"/>
      <c r="O80" s="73"/>
      <c r="P80" s="73"/>
      <c r="Q80" s="77"/>
      <c r="R80" s="77"/>
      <c r="S80" s="77"/>
      <c r="U80" s="115" t="s">
        <v>46</v>
      </c>
      <c r="V80" s="115">
        <v>6</v>
      </c>
      <c r="W80" s="115">
        <v>4611</v>
      </c>
      <c r="X80" s="115"/>
      <c r="Y80" s="115"/>
      <c r="Z80" s="115"/>
      <c r="AA80" s="120"/>
      <c r="AB80" s="120"/>
      <c r="AC80" s="119"/>
    </row>
    <row r="81" spans="1:29" ht="15" thickBot="1" x14ac:dyDescent="0.4">
      <c r="A81" s="86">
        <v>24</v>
      </c>
      <c r="B81" s="83">
        <v>19.082375478927201</v>
      </c>
      <c r="C81" s="83">
        <v>-2.0823754789272009</v>
      </c>
      <c r="D81" s="83"/>
      <c r="E81" s="83"/>
      <c r="F81" s="83"/>
      <c r="G81" s="83"/>
      <c r="H81" s="83"/>
      <c r="I81" s="83"/>
      <c r="K81" s="77"/>
      <c r="L81" s="77"/>
      <c r="M81" s="77"/>
      <c r="N81" s="77"/>
      <c r="O81" s="77"/>
      <c r="P81" s="77"/>
      <c r="Q81" s="77"/>
      <c r="R81" s="77"/>
      <c r="S81" s="77"/>
      <c r="U81" s="120"/>
      <c r="V81" s="120"/>
      <c r="W81" s="120"/>
      <c r="X81" s="120"/>
      <c r="Y81" s="120"/>
      <c r="Z81" s="120"/>
      <c r="AA81" s="120"/>
      <c r="AB81" s="120"/>
      <c r="AC81" s="119"/>
    </row>
    <row r="82" spans="1:29" x14ac:dyDescent="0.35">
      <c r="A82" s="126"/>
      <c r="B82" s="125"/>
      <c r="C82" s="125"/>
      <c r="D82" s="125"/>
      <c r="E82" s="125"/>
      <c r="F82" s="125"/>
      <c r="G82" s="125"/>
      <c r="H82" s="125"/>
      <c r="I82" s="125"/>
      <c r="K82" s="81"/>
      <c r="L82" s="81" t="s">
        <v>94</v>
      </c>
      <c r="M82" s="81" t="s">
        <v>93</v>
      </c>
      <c r="N82" s="81" t="s">
        <v>84</v>
      </c>
      <c r="O82" s="81" t="s">
        <v>50</v>
      </c>
      <c r="P82" s="81" t="s">
        <v>92</v>
      </c>
      <c r="Q82" s="81" t="s">
        <v>91</v>
      </c>
      <c r="R82" s="81" t="s">
        <v>90</v>
      </c>
      <c r="S82" s="81" t="s">
        <v>89</v>
      </c>
      <c r="U82" s="124"/>
      <c r="V82" s="124" t="s">
        <v>94</v>
      </c>
      <c r="W82" s="124" t="s">
        <v>93</v>
      </c>
      <c r="X82" s="124" t="s">
        <v>84</v>
      </c>
      <c r="Y82" s="124" t="s">
        <v>50</v>
      </c>
      <c r="Z82" s="124" t="s">
        <v>92</v>
      </c>
      <c r="AA82" s="124" t="s">
        <v>91</v>
      </c>
      <c r="AB82" s="124" t="s">
        <v>90</v>
      </c>
      <c r="AC82" s="128" t="s">
        <v>89</v>
      </c>
    </row>
    <row r="83" spans="1:29" x14ac:dyDescent="0.35">
      <c r="A83" s="123"/>
      <c r="B83" s="122"/>
      <c r="C83" s="122"/>
      <c r="D83" s="122"/>
      <c r="E83" s="122"/>
      <c r="F83" s="122"/>
      <c r="G83" s="122"/>
      <c r="H83" s="122"/>
      <c r="I83" s="122"/>
      <c r="K83" s="78" t="s">
        <v>88</v>
      </c>
      <c r="L83" s="78">
        <v>0</v>
      </c>
      <c r="M83" s="78" t="e">
        <v>#N/A</v>
      </c>
      <c r="N83" s="78" t="e">
        <v>#N/A</v>
      </c>
      <c r="O83" s="78" t="e">
        <v>#N/A</v>
      </c>
      <c r="P83" s="78" t="e">
        <v>#N/A</v>
      </c>
      <c r="Q83" s="78" t="e">
        <v>#N/A</v>
      </c>
      <c r="R83" s="78" t="e">
        <v>#N/A</v>
      </c>
      <c r="S83" s="78" t="e">
        <v>#N/A</v>
      </c>
      <c r="U83" s="120" t="s">
        <v>88</v>
      </c>
      <c r="V83" s="120">
        <v>0</v>
      </c>
      <c r="W83" s="120" t="e">
        <v>#N/A</v>
      </c>
      <c r="X83" s="120" t="e">
        <v>#N/A</v>
      </c>
      <c r="Y83" s="120" t="e">
        <v>#N/A</v>
      </c>
      <c r="Z83" s="120" t="e">
        <v>#N/A</v>
      </c>
      <c r="AA83" s="120" t="e">
        <v>#N/A</v>
      </c>
      <c r="AB83" s="120" t="e">
        <v>#N/A</v>
      </c>
      <c r="AC83" s="119" t="e">
        <v>#N/A</v>
      </c>
    </row>
    <row r="84" spans="1:29" ht="15" thickBot="1" x14ac:dyDescent="0.4">
      <c r="A84" s="123"/>
      <c r="B84" s="122"/>
      <c r="C84" s="122"/>
      <c r="D84" s="122"/>
      <c r="E84" s="122"/>
      <c r="F84" s="122"/>
      <c r="G84" s="122"/>
      <c r="H84" s="122"/>
      <c r="I84" s="122"/>
      <c r="K84" s="73" t="s">
        <v>132</v>
      </c>
      <c r="L84" s="73">
        <v>1.2511949017525228</v>
      </c>
      <c r="M84" s="73">
        <v>5.6621852182373811E-2</v>
      </c>
      <c r="N84" s="73">
        <v>22.097385612228621</v>
      </c>
      <c r="O84" s="73">
        <v>3.5246574032937075E-6</v>
      </c>
      <c r="P84" s="73">
        <v>1.1056437970324282</v>
      </c>
      <c r="Q84" s="73">
        <v>1.3967460064726174</v>
      </c>
      <c r="R84" s="73">
        <v>1.1056437970324282</v>
      </c>
      <c r="S84" s="73">
        <v>1.3967460064726174</v>
      </c>
      <c r="U84" s="115" t="s">
        <v>132</v>
      </c>
      <c r="V84" s="115">
        <v>1.4162637362637365</v>
      </c>
      <c r="W84" s="115">
        <v>6.4823168940539938E-2</v>
      </c>
      <c r="X84" s="115">
        <v>21.848110165098941</v>
      </c>
      <c r="Y84" s="115">
        <v>3.72851141183217E-6</v>
      </c>
      <c r="Z84" s="115">
        <v>1.2496304756568004</v>
      </c>
      <c r="AA84" s="115">
        <v>1.5828969968706725</v>
      </c>
      <c r="AB84" s="115">
        <v>1.2496304756568004</v>
      </c>
      <c r="AC84" s="114">
        <v>1.5828969968706725</v>
      </c>
    </row>
    <row r="85" spans="1:29" x14ac:dyDescent="0.35">
      <c r="A85" s="127"/>
      <c r="B85" s="121"/>
      <c r="C85" s="121"/>
      <c r="D85" s="121"/>
      <c r="E85" s="121"/>
      <c r="F85" s="121"/>
      <c r="G85" s="121"/>
      <c r="H85" s="121"/>
      <c r="I85" s="121"/>
      <c r="K85" s="77"/>
      <c r="L85" s="77"/>
      <c r="M85" s="77"/>
      <c r="N85" s="77"/>
      <c r="O85" s="77"/>
      <c r="P85" s="77"/>
      <c r="Q85" s="77"/>
      <c r="R85" s="77"/>
      <c r="S85" s="77"/>
      <c r="U85" s="120"/>
      <c r="V85" s="120"/>
      <c r="W85" s="120"/>
      <c r="X85" s="120"/>
      <c r="Y85" s="120"/>
      <c r="Z85" s="120"/>
      <c r="AA85" s="120"/>
      <c r="AB85" s="120"/>
      <c r="AC85" s="119"/>
    </row>
    <row r="86" spans="1:29" x14ac:dyDescent="0.35">
      <c r="A86" s="127"/>
      <c r="B86" s="121"/>
      <c r="C86" s="121"/>
      <c r="D86" s="121"/>
      <c r="E86" s="121"/>
      <c r="F86" s="121"/>
      <c r="G86" s="121"/>
      <c r="H86" s="121"/>
      <c r="I86" s="121"/>
      <c r="K86" s="77"/>
      <c r="L86" s="77"/>
      <c r="M86" s="77"/>
      <c r="N86" s="77"/>
      <c r="O86" s="77"/>
      <c r="P86" s="77"/>
      <c r="Q86" s="77"/>
      <c r="R86" s="77"/>
      <c r="S86" s="77"/>
      <c r="U86" s="120"/>
      <c r="V86" s="120"/>
      <c r="W86" s="120"/>
      <c r="X86" s="120"/>
      <c r="Y86" s="120"/>
      <c r="Z86" s="120"/>
      <c r="AA86" s="120"/>
      <c r="AB86" s="120"/>
      <c r="AC86" s="119"/>
    </row>
    <row r="87" spans="1:29" x14ac:dyDescent="0.35">
      <c r="A87" s="127"/>
      <c r="B87" s="121"/>
      <c r="C87" s="121"/>
      <c r="D87" s="121"/>
      <c r="E87" s="121"/>
      <c r="F87" s="121"/>
      <c r="G87" s="121"/>
      <c r="H87" s="121"/>
      <c r="I87" s="121"/>
      <c r="K87" s="77"/>
      <c r="L87" s="77"/>
      <c r="M87" s="77"/>
      <c r="N87" s="77"/>
      <c r="O87" s="77"/>
      <c r="P87" s="77"/>
      <c r="Q87" s="77"/>
      <c r="R87" s="77"/>
      <c r="S87" s="77"/>
      <c r="U87" s="120"/>
      <c r="V87" s="120"/>
      <c r="W87" s="120"/>
      <c r="X87" s="120"/>
      <c r="Y87" s="120"/>
      <c r="Z87" s="120"/>
      <c r="AA87" s="120"/>
      <c r="AB87" s="120"/>
      <c r="AC87" s="119"/>
    </row>
    <row r="88" spans="1:29" x14ac:dyDescent="0.35">
      <c r="A88" s="127"/>
      <c r="B88" s="121"/>
      <c r="C88" s="121"/>
      <c r="D88" s="121"/>
      <c r="E88" s="121"/>
      <c r="F88" s="121"/>
      <c r="G88" s="121"/>
      <c r="H88" s="121"/>
      <c r="I88" s="121"/>
      <c r="K88" s="77" t="s">
        <v>87</v>
      </c>
      <c r="L88" s="77"/>
      <c r="M88" s="77"/>
      <c r="N88" s="77"/>
      <c r="O88" s="77"/>
      <c r="P88" s="77"/>
      <c r="Q88" s="77"/>
      <c r="R88" s="77"/>
      <c r="S88" s="77"/>
      <c r="U88" s="120" t="s">
        <v>87</v>
      </c>
      <c r="V88" s="120"/>
      <c r="W88" s="120"/>
      <c r="X88" s="120"/>
      <c r="Y88" s="120"/>
      <c r="Z88" s="120"/>
      <c r="AA88" s="120"/>
      <c r="AB88" s="120"/>
      <c r="AC88" s="119"/>
    </row>
    <row r="89" spans="1:29" ht="15" thickBot="1" x14ac:dyDescent="0.4">
      <c r="A89" s="127"/>
      <c r="B89" s="121"/>
      <c r="C89" s="121"/>
      <c r="D89" s="121"/>
      <c r="E89" s="121"/>
      <c r="F89" s="121"/>
      <c r="G89" s="121"/>
      <c r="H89" s="121"/>
      <c r="I89" s="121"/>
      <c r="K89" s="77"/>
      <c r="L89" s="77"/>
      <c r="M89" s="77"/>
      <c r="N89" s="77"/>
      <c r="O89" s="77"/>
      <c r="P89" s="77"/>
      <c r="Q89" s="77"/>
      <c r="R89" s="77"/>
      <c r="S89" s="77"/>
      <c r="U89" s="120"/>
      <c r="V89" s="120"/>
      <c r="W89" s="120"/>
      <c r="X89" s="120"/>
      <c r="Y89" s="120"/>
      <c r="Z89" s="120"/>
      <c r="AA89" s="120"/>
      <c r="AB89" s="120"/>
      <c r="AC89" s="119"/>
    </row>
    <row r="90" spans="1:29" x14ac:dyDescent="0.35">
      <c r="A90" s="126"/>
      <c r="B90" s="125"/>
      <c r="C90" s="125"/>
      <c r="D90" s="121"/>
      <c r="E90" s="121"/>
      <c r="F90" s="121"/>
      <c r="G90" s="121"/>
      <c r="H90" s="121"/>
      <c r="I90" s="121"/>
      <c r="K90" s="81" t="s">
        <v>86</v>
      </c>
      <c r="L90" s="81" t="s">
        <v>109</v>
      </c>
      <c r="M90" s="81" t="s">
        <v>85</v>
      </c>
      <c r="N90" s="77"/>
      <c r="O90" s="77"/>
      <c r="P90" s="77"/>
      <c r="Q90" s="77"/>
      <c r="R90" s="77"/>
      <c r="S90" s="77"/>
      <c r="U90" s="124" t="s">
        <v>86</v>
      </c>
      <c r="V90" s="124" t="s">
        <v>109</v>
      </c>
      <c r="W90" s="124" t="s">
        <v>85</v>
      </c>
      <c r="X90" s="120"/>
      <c r="Y90" s="120"/>
      <c r="Z90" s="120"/>
      <c r="AA90" s="120"/>
      <c r="AB90" s="120"/>
      <c r="AC90" s="119"/>
    </row>
    <row r="91" spans="1:29" x14ac:dyDescent="0.35">
      <c r="A91" s="123"/>
      <c r="B91" s="122"/>
      <c r="C91" s="122"/>
      <c r="D91" s="121"/>
      <c r="E91" s="121"/>
      <c r="F91" s="121"/>
      <c r="G91" s="121"/>
      <c r="H91" s="121"/>
      <c r="I91" s="121"/>
      <c r="K91" s="78">
        <v>1</v>
      </c>
      <c r="L91" s="78">
        <v>16.265533722782795</v>
      </c>
      <c r="M91" s="78">
        <v>-0.26553372278279497</v>
      </c>
      <c r="N91" s="77"/>
      <c r="O91" s="77"/>
      <c r="P91" s="77"/>
      <c r="Q91" s="77"/>
      <c r="R91" s="77"/>
      <c r="S91" s="77"/>
      <c r="U91" s="120">
        <v>1</v>
      </c>
      <c r="V91" s="120">
        <v>31.157802197802202</v>
      </c>
      <c r="W91" s="120">
        <v>-3.1578021978022015</v>
      </c>
      <c r="X91" s="120"/>
      <c r="Y91" s="120"/>
      <c r="Z91" s="120"/>
      <c r="AA91" s="120"/>
      <c r="AB91" s="120"/>
      <c r="AC91" s="119"/>
    </row>
    <row r="92" spans="1:29" x14ac:dyDescent="0.35">
      <c r="A92" s="123"/>
      <c r="B92" s="122"/>
      <c r="C92" s="122"/>
      <c r="D92" s="121"/>
      <c r="E92" s="121"/>
      <c r="F92" s="121"/>
      <c r="G92" s="121"/>
      <c r="H92" s="121"/>
      <c r="I92" s="121"/>
      <c r="K92" s="78">
        <v>2</v>
      </c>
      <c r="L92" s="78">
        <v>20.019118428040365</v>
      </c>
      <c r="M92" s="78">
        <v>-1.0191184280403647</v>
      </c>
      <c r="N92" s="77"/>
      <c r="O92" s="77"/>
      <c r="P92" s="77"/>
      <c r="Q92" s="77"/>
      <c r="R92" s="77"/>
      <c r="S92" s="77"/>
      <c r="U92" s="120">
        <v>2</v>
      </c>
      <c r="V92" s="120">
        <v>21.243956043956047</v>
      </c>
      <c r="W92" s="120">
        <v>-3.2439560439560466</v>
      </c>
      <c r="X92" s="120"/>
      <c r="Y92" s="120"/>
      <c r="Z92" s="120"/>
      <c r="AA92" s="120"/>
      <c r="AB92" s="120"/>
      <c r="AC92" s="119"/>
    </row>
    <row r="93" spans="1:29" x14ac:dyDescent="0.35">
      <c r="A93" s="123"/>
      <c r="B93" s="122"/>
      <c r="C93" s="122"/>
      <c r="D93" s="121"/>
      <c r="E93" s="121"/>
      <c r="F93" s="121"/>
      <c r="G93" s="121"/>
      <c r="H93" s="121"/>
      <c r="I93" s="121"/>
      <c r="K93" s="78">
        <v>3</v>
      </c>
      <c r="L93" s="78">
        <v>27.526287838555501</v>
      </c>
      <c r="M93" s="78">
        <v>-2.5262878385555005</v>
      </c>
      <c r="N93" s="77"/>
      <c r="O93" s="77"/>
      <c r="P93" s="77"/>
      <c r="Q93" s="77"/>
      <c r="R93" s="77"/>
      <c r="S93" s="77"/>
      <c r="U93" s="120">
        <v>3</v>
      </c>
      <c r="V93" s="120">
        <v>28.325274725274731</v>
      </c>
      <c r="W93" s="120">
        <v>1.6747252747252688</v>
      </c>
      <c r="X93" s="120"/>
      <c r="Y93" s="120"/>
      <c r="Z93" s="120"/>
      <c r="AA93" s="120"/>
      <c r="AB93" s="120"/>
      <c r="AC93" s="119"/>
    </row>
    <row r="94" spans="1:29" x14ac:dyDescent="0.35">
      <c r="A94" s="123"/>
      <c r="B94" s="122"/>
      <c r="C94" s="122"/>
      <c r="D94" s="121"/>
      <c r="E94" s="121"/>
      <c r="F94" s="121"/>
      <c r="G94" s="121"/>
      <c r="H94" s="121"/>
      <c r="I94" s="121"/>
      <c r="K94" s="78">
        <v>4</v>
      </c>
      <c r="L94" s="78">
        <v>23.772703133297934</v>
      </c>
      <c r="M94" s="78">
        <v>-1.7727031332979344</v>
      </c>
      <c r="N94" s="77"/>
      <c r="O94" s="77"/>
      <c r="P94" s="77"/>
      <c r="Q94" s="77"/>
      <c r="R94" s="77"/>
      <c r="S94" s="77"/>
      <c r="U94" s="120">
        <v>4</v>
      </c>
      <c r="V94" s="120">
        <v>29.741538461538465</v>
      </c>
      <c r="W94" s="120">
        <v>3.2584615384615354</v>
      </c>
      <c r="X94" s="120"/>
      <c r="Y94" s="120"/>
      <c r="Z94" s="120"/>
      <c r="AA94" s="120"/>
      <c r="AB94" s="120"/>
      <c r="AC94" s="119"/>
    </row>
    <row r="95" spans="1:29" x14ac:dyDescent="0.35">
      <c r="A95" s="123"/>
      <c r="B95" s="122"/>
      <c r="C95" s="122"/>
      <c r="D95" s="121"/>
      <c r="E95" s="121"/>
      <c r="F95" s="121"/>
      <c r="G95" s="121"/>
      <c r="H95" s="121"/>
      <c r="I95" s="121"/>
      <c r="K95" s="78">
        <v>5</v>
      </c>
      <c r="L95" s="78">
        <v>22.521508231545411</v>
      </c>
      <c r="M95" s="78">
        <v>3.4784917684545889</v>
      </c>
      <c r="N95" s="77"/>
      <c r="O95" s="77"/>
      <c r="P95" s="77"/>
      <c r="Q95" s="77"/>
      <c r="R95" s="77"/>
      <c r="S95" s="77"/>
      <c r="U95" s="120">
        <v>5</v>
      </c>
      <c r="V95" s="120">
        <v>32.574065934065942</v>
      </c>
      <c r="W95" s="120">
        <v>2.425934065934058</v>
      </c>
      <c r="X95" s="120"/>
      <c r="Y95" s="120"/>
      <c r="Z95" s="120"/>
      <c r="AA95" s="120"/>
      <c r="AB95" s="120"/>
      <c r="AC95" s="119"/>
    </row>
    <row r="96" spans="1:29" ht="15" thickBot="1" x14ac:dyDescent="0.4">
      <c r="A96" s="118"/>
      <c r="B96" s="117"/>
      <c r="C96" s="117"/>
      <c r="D96" s="116"/>
      <c r="E96" s="116"/>
      <c r="F96" s="116"/>
      <c r="G96" s="116"/>
      <c r="H96" s="116"/>
      <c r="I96" s="116"/>
      <c r="J96" s="71"/>
      <c r="K96" s="73">
        <v>6</v>
      </c>
      <c r="L96" s="73">
        <v>21.270313329792888</v>
      </c>
      <c r="M96" s="73">
        <v>2.7296866702071121</v>
      </c>
      <c r="N96" s="72"/>
      <c r="O96" s="72"/>
      <c r="P96" s="72"/>
      <c r="Q96" s="72"/>
      <c r="R96" s="72"/>
      <c r="S96" s="72"/>
      <c r="T96" s="71"/>
      <c r="U96" s="115">
        <v>6</v>
      </c>
      <c r="V96" s="115">
        <v>19.82769230769231</v>
      </c>
      <c r="W96" s="115">
        <v>-2.8276923076923097</v>
      </c>
      <c r="X96" s="115"/>
      <c r="Y96" s="115"/>
      <c r="Z96" s="115"/>
      <c r="AA96" s="115"/>
      <c r="AB96" s="115"/>
      <c r="AC96" s="114"/>
    </row>
    <row r="97" spans="1:29" x14ac:dyDescent="0.35">
      <c r="A97" s="113"/>
      <c r="B97" s="113"/>
      <c r="C97" s="113"/>
      <c r="D97" s="113"/>
      <c r="E97" s="113"/>
      <c r="F97" s="113"/>
      <c r="G97" s="113"/>
      <c r="H97" s="113"/>
      <c r="I97" s="113"/>
    </row>
    <row r="98" spans="1:29" x14ac:dyDescent="0.35">
      <c r="A98" s="113"/>
      <c r="B98" s="113"/>
      <c r="C98" s="113"/>
      <c r="D98" s="113"/>
      <c r="E98" s="113"/>
      <c r="F98" s="113"/>
      <c r="G98" s="113"/>
      <c r="H98" s="113"/>
      <c r="I98" s="113"/>
    </row>
    <row r="99" spans="1:29" x14ac:dyDescent="0.35">
      <c r="A99" s="113"/>
      <c r="B99" s="113"/>
      <c r="C99" s="113"/>
      <c r="D99" s="113"/>
      <c r="E99" s="113"/>
      <c r="F99" s="113"/>
      <c r="G99" s="113"/>
      <c r="H99" s="113"/>
      <c r="I99" s="113"/>
    </row>
    <row r="100" spans="1:29" ht="15" thickBot="1" x14ac:dyDescent="0.4">
      <c r="A100" s="113"/>
      <c r="B100" s="113"/>
      <c r="C100" s="113"/>
      <c r="D100" s="113"/>
      <c r="E100" s="113"/>
      <c r="F100" s="113"/>
      <c r="G100" s="113"/>
      <c r="H100" s="113"/>
      <c r="I100" s="113"/>
    </row>
    <row r="101" spans="1:29" x14ac:dyDescent="0.35">
      <c r="A101" s="112" t="s">
        <v>102</v>
      </c>
      <c r="B101" s="111"/>
      <c r="C101" s="111"/>
      <c r="D101" s="111"/>
      <c r="E101" s="111"/>
      <c r="F101" s="111"/>
      <c r="G101" s="111"/>
      <c r="H101" s="111"/>
      <c r="I101" s="111"/>
      <c r="J101" s="109"/>
      <c r="K101" s="110" t="s">
        <v>102</v>
      </c>
      <c r="L101" s="110"/>
      <c r="M101" s="110"/>
      <c r="N101" s="110"/>
      <c r="O101" s="110"/>
      <c r="P101" s="110"/>
      <c r="Q101" s="110"/>
      <c r="R101" s="110"/>
      <c r="S101" s="110"/>
      <c r="T101" s="109"/>
      <c r="U101" s="108" t="s">
        <v>102</v>
      </c>
      <c r="V101" s="108"/>
      <c r="W101" s="108"/>
      <c r="X101" s="108"/>
      <c r="Y101" s="108"/>
      <c r="Z101" s="108"/>
      <c r="AA101" s="108"/>
      <c r="AB101" s="108"/>
      <c r="AC101" s="107"/>
    </row>
    <row r="102" spans="1:29" ht="15" thickBot="1" x14ac:dyDescent="0.4">
      <c r="A102" s="86"/>
      <c r="B102" s="83"/>
      <c r="C102" s="83"/>
      <c r="D102" s="83"/>
      <c r="E102" s="83"/>
      <c r="F102" s="83"/>
      <c r="G102" s="83"/>
      <c r="H102" s="83"/>
      <c r="I102" s="83"/>
      <c r="K102" s="93"/>
      <c r="L102" s="93"/>
      <c r="M102" s="93"/>
      <c r="N102" s="93"/>
      <c r="O102" s="93"/>
      <c r="P102" s="93"/>
      <c r="Q102" s="93"/>
      <c r="R102" s="93"/>
      <c r="S102" s="93"/>
      <c r="U102" s="91"/>
      <c r="V102" s="91"/>
      <c r="W102" s="91"/>
      <c r="X102" s="91"/>
      <c r="Y102" s="91"/>
      <c r="Z102" s="91"/>
      <c r="AA102" s="91"/>
      <c r="AB102" s="91"/>
      <c r="AC102" s="90"/>
    </row>
    <row r="103" spans="1:29" x14ac:dyDescent="0.35">
      <c r="A103" s="106" t="s">
        <v>101</v>
      </c>
      <c r="B103" s="105"/>
      <c r="C103" s="83"/>
      <c r="D103" s="83"/>
      <c r="E103" s="83"/>
      <c r="F103" s="83"/>
      <c r="G103" s="83"/>
      <c r="H103" s="83"/>
      <c r="I103" s="83"/>
      <c r="K103" s="104" t="s">
        <v>101</v>
      </c>
      <c r="L103" s="104"/>
      <c r="M103" s="93"/>
      <c r="N103" s="93"/>
      <c r="O103" s="93"/>
      <c r="P103" s="93"/>
      <c r="Q103" s="93"/>
      <c r="R103" s="93"/>
      <c r="S103" s="93"/>
      <c r="U103" s="103" t="s">
        <v>101</v>
      </c>
      <c r="V103" s="103"/>
      <c r="W103" s="91"/>
      <c r="X103" s="91"/>
      <c r="Y103" s="91"/>
      <c r="Z103" s="91"/>
      <c r="AA103" s="91"/>
      <c r="AB103" s="91"/>
      <c r="AC103" s="90"/>
    </row>
    <row r="104" spans="1:29" x14ac:dyDescent="0.35">
      <c r="A104" s="86" t="s">
        <v>100</v>
      </c>
      <c r="B104" s="83">
        <v>0.81458664478934284</v>
      </c>
      <c r="C104" s="83"/>
      <c r="D104" s="83"/>
      <c r="E104" s="83"/>
      <c r="F104" s="83"/>
      <c r="G104" s="83"/>
      <c r="H104" s="83"/>
      <c r="I104" s="83"/>
      <c r="K104" s="50" t="s">
        <v>100</v>
      </c>
      <c r="L104" s="50">
        <v>0.80055842579005321</v>
      </c>
      <c r="M104" s="93"/>
      <c r="N104" s="93"/>
      <c r="O104" s="93"/>
      <c r="P104" s="93"/>
      <c r="Q104" s="93"/>
      <c r="R104" s="93"/>
      <c r="S104" s="93"/>
      <c r="U104" s="95" t="s">
        <v>100</v>
      </c>
      <c r="V104" s="95">
        <v>0.53477992812532793</v>
      </c>
      <c r="W104" s="91"/>
      <c r="X104" s="91"/>
      <c r="Y104" s="91"/>
      <c r="Z104" s="91"/>
      <c r="AA104" s="91"/>
      <c r="AB104" s="91"/>
      <c r="AC104" s="90"/>
    </row>
    <row r="105" spans="1:29" x14ac:dyDescent="0.35">
      <c r="A105" s="86" t="s">
        <v>99</v>
      </c>
      <c r="B105" s="83">
        <v>0.66355140186915906</v>
      </c>
      <c r="C105" s="83"/>
      <c r="D105" s="83"/>
      <c r="E105" s="83"/>
      <c r="F105" s="83"/>
      <c r="G105" s="83"/>
      <c r="H105" s="83"/>
      <c r="I105" s="83"/>
      <c r="K105" s="50" t="s">
        <v>99</v>
      </c>
      <c r="L105" s="50">
        <v>0.64089379310344818</v>
      </c>
      <c r="M105" s="93"/>
      <c r="N105" s="93"/>
      <c r="O105" s="93"/>
      <c r="P105" s="93"/>
      <c r="Q105" s="93"/>
      <c r="R105" s="93"/>
      <c r="S105" s="93"/>
      <c r="U105" s="95" t="s">
        <v>99</v>
      </c>
      <c r="V105" s="95">
        <v>0.28598957152573096</v>
      </c>
      <c r="W105" s="91"/>
      <c r="X105" s="91"/>
      <c r="Y105" s="91"/>
      <c r="Z105" s="91"/>
      <c r="AA105" s="91"/>
      <c r="AB105" s="91"/>
      <c r="AC105" s="90"/>
    </row>
    <row r="106" spans="1:29" x14ac:dyDescent="0.35">
      <c r="A106" s="86" t="s">
        <v>98</v>
      </c>
      <c r="B106" s="83">
        <v>0.64825828377230266</v>
      </c>
      <c r="C106" s="83"/>
      <c r="D106" s="83"/>
      <c r="E106" s="83"/>
      <c r="F106" s="83"/>
      <c r="G106" s="83"/>
      <c r="H106" s="83"/>
      <c r="I106" s="83"/>
      <c r="K106" s="50" t="s">
        <v>98</v>
      </c>
      <c r="L106" s="50">
        <v>0.55111724137931017</v>
      </c>
      <c r="M106" s="93"/>
      <c r="N106" s="93"/>
      <c r="O106" s="93"/>
      <c r="P106" s="93"/>
      <c r="Q106" s="93"/>
      <c r="R106" s="93"/>
      <c r="S106" s="93"/>
      <c r="U106" s="95" t="s">
        <v>98</v>
      </c>
      <c r="V106" s="95">
        <v>0.10748696440716371</v>
      </c>
      <c r="W106" s="91"/>
      <c r="X106" s="91"/>
      <c r="Y106" s="91"/>
      <c r="Z106" s="91"/>
      <c r="AA106" s="91"/>
      <c r="AB106" s="91"/>
      <c r="AC106" s="90"/>
    </row>
    <row r="107" spans="1:29" x14ac:dyDescent="0.35">
      <c r="A107" s="86" t="s">
        <v>93</v>
      </c>
      <c r="B107" s="83">
        <v>3.6159340092925083</v>
      </c>
      <c r="C107" s="83"/>
      <c r="D107" s="83"/>
      <c r="E107" s="83"/>
      <c r="F107" s="83"/>
      <c r="G107" s="83"/>
      <c r="H107" s="83"/>
      <c r="I107" s="83"/>
      <c r="K107" s="50" t="s">
        <v>93</v>
      </c>
      <c r="L107" s="50">
        <v>3.2936302160382245</v>
      </c>
      <c r="M107" s="93"/>
      <c r="N107" s="93"/>
      <c r="O107" s="93"/>
      <c r="P107" s="93"/>
      <c r="Q107" s="93"/>
      <c r="R107" s="93"/>
      <c r="S107" s="93"/>
      <c r="U107" s="95" t="s">
        <v>93</v>
      </c>
      <c r="V107" s="95">
        <v>3.4539722411195264</v>
      </c>
      <c r="W107" s="91"/>
      <c r="X107" s="91"/>
      <c r="Y107" s="91"/>
      <c r="Z107" s="91"/>
      <c r="AA107" s="91"/>
      <c r="AB107" s="91"/>
      <c r="AC107" s="90"/>
    </row>
    <row r="108" spans="1:29" ht="15" thickBot="1" x14ac:dyDescent="0.4">
      <c r="A108" s="85" t="s">
        <v>74</v>
      </c>
      <c r="B108" s="84">
        <v>24</v>
      </c>
      <c r="C108" s="83"/>
      <c r="D108" s="83"/>
      <c r="E108" s="83"/>
      <c r="F108" s="83"/>
      <c r="G108" s="83"/>
      <c r="H108" s="83"/>
      <c r="I108" s="83"/>
      <c r="K108" s="94" t="s">
        <v>74</v>
      </c>
      <c r="L108" s="94">
        <v>6</v>
      </c>
      <c r="M108" s="93"/>
      <c r="N108" s="93"/>
      <c r="O108" s="93"/>
      <c r="P108" s="93"/>
      <c r="Q108" s="93"/>
      <c r="R108" s="93"/>
      <c r="S108" s="93"/>
      <c r="U108" s="92" t="s">
        <v>74</v>
      </c>
      <c r="V108" s="92">
        <v>6</v>
      </c>
      <c r="W108" s="91"/>
      <c r="X108" s="91"/>
      <c r="Y108" s="91"/>
      <c r="Z108" s="91"/>
      <c r="AA108" s="91"/>
      <c r="AB108" s="91"/>
      <c r="AC108" s="90"/>
    </row>
    <row r="109" spans="1:29" x14ac:dyDescent="0.35">
      <c r="A109" s="86"/>
      <c r="B109" s="83"/>
      <c r="C109" s="83"/>
      <c r="D109" s="83"/>
      <c r="E109" s="83"/>
      <c r="F109" s="83"/>
      <c r="G109" s="83"/>
      <c r="H109" s="83"/>
      <c r="I109" s="83"/>
      <c r="K109" s="93"/>
      <c r="L109" s="93"/>
      <c r="M109" s="93"/>
      <c r="N109" s="93"/>
      <c r="O109" s="93"/>
      <c r="P109" s="93"/>
      <c r="Q109" s="93"/>
      <c r="R109" s="93"/>
      <c r="S109" s="93"/>
      <c r="U109" s="91"/>
      <c r="V109" s="91"/>
      <c r="W109" s="91"/>
      <c r="X109" s="91"/>
      <c r="Y109" s="91"/>
      <c r="Z109" s="91"/>
      <c r="AA109" s="91"/>
      <c r="AB109" s="91"/>
      <c r="AC109" s="90"/>
    </row>
    <row r="110" spans="1:29" ht="15" thickBot="1" x14ac:dyDescent="0.4">
      <c r="A110" s="86" t="s">
        <v>56</v>
      </c>
      <c r="B110" s="83"/>
      <c r="C110" s="83"/>
      <c r="D110" s="83"/>
      <c r="E110" s="83"/>
      <c r="F110" s="83"/>
      <c r="G110" s="83"/>
      <c r="H110" s="83"/>
      <c r="I110" s="83"/>
      <c r="K110" s="93" t="s">
        <v>56</v>
      </c>
      <c r="L110" s="93"/>
      <c r="M110" s="93"/>
      <c r="N110" s="93"/>
      <c r="O110" s="93"/>
      <c r="P110" s="93"/>
      <c r="Q110" s="93"/>
      <c r="R110" s="93"/>
      <c r="S110" s="93"/>
      <c r="U110" s="91" t="s">
        <v>56</v>
      </c>
      <c r="V110" s="91"/>
      <c r="W110" s="91"/>
      <c r="X110" s="91"/>
      <c r="Y110" s="91"/>
      <c r="Z110" s="91"/>
      <c r="AA110" s="91"/>
      <c r="AB110" s="91"/>
      <c r="AC110" s="90"/>
    </row>
    <row r="111" spans="1:29" x14ac:dyDescent="0.35">
      <c r="A111" s="99"/>
      <c r="B111" s="98" t="s">
        <v>53</v>
      </c>
      <c r="C111" s="98" t="s">
        <v>54</v>
      </c>
      <c r="D111" s="98" t="s">
        <v>52</v>
      </c>
      <c r="E111" s="98" t="s">
        <v>51</v>
      </c>
      <c r="F111" s="98" t="s">
        <v>97</v>
      </c>
      <c r="G111" s="83"/>
      <c r="H111" s="83"/>
      <c r="I111" s="83"/>
      <c r="K111" s="97"/>
      <c r="L111" s="97" t="s">
        <v>53</v>
      </c>
      <c r="M111" s="97" t="s">
        <v>54</v>
      </c>
      <c r="N111" s="97" t="s">
        <v>52</v>
      </c>
      <c r="O111" s="97" t="s">
        <v>51</v>
      </c>
      <c r="P111" s="97" t="s">
        <v>97</v>
      </c>
      <c r="Q111" s="93"/>
      <c r="R111" s="93"/>
      <c r="S111" s="93"/>
      <c r="U111" s="96"/>
      <c r="V111" s="96" t="s">
        <v>53</v>
      </c>
      <c r="W111" s="96" t="s">
        <v>54</v>
      </c>
      <c r="X111" s="96" t="s">
        <v>52</v>
      </c>
      <c r="Y111" s="96" t="s">
        <v>51</v>
      </c>
      <c r="Z111" s="96" t="s">
        <v>97</v>
      </c>
      <c r="AA111" s="91"/>
      <c r="AB111" s="91"/>
      <c r="AC111" s="90"/>
    </row>
    <row r="112" spans="1:29" x14ac:dyDescent="0.35">
      <c r="A112" s="86" t="s">
        <v>96</v>
      </c>
      <c r="B112" s="83">
        <v>1</v>
      </c>
      <c r="C112" s="83">
        <v>567.30880062305312</v>
      </c>
      <c r="D112" s="83">
        <v>567.30880062305312</v>
      </c>
      <c r="E112" s="83">
        <v>43.388888888888914</v>
      </c>
      <c r="F112" s="83">
        <v>1.2653013350102176E-6</v>
      </c>
      <c r="G112" s="83"/>
      <c r="H112" s="83"/>
      <c r="I112" s="83"/>
      <c r="K112" s="50" t="s">
        <v>96</v>
      </c>
      <c r="L112" s="50">
        <v>1</v>
      </c>
      <c r="M112" s="50">
        <v>77.441333333333318</v>
      </c>
      <c r="N112" s="50">
        <v>77.441333333333318</v>
      </c>
      <c r="O112" s="50">
        <v>7.1387659783677453</v>
      </c>
      <c r="P112" s="50">
        <v>5.5698824367676446E-2</v>
      </c>
      <c r="Q112" s="93"/>
      <c r="R112" s="93"/>
      <c r="S112" s="93"/>
      <c r="U112" s="95" t="s">
        <v>96</v>
      </c>
      <c r="V112" s="95">
        <v>1</v>
      </c>
      <c r="W112" s="95">
        <v>19.113636363636353</v>
      </c>
      <c r="X112" s="95">
        <v>19.113636363636353</v>
      </c>
      <c r="Y112" s="95">
        <v>1.6021590728687083</v>
      </c>
      <c r="Z112" s="95">
        <v>0.27430084906456997</v>
      </c>
      <c r="AA112" s="91"/>
      <c r="AB112" s="91"/>
      <c r="AC112" s="90"/>
    </row>
    <row r="113" spans="1:29" x14ac:dyDescent="0.35">
      <c r="A113" s="86" t="s">
        <v>95</v>
      </c>
      <c r="B113" s="83">
        <v>22</v>
      </c>
      <c r="C113" s="83">
        <v>287.64953271028025</v>
      </c>
      <c r="D113" s="83">
        <v>13.074978759558194</v>
      </c>
      <c r="E113" s="83"/>
      <c r="F113" s="83"/>
      <c r="G113" s="83"/>
      <c r="H113" s="83"/>
      <c r="I113" s="83"/>
      <c r="K113" s="50" t="s">
        <v>95</v>
      </c>
      <c r="L113" s="50">
        <v>4</v>
      </c>
      <c r="M113" s="50">
        <v>43.39200000000001</v>
      </c>
      <c r="N113" s="50">
        <v>10.848000000000003</v>
      </c>
      <c r="O113" s="50"/>
      <c r="P113" s="50"/>
      <c r="Q113" s="93"/>
      <c r="R113" s="93"/>
      <c r="S113" s="93"/>
      <c r="U113" s="95" t="s">
        <v>95</v>
      </c>
      <c r="V113" s="95">
        <v>4</v>
      </c>
      <c r="W113" s="95">
        <v>47.719696969696976</v>
      </c>
      <c r="X113" s="95">
        <v>11.929924242424244</v>
      </c>
      <c r="Y113" s="95"/>
      <c r="Z113" s="95"/>
      <c r="AA113" s="91"/>
      <c r="AB113" s="91"/>
      <c r="AC113" s="90"/>
    </row>
    <row r="114" spans="1:29" ht="15" thickBot="1" x14ac:dyDescent="0.4">
      <c r="A114" s="85" t="s">
        <v>46</v>
      </c>
      <c r="B114" s="84">
        <v>23</v>
      </c>
      <c r="C114" s="84">
        <v>854.95833333333337</v>
      </c>
      <c r="D114" s="84"/>
      <c r="E114" s="84"/>
      <c r="F114" s="84"/>
      <c r="G114" s="83"/>
      <c r="H114" s="83"/>
      <c r="I114" s="83"/>
      <c r="K114" s="94" t="s">
        <v>46</v>
      </c>
      <c r="L114" s="94">
        <v>5</v>
      </c>
      <c r="M114" s="94">
        <v>120.83333333333333</v>
      </c>
      <c r="N114" s="94"/>
      <c r="O114" s="94"/>
      <c r="P114" s="94"/>
      <c r="Q114" s="93"/>
      <c r="R114" s="93"/>
      <c r="S114" s="93"/>
      <c r="U114" s="92" t="s">
        <v>46</v>
      </c>
      <c r="V114" s="92">
        <v>5</v>
      </c>
      <c r="W114" s="92">
        <v>66.833333333333329</v>
      </c>
      <c r="X114" s="92"/>
      <c r="Y114" s="92"/>
      <c r="Z114" s="92"/>
      <c r="AA114" s="91"/>
      <c r="AB114" s="91"/>
      <c r="AC114" s="90"/>
    </row>
    <row r="115" spans="1:29" ht="15" thickBot="1" x14ac:dyDescent="0.4">
      <c r="A115" s="86"/>
      <c r="B115" s="83"/>
      <c r="C115" s="83"/>
      <c r="D115" s="83"/>
      <c r="E115" s="83"/>
      <c r="F115" s="83"/>
      <c r="G115" s="83"/>
      <c r="H115" s="83"/>
      <c r="I115" s="83"/>
      <c r="K115" s="93"/>
      <c r="L115" s="93"/>
      <c r="M115" s="93"/>
      <c r="N115" s="93"/>
      <c r="O115" s="93"/>
      <c r="P115" s="93"/>
      <c r="Q115" s="93"/>
      <c r="R115" s="93"/>
      <c r="S115" s="93"/>
      <c r="U115" s="91"/>
      <c r="V115" s="91"/>
      <c r="W115" s="91"/>
      <c r="X115" s="91"/>
      <c r="Y115" s="91"/>
      <c r="Z115" s="91"/>
      <c r="AA115" s="91"/>
      <c r="AB115" s="91"/>
      <c r="AC115" s="90"/>
    </row>
    <row r="116" spans="1:29" x14ac:dyDescent="0.35">
      <c r="A116" s="99"/>
      <c r="B116" s="98" t="s">
        <v>94</v>
      </c>
      <c r="C116" s="98" t="s">
        <v>93</v>
      </c>
      <c r="D116" s="98" t="s">
        <v>84</v>
      </c>
      <c r="E116" s="98" t="s">
        <v>50</v>
      </c>
      <c r="F116" s="98" t="s">
        <v>92</v>
      </c>
      <c r="G116" s="98" t="s">
        <v>91</v>
      </c>
      <c r="H116" s="98" t="s">
        <v>90</v>
      </c>
      <c r="I116" s="98" t="s">
        <v>89</v>
      </c>
      <c r="K116" s="97"/>
      <c r="L116" s="97" t="s">
        <v>94</v>
      </c>
      <c r="M116" s="97" t="s">
        <v>93</v>
      </c>
      <c r="N116" s="97" t="s">
        <v>84</v>
      </c>
      <c r="O116" s="97" t="s">
        <v>50</v>
      </c>
      <c r="P116" s="97" t="s">
        <v>92</v>
      </c>
      <c r="Q116" s="97" t="s">
        <v>91</v>
      </c>
      <c r="R116" s="97" t="s">
        <v>90</v>
      </c>
      <c r="S116" s="97" t="s">
        <v>89</v>
      </c>
      <c r="U116" s="96"/>
      <c r="V116" s="96" t="s">
        <v>94</v>
      </c>
      <c r="W116" s="96" t="s">
        <v>93</v>
      </c>
      <c r="X116" s="96" t="s">
        <v>84</v>
      </c>
      <c r="Y116" s="96" t="s">
        <v>50</v>
      </c>
      <c r="Z116" s="96" t="s">
        <v>92</v>
      </c>
      <c r="AA116" s="96" t="s">
        <v>91</v>
      </c>
      <c r="AB116" s="96" t="s">
        <v>90</v>
      </c>
      <c r="AC116" s="102" t="s">
        <v>89</v>
      </c>
    </row>
    <row r="117" spans="1:29" x14ac:dyDescent="0.35">
      <c r="A117" s="86" t="s">
        <v>88</v>
      </c>
      <c r="B117" s="83">
        <v>-0.89252336448597447</v>
      </c>
      <c r="C117" s="83">
        <v>3.9933176988732138</v>
      </c>
      <c r="D117" s="83">
        <v>-0.2235042217497035</v>
      </c>
      <c r="E117" s="83">
        <v>0.8252054636555024</v>
      </c>
      <c r="F117" s="83">
        <v>-9.174157391763611</v>
      </c>
      <c r="G117" s="83">
        <v>7.3891106627916621</v>
      </c>
      <c r="H117" s="83">
        <v>-9.174157391763611</v>
      </c>
      <c r="I117" s="83">
        <v>7.3891106627916621</v>
      </c>
      <c r="K117" s="50" t="s">
        <v>88</v>
      </c>
      <c r="L117" s="50">
        <v>5.0999999999999979</v>
      </c>
      <c r="M117" s="50">
        <v>6.1618179135706379</v>
      </c>
      <c r="N117" s="50">
        <v>0.82767781708834365</v>
      </c>
      <c r="O117" s="50">
        <v>0.4543745890359544</v>
      </c>
      <c r="P117" s="50">
        <v>-12.007949185253281</v>
      </c>
      <c r="Q117" s="50">
        <v>22.207949185253277</v>
      </c>
      <c r="R117" s="50">
        <v>-12.007949185253281</v>
      </c>
      <c r="S117" s="50">
        <v>22.207949185253277</v>
      </c>
      <c r="U117" s="95" t="s">
        <v>88</v>
      </c>
      <c r="V117" s="95">
        <v>16.651515151515152</v>
      </c>
      <c r="W117" s="95">
        <v>10.509147322993526</v>
      </c>
      <c r="X117" s="95">
        <v>1.5844782302254352</v>
      </c>
      <c r="Y117" s="95">
        <v>0.18826112759849195</v>
      </c>
      <c r="Z117" s="95">
        <v>-12.526555493212715</v>
      </c>
      <c r="AA117" s="95">
        <v>45.829585796243023</v>
      </c>
      <c r="AB117" s="95">
        <v>-12.526555493212715</v>
      </c>
      <c r="AC117" s="101">
        <v>45.829585796243023</v>
      </c>
    </row>
    <row r="118" spans="1:29" ht="15" thickBot="1" x14ac:dyDescent="0.4">
      <c r="A118" s="85" t="s">
        <v>132</v>
      </c>
      <c r="B118" s="84">
        <v>1.4100467289719623</v>
      </c>
      <c r="C118" s="84">
        <v>0.21406429802757954</v>
      </c>
      <c r="D118" s="84">
        <v>6.5870242817898346</v>
      </c>
      <c r="E118" s="84">
        <v>1.2653013350102244E-6</v>
      </c>
      <c r="F118" s="84">
        <v>0.96610454649278421</v>
      </c>
      <c r="G118" s="84">
        <v>1.8539889114511403</v>
      </c>
      <c r="H118" s="84">
        <v>0.96610454649278421</v>
      </c>
      <c r="I118" s="84">
        <v>1.8539889114511403</v>
      </c>
      <c r="K118" s="94" t="s">
        <v>132</v>
      </c>
      <c r="L118" s="94">
        <v>0.96400000000000019</v>
      </c>
      <c r="M118" s="94">
        <v>0.36079911308094986</v>
      </c>
      <c r="N118" s="94">
        <v>2.6718469227049195</v>
      </c>
      <c r="O118" s="94">
        <v>5.5698824367676418E-2</v>
      </c>
      <c r="P118" s="94">
        <v>-3.7738931473308313E-2</v>
      </c>
      <c r="Q118" s="94">
        <v>1.9657389314733087</v>
      </c>
      <c r="R118" s="94">
        <v>-3.7738931473308313E-2</v>
      </c>
      <c r="S118" s="94">
        <v>1.9657389314733087</v>
      </c>
      <c r="U118" s="92" t="s">
        <v>132</v>
      </c>
      <c r="V118" s="92">
        <v>0.65909090909090895</v>
      </c>
      <c r="W118" s="92">
        <v>0.52070590727710986</v>
      </c>
      <c r="X118" s="92">
        <v>1.2657642248336414</v>
      </c>
      <c r="Y118" s="92">
        <v>0.27430084906457003</v>
      </c>
      <c r="Z118" s="92">
        <v>-0.78662045841619888</v>
      </c>
      <c r="AA118" s="92">
        <v>2.1048022765980168</v>
      </c>
      <c r="AB118" s="92">
        <v>-0.78662045841619888</v>
      </c>
      <c r="AC118" s="100">
        <v>2.1048022765980168</v>
      </c>
    </row>
    <row r="119" spans="1:29" x14ac:dyDescent="0.35">
      <c r="A119" s="86"/>
      <c r="B119" s="83"/>
      <c r="C119" s="83"/>
      <c r="D119" s="83"/>
      <c r="E119" s="83"/>
      <c r="F119" s="83"/>
      <c r="G119" s="83"/>
      <c r="H119" s="83"/>
      <c r="I119" s="83"/>
      <c r="K119" s="93"/>
      <c r="L119" s="93"/>
      <c r="M119" s="93"/>
      <c r="N119" s="93"/>
      <c r="O119" s="93"/>
      <c r="P119" s="93"/>
      <c r="Q119" s="93"/>
      <c r="R119" s="93"/>
      <c r="S119" s="93"/>
      <c r="U119" s="91"/>
      <c r="V119" s="91"/>
      <c r="W119" s="91"/>
      <c r="X119" s="91"/>
      <c r="Y119" s="91"/>
      <c r="Z119" s="91"/>
      <c r="AA119" s="91"/>
      <c r="AB119" s="91"/>
      <c r="AC119" s="90"/>
    </row>
    <row r="120" spans="1:29" x14ac:dyDescent="0.35">
      <c r="A120" s="86"/>
      <c r="B120" s="83"/>
      <c r="C120" s="83"/>
      <c r="D120" s="83"/>
      <c r="E120" s="83"/>
      <c r="F120" s="83"/>
      <c r="G120" s="83"/>
      <c r="H120" s="83"/>
      <c r="I120" s="83"/>
      <c r="K120" s="93"/>
      <c r="L120" s="93"/>
      <c r="M120" s="93"/>
      <c r="N120" s="93"/>
      <c r="O120" s="93"/>
      <c r="P120" s="93"/>
      <c r="Q120" s="93"/>
      <c r="R120" s="93"/>
      <c r="S120" s="93"/>
      <c r="U120" s="91"/>
      <c r="V120" s="91"/>
      <c r="W120" s="91"/>
      <c r="X120" s="91"/>
      <c r="Y120" s="91"/>
      <c r="Z120" s="91"/>
      <c r="AA120" s="91"/>
      <c r="AB120" s="91"/>
      <c r="AC120" s="90"/>
    </row>
    <row r="121" spans="1:29" x14ac:dyDescent="0.35">
      <c r="A121" s="86"/>
      <c r="B121" s="83"/>
      <c r="C121" s="83"/>
      <c r="D121" s="83"/>
      <c r="E121" s="83"/>
      <c r="F121" s="83"/>
      <c r="G121" s="83"/>
      <c r="H121" s="83"/>
      <c r="I121" s="83"/>
      <c r="K121" s="93"/>
      <c r="L121" s="93"/>
      <c r="M121" s="93"/>
      <c r="N121" s="93"/>
      <c r="O121" s="93"/>
      <c r="P121" s="93"/>
      <c r="Q121" s="93"/>
      <c r="R121" s="93"/>
      <c r="S121" s="93"/>
      <c r="U121" s="91"/>
      <c r="V121" s="91"/>
      <c r="W121" s="91"/>
      <c r="X121" s="91"/>
      <c r="Y121" s="91"/>
      <c r="Z121" s="91"/>
      <c r="AA121" s="91"/>
      <c r="AB121" s="91"/>
      <c r="AC121" s="90"/>
    </row>
    <row r="122" spans="1:29" x14ac:dyDescent="0.35">
      <c r="A122" s="86" t="s">
        <v>87</v>
      </c>
      <c r="B122" s="83"/>
      <c r="C122" s="83"/>
      <c r="D122" s="83"/>
      <c r="E122" s="83"/>
      <c r="F122" s="83"/>
      <c r="G122" s="83"/>
      <c r="H122" s="83"/>
      <c r="I122" s="83"/>
      <c r="K122" s="93" t="s">
        <v>87</v>
      </c>
      <c r="L122" s="93"/>
      <c r="M122" s="93"/>
      <c r="N122" s="93"/>
      <c r="O122" s="93"/>
      <c r="P122" s="93"/>
      <c r="Q122" s="93"/>
      <c r="R122" s="93"/>
      <c r="S122" s="93"/>
      <c r="U122" s="91" t="s">
        <v>87</v>
      </c>
      <c r="V122" s="91"/>
      <c r="W122" s="91"/>
      <c r="X122" s="91"/>
      <c r="Y122" s="91"/>
      <c r="Z122" s="91"/>
      <c r="AA122" s="91"/>
      <c r="AB122" s="91"/>
      <c r="AC122" s="90"/>
    </row>
    <row r="123" spans="1:29" ht="15" thickBot="1" x14ac:dyDescent="0.4">
      <c r="A123" s="86"/>
      <c r="B123" s="83"/>
      <c r="C123" s="83"/>
      <c r="D123" s="83"/>
      <c r="E123" s="83"/>
      <c r="F123" s="83"/>
      <c r="G123" s="83"/>
      <c r="H123" s="83"/>
      <c r="I123" s="83"/>
      <c r="K123" s="93"/>
      <c r="L123" s="93"/>
      <c r="M123" s="93"/>
      <c r="N123" s="93"/>
      <c r="O123" s="93"/>
      <c r="P123" s="93"/>
      <c r="Q123" s="93"/>
      <c r="R123" s="93"/>
      <c r="S123" s="93"/>
      <c r="U123" s="91"/>
      <c r="V123" s="91"/>
      <c r="W123" s="91"/>
      <c r="X123" s="91"/>
      <c r="Y123" s="91"/>
      <c r="Z123" s="91"/>
      <c r="AA123" s="91"/>
      <c r="AB123" s="91"/>
      <c r="AC123" s="90"/>
    </row>
    <row r="124" spans="1:29" x14ac:dyDescent="0.35">
      <c r="A124" s="99" t="s">
        <v>86</v>
      </c>
      <c r="B124" s="98" t="s">
        <v>109</v>
      </c>
      <c r="C124" s="98" t="s">
        <v>85</v>
      </c>
      <c r="D124" s="83"/>
      <c r="E124" s="83"/>
      <c r="F124" s="83"/>
      <c r="G124" s="83"/>
      <c r="H124" s="83"/>
      <c r="I124" s="83"/>
      <c r="K124" s="97" t="s">
        <v>86</v>
      </c>
      <c r="L124" s="97" t="s">
        <v>109</v>
      </c>
      <c r="M124" s="97" t="s">
        <v>85</v>
      </c>
      <c r="N124" s="93"/>
      <c r="O124" s="93"/>
      <c r="P124" s="93"/>
      <c r="Q124" s="93"/>
      <c r="R124" s="93"/>
      <c r="S124" s="93"/>
      <c r="U124" s="96" t="s">
        <v>86</v>
      </c>
      <c r="V124" s="96" t="s">
        <v>109</v>
      </c>
      <c r="W124" s="96" t="s">
        <v>85</v>
      </c>
      <c r="X124" s="91"/>
      <c r="Y124" s="91"/>
      <c r="Z124" s="91"/>
      <c r="AA124" s="91"/>
      <c r="AB124" s="91"/>
      <c r="AC124" s="90"/>
    </row>
    <row r="125" spans="1:29" x14ac:dyDescent="0.35">
      <c r="A125" s="86">
        <v>1</v>
      </c>
      <c r="B125" s="83">
        <v>20.258177570093459</v>
      </c>
      <c r="C125" s="83">
        <v>-4.2581775700934585</v>
      </c>
      <c r="D125" s="83"/>
      <c r="E125" s="83"/>
      <c r="F125" s="83"/>
      <c r="G125" s="83"/>
      <c r="H125" s="83"/>
      <c r="I125" s="83"/>
      <c r="K125" s="50">
        <v>1</v>
      </c>
      <c r="L125" s="50">
        <v>19.560000000000002</v>
      </c>
      <c r="M125" s="50">
        <v>-3.5600000000000023</v>
      </c>
      <c r="N125" s="93"/>
      <c r="O125" s="93"/>
      <c r="P125" s="93"/>
      <c r="Q125" s="93"/>
      <c r="R125" s="93"/>
      <c r="S125" s="93"/>
      <c r="U125" s="95">
        <v>1</v>
      </c>
      <c r="V125" s="95">
        <v>32.469696969696969</v>
      </c>
      <c r="W125" s="95">
        <v>-3.4696969696969688</v>
      </c>
      <c r="X125" s="91"/>
      <c r="Y125" s="91"/>
      <c r="Z125" s="91"/>
      <c r="AA125" s="91"/>
      <c r="AB125" s="91"/>
      <c r="AC125" s="90"/>
    </row>
    <row r="126" spans="1:29" x14ac:dyDescent="0.35">
      <c r="A126" s="86">
        <v>2</v>
      </c>
      <c r="B126" s="83">
        <v>13.207943925233648</v>
      </c>
      <c r="C126" s="83">
        <v>0.79205607476635187</v>
      </c>
      <c r="D126" s="83"/>
      <c r="E126" s="83"/>
      <c r="F126" s="83"/>
      <c r="G126" s="83"/>
      <c r="H126" s="83"/>
      <c r="I126" s="83"/>
      <c r="K126" s="50">
        <v>2</v>
      </c>
      <c r="L126" s="50">
        <v>14.74</v>
      </c>
      <c r="M126" s="50">
        <v>-0.74000000000000021</v>
      </c>
      <c r="N126" s="93"/>
      <c r="O126" s="93"/>
      <c r="P126" s="93"/>
      <c r="Q126" s="93"/>
      <c r="R126" s="93"/>
      <c r="S126" s="93"/>
      <c r="U126" s="95">
        <v>2</v>
      </c>
      <c r="V126" s="95">
        <v>27.856060606060602</v>
      </c>
      <c r="W126" s="95">
        <v>-3.856060606060602</v>
      </c>
      <c r="X126" s="91"/>
      <c r="Y126" s="91"/>
      <c r="Z126" s="91"/>
      <c r="AA126" s="91"/>
      <c r="AB126" s="91"/>
      <c r="AC126" s="90"/>
    </row>
    <row r="127" spans="1:29" x14ac:dyDescent="0.35">
      <c r="A127" s="86">
        <v>3</v>
      </c>
      <c r="B127" s="83">
        <v>30.128504672897193</v>
      </c>
      <c r="C127" s="83">
        <v>-6.1285046728971935</v>
      </c>
      <c r="D127" s="83"/>
      <c r="E127" s="83"/>
      <c r="F127" s="83"/>
      <c r="G127" s="83"/>
      <c r="H127" s="83"/>
      <c r="I127" s="83"/>
      <c r="K127" s="50">
        <v>3</v>
      </c>
      <c r="L127" s="50">
        <v>26.308000000000003</v>
      </c>
      <c r="M127" s="50">
        <v>-2.3080000000000034</v>
      </c>
      <c r="N127" s="93"/>
      <c r="O127" s="93"/>
      <c r="P127" s="93"/>
      <c r="Q127" s="93"/>
      <c r="R127" s="93"/>
      <c r="S127" s="93"/>
      <c r="U127" s="95">
        <v>3</v>
      </c>
      <c r="V127" s="95">
        <v>29.833333333333332</v>
      </c>
      <c r="W127" s="95">
        <v>1.1666666666666679</v>
      </c>
      <c r="X127" s="91"/>
      <c r="Y127" s="91"/>
      <c r="Z127" s="91"/>
      <c r="AA127" s="91"/>
      <c r="AB127" s="91"/>
      <c r="AC127" s="90"/>
    </row>
    <row r="128" spans="1:29" x14ac:dyDescent="0.35">
      <c r="A128" s="86">
        <v>4</v>
      </c>
      <c r="B128" s="83">
        <v>25.898364485981308</v>
      </c>
      <c r="C128" s="83">
        <v>-2.8983644859813076</v>
      </c>
      <c r="D128" s="83"/>
      <c r="E128" s="83"/>
      <c r="F128" s="83"/>
      <c r="G128" s="83"/>
      <c r="H128" s="83"/>
      <c r="I128" s="83"/>
      <c r="K128" s="50">
        <v>4</v>
      </c>
      <c r="L128" s="50">
        <v>23.416</v>
      </c>
      <c r="M128" s="50">
        <v>-0.41600000000000037</v>
      </c>
      <c r="N128" s="93"/>
      <c r="O128" s="93"/>
      <c r="P128" s="93"/>
      <c r="Q128" s="93"/>
      <c r="R128" s="93"/>
      <c r="S128" s="93"/>
      <c r="U128" s="95">
        <v>4</v>
      </c>
      <c r="V128" s="95">
        <v>29.174242424242422</v>
      </c>
      <c r="W128" s="95">
        <v>3.8257575757575779</v>
      </c>
      <c r="X128" s="91"/>
      <c r="Y128" s="91"/>
      <c r="Z128" s="91"/>
      <c r="AA128" s="91"/>
      <c r="AB128" s="91"/>
      <c r="AC128" s="90"/>
    </row>
    <row r="129" spans="1:29" x14ac:dyDescent="0.35">
      <c r="A129" s="86">
        <v>5</v>
      </c>
      <c r="B129" s="83">
        <v>24.488317757009348</v>
      </c>
      <c r="C129" s="83">
        <v>1.511682242990652</v>
      </c>
      <c r="D129" s="83"/>
      <c r="E129" s="83"/>
      <c r="F129" s="83"/>
      <c r="G129" s="83"/>
      <c r="H129" s="83"/>
      <c r="I129" s="83"/>
      <c r="K129" s="50">
        <v>5</v>
      </c>
      <c r="L129" s="50">
        <v>22.452000000000002</v>
      </c>
      <c r="M129" s="50">
        <v>3.5479999999999983</v>
      </c>
      <c r="N129" s="93"/>
      <c r="O129" s="93"/>
      <c r="P129" s="93"/>
      <c r="Q129" s="93"/>
      <c r="R129" s="93"/>
      <c r="S129" s="93"/>
      <c r="U129" s="95">
        <v>5</v>
      </c>
      <c r="V129" s="95">
        <v>31.810606060606059</v>
      </c>
      <c r="W129" s="95">
        <v>2.1893939393939412</v>
      </c>
      <c r="X129" s="91"/>
      <c r="Y129" s="91"/>
      <c r="Z129" s="91"/>
      <c r="AA129" s="91"/>
      <c r="AB129" s="91"/>
      <c r="AC129" s="90"/>
    </row>
    <row r="130" spans="1:29" ht="15" thickBot="1" x14ac:dyDescent="0.4">
      <c r="A130" s="86">
        <v>6</v>
      </c>
      <c r="B130" s="83">
        <v>21.668224299065422</v>
      </c>
      <c r="C130" s="83">
        <v>2.3317757009345783</v>
      </c>
      <c r="D130" s="83"/>
      <c r="E130" s="83"/>
      <c r="F130" s="83"/>
      <c r="G130" s="83"/>
      <c r="H130" s="83"/>
      <c r="I130" s="83"/>
      <c r="K130" s="94">
        <v>6</v>
      </c>
      <c r="L130" s="94">
        <v>20.524000000000001</v>
      </c>
      <c r="M130" s="94">
        <v>3.4759999999999991</v>
      </c>
      <c r="N130" s="93"/>
      <c r="O130" s="93"/>
      <c r="P130" s="93"/>
      <c r="Q130" s="93"/>
      <c r="R130" s="93"/>
      <c r="S130" s="93"/>
      <c r="U130" s="92">
        <v>6</v>
      </c>
      <c r="V130" s="92">
        <v>27.856060606060602</v>
      </c>
      <c r="W130" s="92">
        <v>0.14393939393939803</v>
      </c>
      <c r="X130" s="91"/>
      <c r="Y130" s="91"/>
      <c r="Z130" s="91"/>
      <c r="AA130" s="91"/>
      <c r="AB130" s="91"/>
      <c r="AC130" s="90"/>
    </row>
    <row r="131" spans="1:29" x14ac:dyDescent="0.35">
      <c r="A131" s="86">
        <v>7</v>
      </c>
      <c r="B131" s="83">
        <v>32.94859813084112</v>
      </c>
      <c r="C131" s="83">
        <v>-3.9485981308411198</v>
      </c>
      <c r="D131" s="83"/>
      <c r="E131" s="83"/>
      <c r="F131" s="83"/>
      <c r="G131" s="83"/>
      <c r="H131" s="83"/>
      <c r="I131" s="83"/>
      <c r="AC131" s="89"/>
    </row>
    <row r="132" spans="1:29" x14ac:dyDescent="0.35">
      <c r="A132" s="86">
        <v>8</v>
      </c>
      <c r="B132" s="83">
        <v>23.078271028037385</v>
      </c>
      <c r="C132" s="83">
        <v>0.92172897196261516</v>
      </c>
      <c r="D132" s="83"/>
      <c r="E132" s="83"/>
      <c r="F132" s="83"/>
      <c r="G132" s="83"/>
      <c r="H132" s="83"/>
      <c r="I132" s="83"/>
      <c r="AC132" s="89"/>
    </row>
    <row r="133" spans="1:29" x14ac:dyDescent="0.35">
      <c r="A133" s="86">
        <v>9</v>
      </c>
      <c r="B133" s="83">
        <v>27.308411214953271</v>
      </c>
      <c r="C133" s="83">
        <v>3.6915887850467293</v>
      </c>
      <c r="D133" s="83"/>
      <c r="E133" s="83"/>
      <c r="F133" s="83"/>
      <c r="G133" s="83"/>
      <c r="H133" s="83"/>
      <c r="I133" s="83"/>
      <c r="AC133" s="89"/>
    </row>
    <row r="134" spans="1:29" x14ac:dyDescent="0.35">
      <c r="A134" s="86">
        <v>10</v>
      </c>
      <c r="B134" s="83">
        <v>25.898364485981308</v>
      </c>
      <c r="C134" s="83">
        <v>7.1016355140186924</v>
      </c>
      <c r="D134" s="83"/>
      <c r="E134" s="83"/>
      <c r="F134" s="83"/>
      <c r="G134" s="83"/>
      <c r="H134" s="83"/>
      <c r="I134" s="83"/>
      <c r="K134" s="77" t="s">
        <v>102</v>
      </c>
      <c r="L134" s="77"/>
      <c r="M134" s="77"/>
      <c r="N134" s="77"/>
      <c r="O134" s="77"/>
      <c r="P134" s="77"/>
      <c r="Q134" s="77"/>
      <c r="R134" s="77"/>
      <c r="S134" s="77"/>
      <c r="U134" s="76" t="s">
        <v>102</v>
      </c>
      <c r="V134" s="76"/>
      <c r="W134" s="76"/>
      <c r="X134" s="76"/>
      <c r="Y134" s="76"/>
      <c r="Z134" s="76"/>
      <c r="AA134" s="76"/>
      <c r="AB134" s="76"/>
      <c r="AC134" s="75"/>
    </row>
    <row r="135" spans="1:29" ht="15" thickBot="1" x14ac:dyDescent="0.4">
      <c r="A135" s="86">
        <v>11</v>
      </c>
      <c r="B135" s="83">
        <v>31.538551401869157</v>
      </c>
      <c r="C135" s="83">
        <v>2.4614485981308434</v>
      </c>
      <c r="D135" s="83"/>
      <c r="E135" s="83"/>
      <c r="F135" s="83"/>
      <c r="G135" s="83"/>
      <c r="H135" s="83"/>
      <c r="I135" s="83"/>
      <c r="K135" s="77"/>
      <c r="L135" s="77"/>
      <c r="M135" s="77"/>
      <c r="N135" s="77"/>
      <c r="O135" s="77"/>
      <c r="P135" s="77"/>
      <c r="Q135" s="77"/>
      <c r="R135" s="77"/>
      <c r="S135" s="77"/>
      <c r="U135" s="76"/>
      <c r="V135" s="76"/>
      <c r="W135" s="76"/>
      <c r="X135" s="76"/>
      <c r="Y135" s="76"/>
      <c r="Z135" s="76"/>
      <c r="AA135" s="76"/>
      <c r="AB135" s="76"/>
      <c r="AC135" s="75"/>
    </row>
    <row r="136" spans="1:29" x14ac:dyDescent="0.35">
      <c r="A136" s="86">
        <v>12</v>
      </c>
      <c r="B136" s="83">
        <v>23.078271028037385</v>
      </c>
      <c r="C136" s="83">
        <v>4.9217289719626152</v>
      </c>
      <c r="D136" s="83"/>
      <c r="E136" s="83"/>
      <c r="F136" s="83"/>
      <c r="G136" s="83"/>
      <c r="H136" s="83"/>
      <c r="I136" s="83"/>
      <c r="K136" s="88" t="s">
        <v>101</v>
      </c>
      <c r="L136" s="88"/>
      <c r="M136" s="77"/>
      <c r="N136" s="77"/>
      <c r="O136" s="77"/>
      <c r="P136" s="77"/>
      <c r="Q136" s="77"/>
      <c r="R136" s="77"/>
      <c r="S136" s="77"/>
      <c r="U136" s="87" t="s">
        <v>101</v>
      </c>
      <c r="V136" s="87"/>
      <c r="W136" s="76"/>
      <c r="X136" s="76"/>
      <c r="Y136" s="76"/>
      <c r="Z136" s="76"/>
      <c r="AA136" s="76"/>
      <c r="AB136" s="76"/>
      <c r="AC136" s="75"/>
    </row>
    <row r="137" spans="1:29" x14ac:dyDescent="0.35">
      <c r="A137" s="86">
        <v>13</v>
      </c>
      <c r="B137" s="83">
        <v>17.438084112149536</v>
      </c>
      <c r="C137" s="83">
        <v>-1.4380841121495358</v>
      </c>
      <c r="D137" s="83"/>
      <c r="E137" s="83"/>
      <c r="F137" s="83"/>
      <c r="G137" s="83"/>
      <c r="H137" s="83"/>
      <c r="I137" s="83"/>
      <c r="K137" s="78" t="s">
        <v>100</v>
      </c>
      <c r="L137" s="78">
        <v>0.79275004159736784</v>
      </c>
      <c r="M137" s="77"/>
      <c r="N137" s="77"/>
      <c r="O137" s="77"/>
      <c r="P137" s="77"/>
      <c r="Q137" s="77"/>
      <c r="R137" s="77"/>
      <c r="S137" s="77"/>
      <c r="U137" s="76" t="s">
        <v>100</v>
      </c>
      <c r="V137" s="76">
        <v>0.94870213046272522</v>
      </c>
      <c r="W137" s="76"/>
      <c r="X137" s="76"/>
      <c r="Y137" s="76"/>
      <c r="Z137" s="76"/>
      <c r="AA137" s="76"/>
      <c r="AB137" s="76"/>
      <c r="AC137" s="75"/>
    </row>
    <row r="138" spans="1:29" x14ac:dyDescent="0.35">
      <c r="A138" s="86">
        <v>14</v>
      </c>
      <c r="B138" s="83">
        <v>21.668224299065422</v>
      </c>
      <c r="C138" s="83">
        <v>-2.6682242990654217</v>
      </c>
      <c r="D138" s="83"/>
      <c r="E138" s="83"/>
      <c r="F138" s="83"/>
      <c r="G138" s="83"/>
      <c r="H138" s="83"/>
      <c r="I138" s="83"/>
      <c r="K138" s="78" t="s">
        <v>99</v>
      </c>
      <c r="L138" s="78">
        <v>0.6284526284526285</v>
      </c>
      <c r="M138" s="77"/>
      <c r="N138" s="77"/>
      <c r="O138" s="77"/>
      <c r="P138" s="77"/>
      <c r="Q138" s="77"/>
      <c r="R138" s="77"/>
      <c r="S138" s="77"/>
      <c r="U138" s="76" t="s">
        <v>99</v>
      </c>
      <c r="V138" s="76">
        <v>0.90003573234451373</v>
      </c>
      <c r="W138" s="76"/>
      <c r="X138" s="76"/>
      <c r="Y138" s="76"/>
      <c r="Z138" s="76"/>
      <c r="AA138" s="76"/>
      <c r="AB138" s="76"/>
      <c r="AC138" s="75"/>
    </row>
    <row r="139" spans="1:29" x14ac:dyDescent="0.35">
      <c r="A139" s="86">
        <v>15</v>
      </c>
      <c r="B139" s="83">
        <v>30.128504672897193</v>
      </c>
      <c r="C139" s="83">
        <v>-5.1285046728971935</v>
      </c>
      <c r="D139" s="83"/>
      <c r="E139" s="83"/>
      <c r="F139" s="83"/>
      <c r="G139" s="83"/>
      <c r="H139" s="83"/>
      <c r="I139" s="83"/>
      <c r="K139" s="78" t="s">
        <v>98</v>
      </c>
      <c r="L139" s="78">
        <v>0.5355657855657856</v>
      </c>
      <c r="M139" s="77"/>
      <c r="N139" s="77"/>
      <c r="O139" s="77"/>
      <c r="P139" s="77"/>
      <c r="Q139" s="77"/>
      <c r="R139" s="77"/>
      <c r="S139" s="77"/>
      <c r="U139" s="76" t="s">
        <v>98</v>
      </c>
      <c r="V139" s="76">
        <v>0.87504466543064208</v>
      </c>
      <c r="W139" s="76"/>
      <c r="X139" s="76"/>
      <c r="Y139" s="76"/>
      <c r="Z139" s="76"/>
      <c r="AA139" s="76"/>
      <c r="AB139" s="76"/>
      <c r="AC139" s="75"/>
    </row>
    <row r="140" spans="1:29" x14ac:dyDescent="0.35">
      <c r="A140" s="86">
        <v>16</v>
      </c>
      <c r="B140" s="83">
        <v>25.898364485981308</v>
      </c>
      <c r="C140" s="83">
        <v>-3.8983644859813076</v>
      </c>
      <c r="D140" s="83"/>
      <c r="E140" s="83"/>
      <c r="F140" s="83"/>
      <c r="G140" s="83"/>
      <c r="H140" s="83"/>
      <c r="I140" s="83"/>
      <c r="K140" s="78" t="s">
        <v>93</v>
      </c>
      <c r="L140" s="78">
        <v>2.6217601670683712</v>
      </c>
      <c r="M140" s="77"/>
      <c r="N140" s="77"/>
      <c r="O140" s="77"/>
      <c r="P140" s="77"/>
      <c r="Q140" s="77"/>
      <c r="R140" s="77"/>
      <c r="S140" s="77"/>
      <c r="U140" s="76" t="s">
        <v>93</v>
      </c>
      <c r="V140" s="76">
        <v>2.6959664860894779</v>
      </c>
      <c r="W140" s="76"/>
      <c r="X140" s="76"/>
      <c r="Y140" s="76"/>
      <c r="Z140" s="76"/>
      <c r="AA140" s="76"/>
      <c r="AB140" s="76"/>
      <c r="AC140" s="75"/>
    </row>
    <row r="141" spans="1:29" ht="15" thickBot="1" x14ac:dyDescent="0.4">
      <c r="A141" s="86">
        <v>17</v>
      </c>
      <c r="B141" s="83">
        <v>24.488317757009348</v>
      </c>
      <c r="C141" s="83">
        <v>1.511682242990652</v>
      </c>
      <c r="D141" s="83"/>
      <c r="E141" s="83"/>
      <c r="F141" s="83"/>
      <c r="G141" s="83"/>
      <c r="H141" s="83"/>
      <c r="I141" s="83"/>
      <c r="K141" s="73" t="s">
        <v>74</v>
      </c>
      <c r="L141" s="73">
        <v>6</v>
      </c>
      <c r="M141" s="77"/>
      <c r="N141" s="77"/>
      <c r="O141" s="77"/>
      <c r="P141" s="77"/>
      <c r="Q141" s="77"/>
      <c r="R141" s="77"/>
      <c r="S141" s="77"/>
      <c r="U141" s="70" t="s">
        <v>74</v>
      </c>
      <c r="V141" s="70">
        <v>6</v>
      </c>
      <c r="W141" s="76"/>
      <c r="X141" s="76"/>
      <c r="Y141" s="76"/>
      <c r="Z141" s="76"/>
      <c r="AA141" s="76"/>
      <c r="AB141" s="76"/>
      <c r="AC141" s="75"/>
    </row>
    <row r="142" spans="1:29" x14ac:dyDescent="0.35">
      <c r="A142" s="86">
        <v>18</v>
      </c>
      <c r="B142" s="83">
        <v>23.078271028037385</v>
      </c>
      <c r="C142" s="83">
        <v>0.92172897196261516</v>
      </c>
      <c r="D142" s="83"/>
      <c r="E142" s="83"/>
      <c r="F142" s="83"/>
      <c r="G142" s="83"/>
      <c r="H142" s="83"/>
      <c r="I142" s="83"/>
      <c r="K142" s="77"/>
      <c r="L142" s="77"/>
      <c r="M142" s="77"/>
      <c r="N142" s="77"/>
      <c r="O142" s="77"/>
      <c r="P142" s="77"/>
      <c r="Q142" s="77"/>
      <c r="R142" s="77"/>
      <c r="S142" s="77"/>
      <c r="U142" s="76"/>
      <c r="V142" s="76"/>
      <c r="W142" s="76"/>
      <c r="X142" s="76"/>
      <c r="Y142" s="76"/>
      <c r="Z142" s="76"/>
      <c r="AA142" s="76"/>
      <c r="AB142" s="76"/>
      <c r="AC142" s="75"/>
    </row>
    <row r="143" spans="1:29" ht="15" thickBot="1" x14ac:dyDescent="0.4">
      <c r="A143" s="86">
        <v>19</v>
      </c>
      <c r="B143" s="83">
        <v>30.128504672897193</v>
      </c>
      <c r="C143" s="83">
        <v>-2.1285046728971935</v>
      </c>
      <c r="D143" s="83"/>
      <c r="E143" s="83"/>
      <c r="F143" s="83"/>
      <c r="G143" s="83"/>
      <c r="H143" s="83"/>
      <c r="I143" s="83"/>
      <c r="K143" s="77" t="s">
        <v>56</v>
      </c>
      <c r="L143" s="77"/>
      <c r="M143" s="77"/>
      <c r="N143" s="77"/>
      <c r="O143" s="77"/>
      <c r="P143" s="77"/>
      <c r="Q143" s="77"/>
      <c r="R143" s="77"/>
      <c r="S143" s="77"/>
      <c r="U143" s="76" t="s">
        <v>56</v>
      </c>
      <c r="V143" s="76"/>
      <c r="W143" s="76"/>
      <c r="X143" s="76"/>
      <c r="Y143" s="76"/>
      <c r="Z143" s="76"/>
      <c r="AA143" s="76"/>
      <c r="AB143" s="76"/>
      <c r="AC143" s="75"/>
    </row>
    <row r="144" spans="1:29" x14ac:dyDescent="0.35">
      <c r="A144" s="86">
        <v>20</v>
      </c>
      <c r="B144" s="83">
        <v>20.258177570093459</v>
      </c>
      <c r="C144" s="83">
        <v>-2.2581775700934585</v>
      </c>
      <c r="D144" s="83"/>
      <c r="E144" s="83"/>
      <c r="F144" s="83"/>
      <c r="G144" s="83"/>
      <c r="H144" s="83"/>
      <c r="I144" s="83"/>
      <c r="K144" s="81"/>
      <c r="L144" s="81" t="s">
        <v>53</v>
      </c>
      <c r="M144" s="81" t="s">
        <v>54</v>
      </c>
      <c r="N144" s="81" t="s">
        <v>52</v>
      </c>
      <c r="O144" s="81" t="s">
        <v>51</v>
      </c>
      <c r="P144" s="81" t="s">
        <v>97</v>
      </c>
      <c r="Q144" s="77"/>
      <c r="R144" s="77"/>
      <c r="S144" s="77"/>
      <c r="U144" s="80"/>
      <c r="V144" s="80" t="s">
        <v>53</v>
      </c>
      <c r="W144" s="80" t="s">
        <v>54</v>
      </c>
      <c r="X144" s="80" t="s">
        <v>52</v>
      </c>
      <c r="Y144" s="80" t="s">
        <v>51</v>
      </c>
      <c r="Z144" s="80" t="s">
        <v>97</v>
      </c>
      <c r="AA144" s="76"/>
      <c r="AB144" s="76"/>
      <c r="AC144" s="75"/>
    </row>
    <row r="145" spans="1:29" x14ac:dyDescent="0.35">
      <c r="A145" s="86">
        <v>21</v>
      </c>
      <c r="B145" s="83">
        <v>27.308411214953271</v>
      </c>
      <c r="C145" s="83">
        <v>2.6915887850467293</v>
      </c>
      <c r="D145" s="83"/>
      <c r="E145" s="83"/>
      <c r="F145" s="83"/>
      <c r="G145" s="83"/>
      <c r="H145" s="83"/>
      <c r="I145" s="83"/>
      <c r="K145" s="78" t="s">
        <v>96</v>
      </c>
      <c r="L145" s="78">
        <v>1</v>
      </c>
      <c r="M145" s="78">
        <v>46.505494505494511</v>
      </c>
      <c r="N145" s="78">
        <v>46.505494505494511</v>
      </c>
      <c r="O145" s="78">
        <v>6.7657873701039177</v>
      </c>
      <c r="P145" s="78">
        <v>5.9977861277846344E-2</v>
      </c>
      <c r="Q145" s="77"/>
      <c r="R145" s="77"/>
      <c r="S145" s="77"/>
      <c r="U145" s="76" t="s">
        <v>96</v>
      </c>
      <c r="V145" s="76">
        <v>1</v>
      </c>
      <c r="W145" s="76">
        <v>261.76039215686274</v>
      </c>
      <c r="X145" s="76">
        <v>261.76039215686274</v>
      </c>
      <c r="Y145" s="76">
        <v>36.014298046832849</v>
      </c>
      <c r="Z145" s="76">
        <v>3.879712689821806E-3</v>
      </c>
      <c r="AA145" s="76"/>
      <c r="AB145" s="76"/>
      <c r="AC145" s="75"/>
    </row>
    <row r="146" spans="1:29" x14ac:dyDescent="0.35">
      <c r="A146" s="86">
        <v>22</v>
      </c>
      <c r="B146" s="83">
        <v>28.718457943925234</v>
      </c>
      <c r="C146" s="83">
        <v>4.2815420560747661</v>
      </c>
      <c r="D146" s="83"/>
      <c r="E146" s="83"/>
      <c r="F146" s="83"/>
      <c r="G146" s="83"/>
      <c r="H146" s="83"/>
      <c r="I146" s="83"/>
      <c r="K146" s="78" t="s">
        <v>95</v>
      </c>
      <c r="L146" s="78">
        <v>4</v>
      </c>
      <c r="M146" s="78">
        <v>27.494505494505493</v>
      </c>
      <c r="N146" s="78">
        <v>6.8736263736263732</v>
      </c>
      <c r="O146" s="78"/>
      <c r="P146" s="78"/>
      <c r="Q146" s="77"/>
      <c r="R146" s="77"/>
      <c r="S146" s="77"/>
      <c r="U146" s="76" t="s">
        <v>95</v>
      </c>
      <c r="V146" s="76">
        <v>4</v>
      </c>
      <c r="W146" s="76">
        <v>29.072941176470586</v>
      </c>
      <c r="X146" s="76">
        <v>7.2682352941176465</v>
      </c>
      <c r="Y146" s="76"/>
      <c r="Z146" s="76"/>
      <c r="AA146" s="76"/>
      <c r="AB146" s="76"/>
      <c r="AC146" s="75"/>
    </row>
    <row r="147" spans="1:29" ht="15" thickBot="1" x14ac:dyDescent="0.4">
      <c r="A147" s="86">
        <v>23</v>
      </c>
      <c r="B147" s="83">
        <v>31.538551401869157</v>
      </c>
      <c r="C147" s="83">
        <v>3.4614485981308434</v>
      </c>
      <c r="D147" s="83"/>
      <c r="E147" s="83"/>
      <c r="F147" s="83"/>
      <c r="G147" s="83"/>
      <c r="H147" s="83"/>
      <c r="I147" s="83"/>
      <c r="K147" s="73" t="s">
        <v>46</v>
      </c>
      <c r="L147" s="73">
        <v>5</v>
      </c>
      <c r="M147" s="73">
        <v>74</v>
      </c>
      <c r="N147" s="73"/>
      <c r="O147" s="73"/>
      <c r="P147" s="73"/>
      <c r="Q147" s="77"/>
      <c r="R147" s="77"/>
      <c r="S147" s="77"/>
      <c r="U147" s="70" t="s">
        <v>46</v>
      </c>
      <c r="V147" s="70">
        <v>5</v>
      </c>
      <c r="W147" s="70">
        <v>290.83333333333331</v>
      </c>
      <c r="X147" s="70"/>
      <c r="Y147" s="70"/>
      <c r="Z147" s="70"/>
      <c r="AA147" s="76"/>
      <c r="AB147" s="76"/>
      <c r="AC147" s="75"/>
    </row>
    <row r="148" spans="1:29" ht="15" thickBot="1" x14ac:dyDescent="0.4">
      <c r="A148" s="85">
        <v>24</v>
      </c>
      <c r="B148" s="84">
        <v>18.848130841121495</v>
      </c>
      <c r="C148" s="84">
        <v>-1.8481308411214954</v>
      </c>
      <c r="D148" s="83"/>
      <c r="E148" s="83"/>
      <c r="F148" s="83"/>
      <c r="G148" s="83"/>
      <c r="H148" s="83"/>
      <c r="I148" s="83"/>
      <c r="K148" s="77"/>
      <c r="L148" s="77"/>
      <c r="M148" s="77"/>
      <c r="N148" s="77"/>
      <c r="O148" s="77"/>
      <c r="P148" s="77"/>
      <c r="Q148" s="77"/>
      <c r="R148" s="77"/>
      <c r="S148" s="77"/>
      <c r="U148" s="76"/>
      <c r="V148" s="76"/>
      <c r="W148" s="76"/>
      <c r="X148" s="76"/>
      <c r="Y148" s="76"/>
      <c r="Z148" s="76"/>
      <c r="AA148" s="76"/>
      <c r="AB148" s="76"/>
      <c r="AC148" s="75"/>
    </row>
    <row r="149" spans="1:29" x14ac:dyDescent="0.35">
      <c r="A149" s="79"/>
      <c r="K149" s="81"/>
      <c r="L149" s="81" t="s">
        <v>94</v>
      </c>
      <c r="M149" s="81" t="s">
        <v>93</v>
      </c>
      <c r="N149" s="81" t="s">
        <v>84</v>
      </c>
      <c r="O149" s="81" t="s">
        <v>50</v>
      </c>
      <c r="P149" s="81" t="s">
        <v>92</v>
      </c>
      <c r="Q149" s="81" t="s">
        <v>91</v>
      </c>
      <c r="R149" s="81" t="s">
        <v>90</v>
      </c>
      <c r="S149" s="81" t="s">
        <v>89</v>
      </c>
      <c r="U149" s="80"/>
      <c r="V149" s="80" t="s">
        <v>94</v>
      </c>
      <c r="W149" s="80" t="s">
        <v>93</v>
      </c>
      <c r="X149" s="80" t="s">
        <v>84</v>
      </c>
      <c r="Y149" s="80" t="s">
        <v>50</v>
      </c>
      <c r="Z149" s="80" t="s">
        <v>92</v>
      </c>
      <c r="AA149" s="80" t="s">
        <v>91</v>
      </c>
      <c r="AB149" s="80" t="s">
        <v>90</v>
      </c>
      <c r="AC149" s="82" t="s">
        <v>89</v>
      </c>
    </row>
    <row r="150" spans="1:29" x14ac:dyDescent="0.35">
      <c r="A150" s="79"/>
      <c r="K150" s="78" t="s">
        <v>88</v>
      </c>
      <c r="L150" s="78">
        <v>4.3076923076923137</v>
      </c>
      <c r="M150" s="78">
        <v>6.8855208441346436</v>
      </c>
      <c r="N150" s="78">
        <v>0.62561604346340405</v>
      </c>
      <c r="O150" s="78">
        <v>0.56549002948548766</v>
      </c>
      <c r="P150" s="78">
        <v>-14.809578336742696</v>
      </c>
      <c r="Q150" s="78">
        <v>23.424962952127323</v>
      </c>
      <c r="R150" s="78">
        <v>-14.809578336742696</v>
      </c>
      <c r="S150" s="78">
        <v>23.424962952127323</v>
      </c>
      <c r="U150" s="76" t="s">
        <v>88</v>
      </c>
      <c r="V150" s="76">
        <v>-10.01176470588236</v>
      </c>
      <c r="W150" s="76">
        <v>6.2375023836595966</v>
      </c>
      <c r="X150" s="76">
        <v>-1.6050919246315976</v>
      </c>
      <c r="Y150" s="76">
        <v>0.18374383148503878</v>
      </c>
      <c r="Z150" s="76">
        <v>-27.329847667653617</v>
      </c>
      <c r="AA150" s="76">
        <v>7.3063182558888968</v>
      </c>
      <c r="AB150" s="76">
        <v>-27.329847667653617</v>
      </c>
      <c r="AC150" s="75">
        <v>7.3063182558888968</v>
      </c>
    </row>
    <row r="151" spans="1:29" ht="15" thickBot="1" x14ac:dyDescent="0.4">
      <c r="A151" s="79"/>
      <c r="K151" s="73" t="s">
        <v>132</v>
      </c>
      <c r="L151" s="73">
        <v>1.0109890109890107</v>
      </c>
      <c r="M151" s="73">
        <v>0.38867558645774486</v>
      </c>
      <c r="N151" s="73">
        <v>2.6011127176852438</v>
      </c>
      <c r="O151" s="73">
        <v>5.9977861277846385E-2</v>
      </c>
      <c r="P151" s="73">
        <v>-6.8147418541476767E-2</v>
      </c>
      <c r="Q151" s="73">
        <v>2.0901254405194982</v>
      </c>
      <c r="R151" s="73">
        <v>-6.8147418541476767E-2</v>
      </c>
      <c r="S151" s="73">
        <v>2.0901254405194982</v>
      </c>
      <c r="U151" s="70" t="s">
        <v>132</v>
      </c>
      <c r="V151" s="70">
        <v>1.9223529411764706</v>
      </c>
      <c r="W151" s="70">
        <v>0.3203285510578745</v>
      </c>
      <c r="X151" s="70">
        <v>6.001191385619431</v>
      </c>
      <c r="Y151" s="70">
        <v>3.8797126898218025E-3</v>
      </c>
      <c r="Z151" s="70">
        <v>1.0329783035367335</v>
      </c>
      <c r="AA151" s="70">
        <v>2.8117275788162077</v>
      </c>
      <c r="AB151" s="70">
        <v>1.0329783035367335</v>
      </c>
      <c r="AC151" s="69">
        <v>2.8117275788162077</v>
      </c>
    </row>
    <row r="152" spans="1:29" x14ac:dyDescent="0.35">
      <c r="A152" s="79"/>
      <c r="K152" s="77"/>
      <c r="L152" s="77"/>
      <c r="M152" s="77"/>
      <c r="N152" s="77"/>
      <c r="O152" s="77"/>
      <c r="P152" s="77"/>
      <c r="Q152" s="77"/>
      <c r="R152" s="77"/>
      <c r="S152" s="77"/>
      <c r="U152" s="76"/>
      <c r="V152" s="76"/>
      <c r="W152" s="76"/>
      <c r="X152" s="76"/>
      <c r="Y152" s="76"/>
      <c r="Z152" s="76"/>
      <c r="AA152" s="76"/>
      <c r="AB152" s="76"/>
      <c r="AC152" s="75"/>
    </row>
    <row r="153" spans="1:29" x14ac:dyDescent="0.35">
      <c r="A153" s="79"/>
      <c r="K153" s="77"/>
      <c r="L153" s="77"/>
      <c r="M153" s="77"/>
      <c r="N153" s="77"/>
      <c r="O153" s="77"/>
      <c r="P153" s="77"/>
      <c r="Q153" s="77"/>
      <c r="R153" s="77"/>
      <c r="S153" s="77"/>
      <c r="U153" s="76"/>
      <c r="V153" s="76"/>
      <c r="W153" s="76"/>
      <c r="X153" s="76"/>
      <c r="Y153" s="76"/>
      <c r="Z153" s="76"/>
      <c r="AA153" s="76"/>
      <c r="AB153" s="76"/>
      <c r="AC153" s="75"/>
    </row>
    <row r="154" spans="1:29" x14ac:dyDescent="0.35">
      <c r="A154" s="79"/>
      <c r="K154" s="77"/>
      <c r="L154" s="77"/>
      <c r="M154" s="77"/>
      <c r="N154" s="77"/>
      <c r="O154" s="77"/>
      <c r="P154" s="77"/>
      <c r="Q154" s="77"/>
      <c r="R154" s="77"/>
      <c r="S154" s="77"/>
      <c r="U154" s="76"/>
      <c r="V154" s="76"/>
      <c r="W154" s="76"/>
      <c r="X154" s="76"/>
      <c r="Y154" s="76"/>
      <c r="Z154" s="76"/>
      <c r="AA154" s="76"/>
      <c r="AB154" s="76"/>
      <c r="AC154" s="75"/>
    </row>
    <row r="155" spans="1:29" x14ac:dyDescent="0.35">
      <c r="A155" s="79"/>
      <c r="K155" s="77" t="s">
        <v>87</v>
      </c>
      <c r="L155" s="77"/>
      <c r="M155" s="77"/>
      <c r="N155" s="77"/>
      <c r="O155" s="77"/>
      <c r="P155" s="77"/>
      <c r="Q155" s="77"/>
      <c r="R155" s="77"/>
      <c r="S155" s="77"/>
      <c r="U155" s="76" t="s">
        <v>87</v>
      </c>
      <c r="V155" s="76"/>
      <c r="W155" s="76"/>
      <c r="X155" s="76"/>
      <c r="Y155" s="76"/>
      <c r="Z155" s="76"/>
      <c r="AA155" s="76"/>
      <c r="AB155" s="76"/>
      <c r="AC155" s="75"/>
    </row>
    <row r="156" spans="1:29" ht="15" thickBot="1" x14ac:dyDescent="0.4">
      <c r="A156" s="79"/>
      <c r="K156" s="77"/>
      <c r="L156" s="77"/>
      <c r="M156" s="77"/>
      <c r="N156" s="77"/>
      <c r="O156" s="77"/>
      <c r="P156" s="77"/>
      <c r="Q156" s="77"/>
      <c r="R156" s="77"/>
      <c r="S156" s="77"/>
      <c r="U156" s="76"/>
      <c r="V156" s="76"/>
      <c r="W156" s="76"/>
      <c r="X156" s="76"/>
      <c r="Y156" s="76"/>
      <c r="Z156" s="76"/>
      <c r="AA156" s="76"/>
      <c r="AB156" s="76"/>
      <c r="AC156" s="75"/>
    </row>
    <row r="157" spans="1:29" x14ac:dyDescent="0.35">
      <c r="A157" s="79"/>
      <c r="K157" s="81" t="s">
        <v>86</v>
      </c>
      <c r="L157" s="81" t="s">
        <v>109</v>
      </c>
      <c r="M157" s="81" t="s">
        <v>85</v>
      </c>
      <c r="N157" s="77"/>
      <c r="O157" s="77"/>
      <c r="P157" s="77"/>
      <c r="Q157" s="77"/>
      <c r="R157" s="77"/>
      <c r="S157" s="77"/>
      <c r="U157" s="80" t="s">
        <v>86</v>
      </c>
      <c r="V157" s="80" t="s">
        <v>109</v>
      </c>
      <c r="W157" s="80" t="s">
        <v>85</v>
      </c>
      <c r="X157" s="76"/>
      <c r="Y157" s="76"/>
      <c r="Z157" s="76"/>
      <c r="AA157" s="76"/>
      <c r="AB157" s="76"/>
      <c r="AC157" s="75"/>
    </row>
    <row r="158" spans="1:29" x14ac:dyDescent="0.35">
      <c r="A158" s="79"/>
      <c r="K158" s="78">
        <v>1</v>
      </c>
      <c r="L158" s="78">
        <v>17.450549450549453</v>
      </c>
      <c r="M158" s="78">
        <v>-1.4505494505494525</v>
      </c>
      <c r="N158" s="77"/>
      <c r="O158" s="77"/>
      <c r="P158" s="77"/>
      <c r="Q158" s="77"/>
      <c r="R158" s="77"/>
      <c r="S158" s="77"/>
      <c r="U158" s="76">
        <v>1</v>
      </c>
      <c r="V158" s="76">
        <v>32.279999999999987</v>
      </c>
      <c r="W158" s="76">
        <v>-4.2799999999999869</v>
      </c>
      <c r="X158" s="76"/>
      <c r="Y158" s="76"/>
      <c r="Z158" s="76"/>
      <c r="AA158" s="76"/>
      <c r="AB158" s="76"/>
      <c r="AC158" s="75"/>
    </row>
    <row r="159" spans="1:29" x14ac:dyDescent="0.35">
      <c r="A159" s="79"/>
      <c r="K159" s="78">
        <v>2</v>
      </c>
      <c r="L159" s="78">
        <v>20.483516483516485</v>
      </c>
      <c r="M159" s="78">
        <v>-1.4835164835164854</v>
      </c>
      <c r="N159" s="77"/>
      <c r="O159" s="77"/>
      <c r="P159" s="77"/>
      <c r="Q159" s="77"/>
      <c r="R159" s="77"/>
      <c r="S159" s="77"/>
      <c r="U159" s="76">
        <v>2</v>
      </c>
      <c r="V159" s="76">
        <v>18.823529411764699</v>
      </c>
      <c r="W159" s="76">
        <v>-0.8235294117646994</v>
      </c>
      <c r="X159" s="76"/>
      <c r="Y159" s="76"/>
      <c r="Z159" s="76"/>
      <c r="AA159" s="76"/>
      <c r="AB159" s="76"/>
      <c r="AC159" s="75"/>
    </row>
    <row r="160" spans="1:29" x14ac:dyDescent="0.35">
      <c r="A160" s="79"/>
      <c r="K160" s="78">
        <v>3</v>
      </c>
      <c r="L160" s="78">
        <v>26.549450549450551</v>
      </c>
      <c r="M160" s="78">
        <v>-1.5494505494505511</v>
      </c>
      <c r="N160" s="77"/>
      <c r="O160" s="77"/>
      <c r="P160" s="77"/>
      <c r="Q160" s="77"/>
      <c r="R160" s="77"/>
      <c r="S160" s="77"/>
      <c r="U160" s="76">
        <v>3</v>
      </c>
      <c r="V160" s="76">
        <v>28.43529411764705</v>
      </c>
      <c r="W160" s="76">
        <v>1.5647058823529498</v>
      </c>
      <c r="X160" s="76"/>
      <c r="Y160" s="76"/>
      <c r="Z160" s="76"/>
      <c r="AA160" s="76"/>
      <c r="AB160" s="76"/>
      <c r="AC160" s="75"/>
    </row>
    <row r="161" spans="1:35" x14ac:dyDescent="0.35">
      <c r="A161" s="79"/>
      <c r="K161" s="78">
        <v>4</v>
      </c>
      <c r="L161" s="78">
        <v>23.516483516483518</v>
      </c>
      <c r="M161" s="78">
        <v>-1.5164835164835182</v>
      </c>
      <c r="N161" s="77"/>
      <c r="O161" s="77"/>
      <c r="P161" s="77"/>
      <c r="Q161" s="77"/>
      <c r="R161" s="77"/>
      <c r="S161" s="77"/>
      <c r="U161" s="76">
        <v>4</v>
      </c>
      <c r="V161" s="76">
        <v>30.35764705882352</v>
      </c>
      <c r="W161" s="76">
        <v>2.6423529411764797</v>
      </c>
      <c r="X161" s="76"/>
      <c r="Y161" s="76"/>
      <c r="Z161" s="76"/>
      <c r="AA161" s="76"/>
      <c r="AB161" s="76"/>
      <c r="AC161" s="75"/>
    </row>
    <row r="162" spans="1:35" x14ac:dyDescent="0.35">
      <c r="A162" s="79"/>
      <c r="K162" s="78">
        <v>5</v>
      </c>
      <c r="L162" s="78">
        <v>22.505494505494507</v>
      </c>
      <c r="M162" s="78">
        <v>3.4945054945054927</v>
      </c>
      <c r="N162" s="77"/>
      <c r="O162" s="77"/>
      <c r="P162" s="77"/>
      <c r="Q162" s="77"/>
      <c r="R162" s="77"/>
      <c r="S162" s="77"/>
      <c r="U162" s="76">
        <v>5</v>
      </c>
      <c r="V162" s="76">
        <v>34.202352941176457</v>
      </c>
      <c r="W162" s="76">
        <v>0.79764705882354292</v>
      </c>
      <c r="X162" s="76"/>
      <c r="Y162" s="76"/>
      <c r="Z162" s="76"/>
      <c r="AA162" s="76"/>
      <c r="AB162" s="76"/>
      <c r="AC162" s="75"/>
    </row>
    <row r="163" spans="1:35" ht="15" thickBot="1" x14ac:dyDescent="0.4">
      <c r="A163" s="74"/>
      <c r="B163" s="71"/>
      <c r="C163" s="71"/>
      <c r="D163" s="71"/>
      <c r="E163" s="71"/>
      <c r="F163" s="71"/>
      <c r="G163" s="71"/>
      <c r="H163" s="71"/>
      <c r="I163" s="71"/>
      <c r="J163" s="71"/>
      <c r="K163" s="73">
        <v>6</v>
      </c>
      <c r="L163" s="73">
        <v>21.494505494505496</v>
      </c>
      <c r="M163" s="73">
        <v>2.5054945054945037</v>
      </c>
      <c r="N163" s="72"/>
      <c r="O163" s="72"/>
      <c r="P163" s="72"/>
      <c r="Q163" s="72"/>
      <c r="R163" s="72"/>
      <c r="S163" s="72"/>
      <c r="T163" s="71"/>
      <c r="U163" s="70">
        <v>6</v>
      </c>
      <c r="V163" s="70">
        <v>16.901176470588229</v>
      </c>
      <c r="W163" s="70">
        <v>9.882352941177075E-2</v>
      </c>
      <c r="X163" s="70"/>
      <c r="Y163" s="70"/>
      <c r="Z163" s="70"/>
      <c r="AA163" s="70"/>
      <c r="AB163" s="70"/>
      <c r="AC163" s="69"/>
    </row>
    <row r="166" spans="1:35" x14ac:dyDescent="0.35">
      <c r="G166" s="54" t="s">
        <v>116</v>
      </c>
      <c r="H166" s="54" t="s">
        <v>112</v>
      </c>
      <c r="I166" s="54" t="s">
        <v>124</v>
      </c>
      <c r="J166" s="54" t="s">
        <v>121</v>
      </c>
      <c r="K166" s="54" t="s">
        <v>119</v>
      </c>
      <c r="P166" s="54" t="s">
        <v>116</v>
      </c>
      <c r="Q166" s="54" t="s">
        <v>112</v>
      </c>
      <c r="R166" s="54" t="s">
        <v>124</v>
      </c>
      <c r="S166" s="54" t="s">
        <v>119</v>
      </c>
      <c r="W166" s="54" t="s">
        <v>112</v>
      </c>
      <c r="X166" s="54" t="s">
        <v>124</v>
      </c>
      <c r="Y166" s="54" t="s">
        <v>119</v>
      </c>
      <c r="AE166" s="54" t="s">
        <v>112</v>
      </c>
      <c r="AF166" s="54" t="s">
        <v>119</v>
      </c>
    </row>
    <row r="167" spans="1:35" x14ac:dyDescent="0.35">
      <c r="G167" s="66">
        <v>16</v>
      </c>
      <c r="H167" s="66">
        <v>15</v>
      </c>
      <c r="I167" s="67">
        <f>IF($B$7 = "A",0,IF($B$7="B",1))</f>
        <v>0</v>
      </c>
      <c r="J167" s="54">
        <v>0</v>
      </c>
      <c r="K167" s="54">
        <v>0</v>
      </c>
      <c r="P167" s="66">
        <v>16</v>
      </c>
      <c r="Q167" s="66">
        <v>15</v>
      </c>
      <c r="R167" s="67">
        <f>IF($B$7 = "A",0,IF($B$7="B",1))</f>
        <v>0</v>
      </c>
      <c r="S167" s="54">
        <v>0</v>
      </c>
      <c r="W167" s="66">
        <v>15</v>
      </c>
      <c r="X167" s="67">
        <f>IF($B$7 = "A",0,IF($B$7="B",1))</f>
        <v>0</v>
      </c>
      <c r="Y167" s="54">
        <v>0</v>
      </c>
      <c r="AE167" s="66">
        <v>15</v>
      </c>
      <c r="AF167" s="54">
        <v>0</v>
      </c>
    </row>
    <row r="168" spans="1:35" x14ac:dyDescent="0.35">
      <c r="G168" s="66">
        <v>14</v>
      </c>
      <c r="H168" s="66">
        <v>10</v>
      </c>
      <c r="I168" s="67">
        <v>0</v>
      </c>
      <c r="J168" s="54">
        <v>0</v>
      </c>
      <c r="K168" s="54">
        <v>0</v>
      </c>
      <c r="P168" s="66">
        <v>14</v>
      </c>
      <c r="Q168" s="66">
        <v>10</v>
      </c>
      <c r="R168" s="67">
        <v>0</v>
      </c>
      <c r="S168" s="54">
        <v>0</v>
      </c>
      <c r="W168" s="66">
        <v>10</v>
      </c>
      <c r="X168" s="67">
        <v>0</v>
      </c>
      <c r="Y168" s="54">
        <v>0</v>
      </c>
      <c r="AC168" s="40" t="s">
        <v>131</v>
      </c>
      <c r="AE168" s="66">
        <v>10</v>
      </c>
      <c r="AF168" s="54">
        <v>0</v>
      </c>
    </row>
    <row r="169" spans="1:35" x14ac:dyDescent="0.35">
      <c r="G169" s="66">
        <v>24</v>
      </c>
      <c r="H169" s="66">
        <v>22</v>
      </c>
      <c r="I169" s="67">
        <v>0</v>
      </c>
      <c r="J169" s="54">
        <v>0</v>
      </c>
      <c r="K169" s="54">
        <v>0</v>
      </c>
      <c r="P169" s="66">
        <v>24</v>
      </c>
      <c r="Q169" s="66">
        <v>22</v>
      </c>
      <c r="R169" s="67">
        <v>0</v>
      </c>
      <c r="S169" s="54">
        <v>0</v>
      </c>
      <c r="W169" s="66">
        <v>22</v>
      </c>
      <c r="X169" s="67">
        <v>0</v>
      </c>
      <c r="Y169" s="54">
        <v>0</v>
      </c>
      <c r="AE169" s="66">
        <v>22</v>
      </c>
      <c r="AF169" s="54">
        <v>0</v>
      </c>
      <c r="AH169" s="68" t="s">
        <v>130</v>
      </c>
    </row>
    <row r="170" spans="1:35" x14ac:dyDescent="0.35">
      <c r="G170" s="66">
        <v>23</v>
      </c>
      <c r="H170" s="66">
        <v>19</v>
      </c>
      <c r="I170" s="67">
        <v>0</v>
      </c>
      <c r="J170" s="54">
        <v>0</v>
      </c>
      <c r="K170" s="54">
        <v>0</v>
      </c>
      <c r="P170" s="66">
        <v>23</v>
      </c>
      <c r="Q170" s="66">
        <v>19</v>
      </c>
      <c r="R170" s="67">
        <v>0</v>
      </c>
      <c r="S170" s="54">
        <v>0</v>
      </c>
      <c r="W170" s="66">
        <v>19</v>
      </c>
      <c r="X170" s="67">
        <v>0</v>
      </c>
      <c r="Y170" s="54">
        <v>0</v>
      </c>
      <c r="AE170" s="66">
        <v>19</v>
      </c>
      <c r="AF170" s="54">
        <v>0</v>
      </c>
    </row>
    <row r="171" spans="1:35" x14ac:dyDescent="0.35">
      <c r="G171" s="66">
        <v>26</v>
      </c>
      <c r="H171" s="66">
        <v>18</v>
      </c>
      <c r="I171" s="67">
        <v>0</v>
      </c>
      <c r="J171" s="54">
        <v>0</v>
      </c>
      <c r="K171" s="54">
        <v>0</v>
      </c>
      <c r="P171" s="66">
        <v>26</v>
      </c>
      <c r="Q171" s="66">
        <v>18</v>
      </c>
      <c r="R171" s="67">
        <v>0</v>
      </c>
      <c r="S171" s="54">
        <v>0</v>
      </c>
      <c r="W171" s="66">
        <v>18</v>
      </c>
      <c r="X171" s="67">
        <v>0</v>
      </c>
      <c r="Y171" s="54">
        <v>0</v>
      </c>
      <c r="AE171" s="66">
        <v>18</v>
      </c>
      <c r="AF171" s="54">
        <v>0</v>
      </c>
    </row>
    <row r="172" spans="1:35" x14ac:dyDescent="0.35">
      <c r="G172" s="66">
        <v>24</v>
      </c>
      <c r="H172" s="66">
        <v>16</v>
      </c>
      <c r="I172" s="67">
        <v>0</v>
      </c>
      <c r="J172" s="54">
        <v>0</v>
      </c>
      <c r="K172" s="54">
        <v>0</v>
      </c>
      <c r="P172" s="66">
        <v>24</v>
      </c>
      <c r="Q172" s="66">
        <v>16</v>
      </c>
      <c r="R172" s="67">
        <v>0</v>
      </c>
      <c r="S172" s="54">
        <v>0</v>
      </c>
      <c r="W172" s="66">
        <v>16</v>
      </c>
      <c r="X172" s="67">
        <v>0</v>
      </c>
      <c r="Y172" s="54">
        <v>0</v>
      </c>
      <c r="AE172" s="66">
        <v>16</v>
      </c>
      <c r="AF172" s="54">
        <v>0</v>
      </c>
      <c r="AI172" s="43"/>
    </row>
    <row r="173" spans="1:35" ht="15" thickBot="1" x14ac:dyDescent="0.4">
      <c r="G173" s="64">
        <v>29</v>
      </c>
      <c r="H173" s="64">
        <v>24</v>
      </c>
      <c r="I173" s="65">
        <v>0</v>
      </c>
      <c r="J173" s="54">
        <v>0</v>
      </c>
      <c r="K173" s="64">
        <v>24</v>
      </c>
      <c r="P173" s="64">
        <v>29</v>
      </c>
      <c r="Q173" s="64">
        <v>24</v>
      </c>
      <c r="R173" s="65">
        <v>0</v>
      </c>
      <c r="S173" s="64">
        <v>24</v>
      </c>
      <c r="W173" s="64">
        <v>24</v>
      </c>
      <c r="X173" s="65">
        <v>0</v>
      </c>
      <c r="Y173" s="64">
        <v>24</v>
      </c>
      <c r="AE173" s="64">
        <v>24</v>
      </c>
      <c r="AF173" s="64">
        <v>24</v>
      </c>
      <c r="AI173" s="43"/>
    </row>
    <row r="174" spans="1:35" x14ac:dyDescent="0.35">
      <c r="G174" s="64">
        <v>24</v>
      </c>
      <c r="H174" s="64">
        <v>17</v>
      </c>
      <c r="I174" s="65">
        <v>0</v>
      </c>
      <c r="J174" s="54">
        <v>0</v>
      </c>
      <c r="K174" s="64">
        <v>17</v>
      </c>
      <c r="P174" s="64">
        <v>24</v>
      </c>
      <c r="Q174" s="64">
        <v>17</v>
      </c>
      <c r="R174" s="65">
        <v>0</v>
      </c>
      <c r="S174" s="64">
        <v>17</v>
      </c>
      <c r="W174" s="64">
        <v>17</v>
      </c>
      <c r="X174" s="65">
        <v>0</v>
      </c>
      <c r="Y174" s="64">
        <v>17</v>
      </c>
      <c r="AE174" s="64">
        <v>17</v>
      </c>
      <c r="AF174" s="64">
        <v>17</v>
      </c>
      <c r="AI174" s="51"/>
    </row>
    <row r="175" spans="1:35" x14ac:dyDescent="0.35">
      <c r="G175" s="64">
        <v>31</v>
      </c>
      <c r="H175" s="64">
        <v>20</v>
      </c>
      <c r="I175" s="65">
        <v>0</v>
      </c>
      <c r="J175" s="54">
        <v>0</v>
      </c>
      <c r="K175" s="64">
        <v>20</v>
      </c>
      <c r="P175" s="64">
        <v>31</v>
      </c>
      <c r="Q175" s="64">
        <v>20</v>
      </c>
      <c r="R175" s="65">
        <v>0</v>
      </c>
      <c r="S175" s="64">
        <v>20</v>
      </c>
      <c r="W175" s="64">
        <v>20</v>
      </c>
      <c r="X175" s="65">
        <v>0</v>
      </c>
      <c r="Y175" s="64">
        <v>20</v>
      </c>
      <c r="AE175" s="64">
        <v>20</v>
      </c>
      <c r="AF175" s="64">
        <v>20</v>
      </c>
      <c r="AI175" s="43"/>
    </row>
    <row r="176" spans="1:35" x14ac:dyDescent="0.35">
      <c r="G176" s="64">
        <v>33</v>
      </c>
      <c r="H176" s="64">
        <v>19</v>
      </c>
      <c r="I176" s="65">
        <v>0</v>
      </c>
      <c r="J176" s="54">
        <v>0</v>
      </c>
      <c r="K176" s="64">
        <v>19</v>
      </c>
      <c r="P176" s="64">
        <v>33</v>
      </c>
      <c r="Q176" s="64">
        <v>19</v>
      </c>
      <c r="R176" s="65">
        <v>0</v>
      </c>
      <c r="S176" s="64">
        <v>19</v>
      </c>
      <c r="W176" s="64">
        <v>19</v>
      </c>
      <c r="X176" s="65">
        <v>0</v>
      </c>
      <c r="Y176" s="64">
        <v>19</v>
      </c>
      <c r="AE176" s="64">
        <v>19</v>
      </c>
      <c r="AF176" s="64">
        <v>19</v>
      </c>
      <c r="AI176" s="43"/>
    </row>
    <row r="177" spans="1:35" x14ac:dyDescent="0.35">
      <c r="G177" s="64">
        <v>34</v>
      </c>
      <c r="H177" s="64">
        <v>23</v>
      </c>
      <c r="I177" s="65">
        <v>0</v>
      </c>
      <c r="J177" s="54">
        <v>0</v>
      </c>
      <c r="K177" s="64">
        <v>23</v>
      </c>
      <c r="P177" s="64">
        <v>34</v>
      </c>
      <c r="Q177" s="64">
        <v>23</v>
      </c>
      <c r="R177" s="65">
        <v>0</v>
      </c>
      <c r="S177" s="64">
        <v>23</v>
      </c>
      <c r="W177" s="64">
        <v>23</v>
      </c>
      <c r="X177" s="65">
        <v>0</v>
      </c>
      <c r="Y177" s="64">
        <v>23</v>
      </c>
      <c r="AE177" s="64">
        <v>23</v>
      </c>
      <c r="AF177" s="64">
        <v>23</v>
      </c>
      <c r="AI177" s="43"/>
    </row>
    <row r="178" spans="1:35" x14ac:dyDescent="0.35">
      <c r="G178" s="64">
        <v>28</v>
      </c>
      <c r="H178" s="64">
        <v>17</v>
      </c>
      <c r="I178" s="65">
        <v>0</v>
      </c>
      <c r="J178" s="54">
        <v>0</v>
      </c>
      <c r="K178" s="64">
        <v>17</v>
      </c>
      <c r="P178" s="64">
        <v>28</v>
      </c>
      <c r="Q178" s="64">
        <v>17</v>
      </c>
      <c r="R178" s="65">
        <v>0</v>
      </c>
      <c r="S178" s="64">
        <v>17</v>
      </c>
      <c r="W178" s="64">
        <v>17</v>
      </c>
      <c r="X178" s="65">
        <v>0</v>
      </c>
      <c r="Y178" s="64">
        <v>17</v>
      </c>
      <c r="AE178" s="64">
        <v>17</v>
      </c>
      <c r="AF178" s="64">
        <v>17</v>
      </c>
      <c r="AI178" s="43"/>
    </row>
    <row r="179" spans="1:35" ht="15" thickBot="1" x14ac:dyDescent="0.4">
      <c r="G179" s="55">
        <v>16</v>
      </c>
      <c r="H179" s="55">
        <v>13</v>
      </c>
      <c r="I179" s="56">
        <v>1</v>
      </c>
      <c r="J179" s="55">
        <v>13</v>
      </c>
      <c r="K179" s="54">
        <v>0</v>
      </c>
      <c r="P179" s="55">
        <v>16</v>
      </c>
      <c r="Q179" s="55">
        <v>13</v>
      </c>
      <c r="R179" s="56">
        <v>1</v>
      </c>
      <c r="S179" s="54">
        <v>0</v>
      </c>
      <c r="W179" s="55">
        <v>13</v>
      </c>
      <c r="X179" s="56">
        <v>1</v>
      </c>
      <c r="Y179" s="54">
        <v>0</v>
      </c>
      <c r="AE179" s="55">
        <v>13</v>
      </c>
      <c r="AF179" s="54">
        <v>0</v>
      </c>
      <c r="AI179" s="45"/>
    </row>
    <row r="180" spans="1:35" x14ac:dyDescent="0.35">
      <c r="A180" s="63" t="s">
        <v>129</v>
      </c>
      <c r="B180" s="63"/>
      <c r="C180" s="63"/>
      <c r="G180" s="55">
        <v>19</v>
      </c>
      <c r="H180" s="55">
        <v>16</v>
      </c>
      <c r="I180" s="56">
        <v>1</v>
      </c>
      <c r="J180" s="55">
        <v>16</v>
      </c>
      <c r="K180" s="54">
        <v>0</v>
      </c>
      <c r="P180" s="55">
        <v>19</v>
      </c>
      <c r="Q180" s="55">
        <v>16</v>
      </c>
      <c r="R180" s="56">
        <v>1</v>
      </c>
      <c r="S180" s="54">
        <v>0</v>
      </c>
      <c r="W180" s="55">
        <v>16</v>
      </c>
      <c r="X180" s="56">
        <v>1</v>
      </c>
      <c r="Y180" s="54">
        <v>0</v>
      </c>
      <c r="AE180" s="55">
        <v>16</v>
      </c>
      <c r="AF180" s="54">
        <v>0</v>
      </c>
      <c r="AI180" s="43"/>
    </row>
    <row r="181" spans="1:35" ht="15" thickBot="1" x14ac:dyDescent="0.4">
      <c r="A181" s="63" t="s">
        <v>128</v>
      </c>
      <c r="B181" s="63"/>
      <c r="C181" s="63"/>
      <c r="G181" s="55">
        <v>25</v>
      </c>
      <c r="H181" s="55">
        <v>22</v>
      </c>
      <c r="I181" s="56">
        <v>1</v>
      </c>
      <c r="J181" s="55">
        <v>22</v>
      </c>
      <c r="K181" s="54">
        <v>0</v>
      </c>
      <c r="P181" s="55">
        <v>25</v>
      </c>
      <c r="Q181" s="55">
        <v>22</v>
      </c>
      <c r="R181" s="56">
        <v>1</v>
      </c>
      <c r="S181" s="54">
        <v>0</v>
      </c>
      <c r="W181" s="55">
        <v>22</v>
      </c>
      <c r="X181" s="56">
        <v>1</v>
      </c>
      <c r="Y181" s="54">
        <v>0</v>
      </c>
      <c r="AE181" s="55">
        <v>22</v>
      </c>
      <c r="AF181" s="54">
        <v>0</v>
      </c>
      <c r="AI181" s="43"/>
    </row>
    <row r="182" spans="1:35" x14ac:dyDescent="0.35">
      <c r="A182" s="62" t="s">
        <v>127</v>
      </c>
      <c r="B182" s="61"/>
      <c r="C182" s="60"/>
      <c r="G182" s="55">
        <v>22</v>
      </c>
      <c r="H182" s="55">
        <v>19</v>
      </c>
      <c r="I182" s="56">
        <v>1</v>
      </c>
      <c r="J182" s="55">
        <v>19</v>
      </c>
      <c r="K182" s="54">
        <v>0</v>
      </c>
      <c r="P182" s="55">
        <v>22</v>
      </c>
      <c r="Q182" s="55">
        <v>19</v>
      </c>
      <c r="R182" s="56">
        <v>1</v>
      </c>
      <c r="S182" s="54">
        <v>0</v>
      </c>
      <c r="W182" s="55">
        <v>19</v>
      </c>
      <c r="X182" s="56">
        <v>1</v>
      </c>
      <c r="Y182" s="54">
        <v>0</v>
      </c>
      <c r="AE182" s="55">
        <v>19</v>
      </c>
      <c r="AF182" s="54">
        <v>0</v>
      </c>
      <c r="AI182" s="49"/>
    </row>
    <row r="183" spans="1:35" x14ac:dyDescent="0.35">
      <c r="A183" s="62" t="s">
        <v>126</v>
      </c>
      <c r="B183" s="61"/>
      <c r="C183" s="60"/>
      <c r="G183" s="55">
        <v>26</v>
      </c>
      <c r="H183" s="55">
        <v>18</v>
      </c>
      <c r="I183" s="56">
        <v>1</v>
      </c>
      <c r="J183" s="55">
        <v>18</v>
      </c>
      <c r="K183" s="54">
        <v>0</v>
      </c>
      <c r="P183" s="55">
        <v>26</v>
      </c>
      <c r="Q183" s="55">
        <v>18</v>
      </c>
      <c r="R183" s="56">
        <v>1</v>
      </c>
      <c r="S183" s="54">
        <v>0</v>
      </c>
      <c r="W183" s="55">
        <v>18</v>
      </c>
      <c r="X183" s="56">
        <v>1</v>
      </c>
      <c r="Y183" s="54">
        <v>0</v>
      </c>
      <c r="AE183" s="55">
        <v>18</v>
      </c>
      <c r="AF183" s="54">
        <v>0</v>
      </c>
      <c r="AI183" s="43"/>
    </row>
    <row r="184" spans="1:35" x14ac:dyDescent="0.35">
      <c r="A184" s="59" t="s">
        <v>125</v>
      </c>
      <c r="B184" s="58"/>
      <c r="C184" s="57"/>
      <c r="G184" s="55">
        <v>24</v>
      </c>
      <c r="H184" s="55">
        <v>17</v>
      </c>
      <c r="I184" s="56">
        <v>1</v>
      </c>
      <c r="J184" s="55">
        <v>17</v>
      </c>
      <c r="K184" s="54">
        <v>0</v>
      </c>
      <c r="P184" s="55">
        <v>24</v>
      </c>
      <c r="Q184" s="55">
        <v>17</v>
      </c>
      <c r="R184" s="56">
        <v>1</v>
      </c>
      <c r="S184" s="54">
        <v>0</v>
      </c>
      <c r="W184" s="55">
        <v>17</v>
      </c>
      <c r="X184" s="56">
        <v>1</v>
      </c>
      <c r="Y184" s="54">
        <v>0</v>
      </c>
      <c r="AE184" s="55">
        <v>17</v>
      </c>
      <c r="AF184" s="54">
        <v>0</v>
      </c>
      <c r="AI184" s="43"/>
    </row>
    <row r="185" spans="1:35" ht="15" thickBot="1" x14ac:dyDescent="0.4">
      <c r="G185" s="52">
        <v>28</v>
      </c>
      <c r="H185" s="52">
        <v>22</v>
      </c>
      <c r="I185" s="53">
        <v>1</v>
      </c>
      <c r="J185" s="52">
        <v>22</v>
      </c>
      <c r="K185" s="52">
        <v>22</v>
      </c>
      <c r="P185" s="52">
        <v>28</v>
      </c>
      <c r="Q185" s="52">
        <v>22</v>
      </c>
      <c r="R185" s="53">
        <v>1</v>
      </c>
      <c r="S185" s="52">
        <v>22</v>
      </c>
      <c r="W185" s="52">
        <v>22</v>
      </c>
      <c r="X185" s="53">
        <v>1</v>
      </c>
      <c r="Y185" s="52">
        <v>22</v>
      </c>
      <c r="AE185" s="52">
        <v>22</v>
      </c>
      <c r="AF185" s="52">
        <v>22</v>
      </c>
      <c r="AI185" s="45"/>
    </row>
    <row r="186" spans="1:35" x14ac:dyDescent="0.35">
      <c r="G186" s="52">
        <v>18</v>
      </c>
      <c r="H186" s="52">
        <v>15</v>
      </c>
      <c r="I186" s="53">
        <v>1</v>
      </c>
      <c r="J186" s="52">
        <v>15</v>
      </c>
      <c r="K186" s="52">
        <v>15</v>
      </c>
      <c r="P186" s="52">
        <v>18</v>
      </c>
      <c r="Q186" s="52">
        <v>15</v>
      </c>
      <c r="R186" s="53">
        <v>1</v>
      </c>
      <c r="S186" s="52">
        <v>15</v>
      </c>
      <c r="W186" s="52">
        <v>15</v>
      </c>
      <c r="X186" s="53">
        <v>1</v>
      </c>
      <c r="Y186" s="52">
        <v>15</v>
      </c>
      <c r="AE186" s="52">
        <v>15</v>
      </c>
      <c r="AF186" s="52">
        <v>15</v>
      </c>
      <c r="AI186" s="43"/>
    </row>
    <row r="187" spans="1:35" x14ac:dyDescent="0.35">
      <c r="G187" s="52">
        <v>30</v>
      </c>
      <c r="H187" s="52">
        <v>20</v>
      </c>
      <c r="I187" s="53">
        <v>1</v>
      </c>
      <c r="J187" s="52">
        <v>20</v>
      </c>
      <c r="K187" s="52">
        <v>20</v>
      </c>
      <c r="P187" s="52">
        <v>30</v>
      </c>
      <c r="Q187" s="52">
        <v>20</v>
      </c>
      <c r="R187" s="53">
        <v>1</v>
      </c>
      <c r="S187" s="52">
        <v>20</v>
      </c>
      <c r="W187" s="52">
        <v>20</v>
      </c>
      <c r="X187" s="53">
        <v>1</v>
      </c>
      <c r="Y187" s="52">
        <v>20</v>
      </c>
      <c r="AE187" s="52">
        <v>20</v>
      </c>
      <c r="AF187" s="52">
        <v>20</v>
      </c>
      <c r="AI187" s="43"/>
    </row>
    <row r="188" spans="1:35" x14ac:dyDescent="0.35">
      <c r="G188" s="52">
        <v>33</v>
      </c>
      <c r="H188" s="52">
        <v>21</v>
      </c>
      <c r="I188" s="53">
        <v>1</v>
      </c>
      <c r="J188" s="52">
        <v>21</v>
      </c>
      <c r="K188" s="52">
        <v>21</v>
      </c>
      <c r="P188" s="52">
        <v>33</v>
      </c>
      <c r="Q188" s="52">
        <v>21</v>
      </c>
      <c r="R188" s="53">
        <v>1</v>
      </c>
      <c r="S188" s="52">
        <v>21</v>
      </c>
      <c r="W188" s="52">
        <v>21</v>
      </c>
      <c r="X188" s="53">
        <v>1</v>
      </c>
      <c r="Y188" s="52">
        <v>21</v>
      </c>
      <c r="AE188" s="52">
        <v>21</v>
      </c>
      <c r="AF188" s="52">
        <v>21</v>
      </c>
    </row>
    <row r="189" spans="1:35" x14ac:dyDescent="0.35">
      <c r="G189" s="52">
        <v>35</v>
      </c>
      <c r="H189" s="52">
        <v>23</v>
      </c>
      <c r="I189" s="53">
        <v>1</v>
      </c>
      <c r="J189" s="52">
        <v>23</v>
      </c>
      <c r="K189" s="52">
        <v>23</v>
      </c>
      <c r="P189" s="52">
        <v>35</v>
      </c>
      <c r="Q189" s="52">
        <v>23</v>
      </c>
      <c r="R189" s="53">
        <v>1</v>
      </c>
      <c r="S189" s="52">
        <v>23</v>
      </c>
      <c r="W189" s="52">
        <v>23</v>
      </c>
      <c r="X189" s="53">
        <v>1</v>
      </c>
      <c r="Y189" s="52">
        <v>23</v>
      </c>
      <c r="AE189" s="52">
        <v>23</v>
      </c>
      <c r="AF189" s="52">
        <v>23</v>
      </c>
    </row>
    <row r="190" spans="1:35" x14ac:dyDescent="0.35">
      <c r="G190" s="52">
        <v>17</v>
      </c>
      <c r="H190" s="52">
        <v>14</v>
      </c>
      <c r="I190" s="53">
        <v>1</v>
      </c>
      <c r="J190" s="52">
        <v>14</v>
      </c>
      <c r="K190" s="52">
        <v>14</v>
      </c>
      <c r="P190" s="52">
        <v>17</v>
      </c>
      <c r="Q190" s="52">
        <v>14</v>
      </c>
      <c r="R190" s="53">
        <v>1</v>
      </c>
      <c r="S190" s="52">
        <v>14</v>
      </c>
      <c r="W190" s="52">
        <v>14</v>
      </c>
      <c r="X190" s="53">
        <v>1</v>
      </c>
      <c r="Y190" s="52">
        <v>14</v>
      </c>
      <c r="AE190" s="52">
        <v>14</v>
      </c>
      <c r="AF190" s="52">
        <v>14</v>
      </c>
    </row>
    <row r="193" spans="1:47" x14ac:dyDescent="0.35">
      <c r="A193" s="43"/>
      <c r="B193" s="43"/>
      <c r="C193" s="43"/>
      <c r="D193" s="43"/>
      <c r="E193" s="43"/>
      <c r="F193" s="43"/>
      <c r="G193" s="43"/>
      <c r="H193" s="43"/>
      <c r="I193" s="43"/>
      <c r="AC193" s="43" t="s">
        <v>102</v>
      </c>
      <c r="AD193" s="43"/>
      <c r="AE193" s="43"/>
      <c r="AF193" s="43"/>
      <c r="AG193" s="43"/>
      <c r="AH193" s="43"/>
      <c r="AI193" s="43"/>
      <c r="AJ193" s="43"/>
      <c r="AK193" s="43"/>
      <c r="AM193" s="43" t="s">
        <v>102</v>
      </c>
      <c r="AN193" s="43"/>
      <c r="AO193" s="43"/>
      <c r="AP193" s="43"/>
      <c r="AQ193" s="43"/>
      <c r="AR193" s="43"/>
      <c r="AS193" s="43"/>
      <c r="AT193" s="43"/>
      <c r="AU193" s="43"/>
    </row>
    <row r="194" spans="1:47" ht="15" thickBot="1" x14ac:dyDescent="0.4">
      <c r="A194" s="43" t="s">
        <v>102</v>
      </c>
      <c r="B194" s="43"/>
      <c r="C194" s="43"/>
      <c r="D194" s="43"/>
      <c r="E194" s="43"/>
      <c r="F194" s="43"/>
      <c r="G194" s="43"/>
      <c r="H194" s="43"/>
      <c r="I194" s="43"/>
      <c r="K194" s="43" t="s">
        <v>102</v>
      </c>
      <c r="L194" s="43"/>
      <c r="M194" s="43"/>
      <c r="N194" s="43"/>
      <c r="O194" s="43"/>
      <c r="P194" s="43"/>
      <c r="Q194" s="43"/>
      <c r="R194" s="43"/>
      <c r="S194" s="43"/>
      <c r="U194" s="43" t="s">
        <v>102</v>
      </c>
      <c r="V194" s="43"/>
      <c r="W194" s="43"/>
      <c r="X194" s="43"/>
      <c r="Y194" s="43"/>
      <c r="Z194" s="43"/>
      <c r="AA194" s="43"/>
      <c r="AC194" s="43"/>
      <c r="AD194" s="43"/>
      <c r="AE194" s="43"/>
      <c r="AF194" s="43"/>
      <c r="AG194" s="43"/>
      <c r="AH194" s="43"/>
      <c r="AI194" s="43"/>
      <c r="AJ194" s="43"/>
      <c r="AK194" s="43"/>
      <c r="AM194" s="43"/>
      <c r="AN194" s="43"/>
      <c r="AO194" s="43"/>
      <c r="AP194" s="43"/>
      <c r="AQ194" s="43"/>
      <c r="AR194" s="43"/>
      <c r="AS194" s="43"/>
      <c r="AT194" s="43"/>
      <c r="AU194" s="43"/>
    </row>
    <row r="195" spans="1:47" ht="15" thickBot="1" x14ac:dyDescent="0.4">
      <c r="A195" s="43"/>
      <c r="B195" s="43"/>
      <c r="C195" s="43"/>
      <c r="D195" s="43"/>
      <c r="E195" s="43"/>
      <c r="F195" s="43"/>
      <c r="G195" s="43"/>
      <c r="H195" s="43"/>
      <c r="I195" s="43"/>
      <c r="K195" s="43"/>
      <c r="L195" s="43"/>
      <c r="M195" s="43"/>
      <c r="N195" s="43"/>
      <c r="O195" s="43"/>
      <c r="P195" s="43"/>
      <c r="Q195" s="43"/>
      <c r="R195" s="43"/>
      <c r="S195" s="43"/>
      <c r="U195" s="43"/>
      <c r="V195" s="43"/>
      <c r="W195" s="43"/>
      <c r="X195" s="43"/>
      <c r="Y195" s="43"/>
      <c r="Z195" s="43"/>
      <c r="AA195" s="43"/>
      <c r="AC195" s="51" t="s">
        <v>101</v>
      </c>
      <c r="AD195" s="51"/>
      <c r="AE195" s="43"/>
      <c r="AF195" s="43"/>
      <c r="AG195" s="43"/>
      <c r="AH195" s="43"/>
      <c r="AI195" s="43"/>
      <c r="AJ195" s="43"/>
      <c r="AK195" s="43"/>
      <c r="AM195" s="51" t="s">
        <v>101</v>
      </c>
      <c r="AN195" s="51"/>
      <c r="AO195" s="43"/>
      <c r="AP195" s="43"/>
      <c r="AQ195" s="43"/>
      <c r="AR195" s="43"/>
      <c r="AS195" s="43"/>
      <c r="AT195" s="43"/>
      <c r="AU195" s="43"/>
    </row>
    <row r="196" spans="1:47" x14ac:dyDescent="0.35">
      <c r="A196" s="51" t="s">
        <v>101</v>
      </c>
      <c r="B196" s="51"/>
      <c r="C196" s="43"/>
      <c r="D196" s="43"/>
      <c r="E196" s="43"/>
      <c r="F196" s="43"/>
      <c r="G196" s="43"/>
      <c r="H196" s="43"/>
      <c r="I196" s="43"/>
      <c r="K196" s="51" t="s">
        <v>101</v>
      </c>
      <c r="L196" s="51"/>
      <c r="M196" s="43"/>
      <c r="N196" s="43"/>
      <c r="O196" s="43"/>
      <c r="P196" s="43"/>
      <c r="Q196" s="43"/>
      <c r="R196" s="43"/>
      <c r="S196" s="43"/>
      <c r="U196" s="51" t="s">
        <v>101</v>
      </c>
      <c r="V196" s="51"/>
      <c r="W196" s="43"/>
      <c r="X196" s="43"/>
      <c r="Y196" s="43"/>
      <c r="Z196" s="43"/>
      <c r="AA196" s="43"/>
      <c r="AC196" s="43" t="s">
        <v>100</v>
      </c>
      <c r="AD196" s="43">
        <v>0.99344124762026809</v>
      </c>
      <c r="AE196" s="43"/>
      <c r="AF196" s="43"/>
      <c r="AG196" s="43"/>
      <c r="AH196" s="43"/>
      <c r="AI196" s="43"/>
      <c r="AJ196" s="43"/>
      <c r="AK196" s="43"/>
      <c r="AM196" s="43" t="s">
        <v>100</v>
      </c>
      <c r="AN196" s="43">
        <v>0.99330903821594352</v>
      </c>
      <c r="AO196" s="43"/>
      <c r="AP196" s="43"/>
      <c r="AQ196" s="43"/>
      <c r="AR196" s="43"/>
      <c r="AS196" s="43"/>
      <c r="AT196" s="43"/>
      <c r="AU196" s="43"/>
    </row>
    <row r="197" spans="1:47" x14ac:dyDescent="0.35">
      <c r="A197" s="43" t="s">
        <v>100</v>
      </c>
      <c r="B197" s="43">
        <v>0.88648928480465616</v>
      </c>
      <c r="C197" s="43"/>
      <c r="D197" s="43"/>
      <c r="E197" s="43"/>
      <c r="F197" s="43"/>
      <c r="G197" s="43"/>
      <c r="H197" s="43"/>
      <c r="I197" s="43"/>
      <c r="K197" s="43" t="s">
        <v>100</v>
      </c>
      <c r="L197" s="43">
        <v>0.8858236500749227</v>
      </c>
      <c r="M197" s="43"/>
      <c r="N197" s="43"/>
      <c r="O197" s="43"/>
      <c r="P197" s="43"/>
      <c r="Q197" s="43"/>
      <c r="R197" s="43"/>
      <c r="S197" s="43"/>
      <c r="U197" s="43" t="s">
        <v>100</v>
      </c>
      <c r="V197" s="43">
        <v>0.8753626736596346</v>
      </c>
      <c r="W197" s="43"/>
      <c r="X197" s="43"/>
      <c r="Y197" s="43"/>
      <c r="Z197" s="43"/>
      <c r="AA197" s="43"/>
      <c r="AC197" s="43" t="s">
        <v>99</v>
      </c>
      <c r="AD197" s="43">
        <v>0.98692551247331484</v>
      </c>
      <c r="AE197" s="43"/>
      <c r="AF197" s="43"/>
      <c r="AG197" s="43"/>
      <c r="AH197" s="43"/>
      <c r="AI197" s="43"/>
      <c r="AJ197" s="43"/>
      <c r="AK197" s="43"/>
      <c r="AM197" s="43" t="s">
        <v>99</v>
      </c>
      <c r="AN197" s="43">
        <v>0.98666284540148275</v>
      </c>
      <c r="AO197" s="43"/>
      <c r="AP197" s="43"/>
      <c r="AQ197" s="43"/>
      <c r="AR197" s="43"/>
      <c r="AS197" s="43"/>
      <c r="AT197" s="43"/>
      <c r="AU197" s="43"/>
    </row>
    <row r="198" spans="1:47" x14ac:dyDescent="0.35">
      <c r="A198" s="43" t="s">
        <v>99</v>
      </c>
      <c r="B198" s="43">
        <v>0.78586325207347085</v>
      </c>
      <c r="C198" s="43"/>
      <c r="D198" s="43"/>
      <c r="E198" s="43"/>
      <c r="F198" s="43"/>
      <c r="G198" s="43"/>
      <c r="H198" s="43"/>
      <c r="I198" s="43"/>
      <c r="K198" s="43" t="s">
        <v>99</v>
      </c>
      <c r="L198" s="43">
        <v>0.78468353903205901</v>
      </c>
      <c r="M198" s="43"/>
      <c r="N198" s="43"/>
      <c r="O198" s="43"/>
      <c r="P198" s="43"/>
      <c r="Q198" s="43"/>
      <c r="R198" s="43"/>
      <c r="S198" s="43"/>
      <c r="U198" s="43" t="s">
        <v>99</v>
      </c>
      <c r="V198" s="43">
        <v>0.76625981043654401</v>
      </c>
      <c r="W198" s="43"/>
      <c r="X198" s="43"/>
      <c r="Y198" s="43"/>
      <c r="Z198" s="43"/>
      <c r="AA198" s="43"/>
      <c r="AC198" s="43" t="s">
        <v>98</v>
      </c>
      <c r="AD198" s="43">
        <v>0.93806127556601149</v>
      </c>
      <c r="AE198" s="43"/>
      <c r="AF198" s="43"/>
      <c r="AG198" s="43"/>
      <c r="AH198" s="43"/>
      <c r="AI198" s="43"/>
      <c r="AJ198" s="43"/>
      <c r="AK198" s="43"/>
      <c r="AM198" s="43" t="s">
        <v>98</v>
      </c>
      <c r="AN198" s="50">
        <v>0.94060206564700477</v>
      </c>
      <c r="AO198" s="43"/>
      <c r="AP198" s="43"/>
      <c r="AQ198" s="43"/>
      <c r="AR198" s="43"/>
      <c r="AS198" s="43"/>
      <c r="AT198" s="43"/>
      <c r="AU198" s="43"/>
    </row>
    <row r="199" spans="1:47" x14ac:dyDescent="0.35">
      <c r="A199" s="43" t="s">
        <v>98</v>
      </c>
      <c r="B199" s="43">
        <v>0.72638082209387944</v>
      </c>
      <c r="C199" s="43"/>
      <c r="D199" s="43"/>
      <c r="E199" s="43"/>
      <c r="F199" s="43"/>
      <c r="G199" s="43"/>
      <c r="H199" s="43"/>
      <c r="I199" s="43"/>
      <c r="K199" s="43" t="s">
        <v>98</v>
      </c>
      <c r="L199" s="43">
        <v>0.73935375777565049</v>
      </c>
      <c r="M199" s="43"/>
      <c r="N199" s="43"/>
      <c r="O199" s="43"/>
      <c r="P199" s="43"/>
      <c r="Q199" s="43"/>
      <c r="R199" s="43"/>
      <c r="S199" s="43"/>
      <c r="U199" s="43" t="s">
        <v>98</v>
      </c>
      <c r="V199" s="43">
        <v>0.73119878200202559</v>
      </c>
      <c r="W199" s="43"/>
      <c r="X199" s="43"/>
      <c r="Y199" s="43"/>
      <c r="Z199" s="43"/>
      <c r="AA199" s="43"/>
      <c r="AC199" s="43" t="s">
        <v>93</v>
      </c>
      <c r="AD199" s="43">
        <v>3.1368946986535744</v>
      </c>
      <c r="AE199" s="43"/>
      <c r="AF199" s="43"/>
      <c r="AG199" s="43"/>
      <c r="AH199" s="43"/>
      <c r="AI199" s="43"/>
      <c r="AJ199" s="43"/>
      <c r="AK199" s="43"/>
      <c r="AM199" s="43" t="s">
        <v>93</v>
      </c>
      <c r="AN199" s="43">
        <v>3.0954051609498312</v>
      </c>
      <c r="AO199" s="43"/>
      <c r="AP199" s="43"/>
      <c r="AQ199" s="43"/>
      <c r="AR199" s="43"/>
      <c r="AS199" s="43"/>
      <c r="AT199" s="43"/>
      <c r="AU199" s="43"/>
    </row>
    <row r="200" spans="1:47" ht="15" thickBot="1" x14ac:dyDescent="0.4">
      <c r="A200" s="43" t="s">
        <v>93</v>
      </c>
      <c r="B200" s="43">
        <v>3.1892005016294664</v>
      </c>
      <c r="C200" s="43"/>
      <c r="D200" s="43"/>
      <c r="E200" s="43"/>
      <c r="F200" s="43"/>
      <c r="G200" s="43"/>
      <c r="H200" s="43"/>
      <c r="I200" s="43"/>
      <c r="K200" s="43" t="s">
        <v>93</v>
      </c>
      <c r="L200" s="43">
        <v>3.1126786789413274</v>
      </c>
      <c r="M200" s="43"/>
      <c r="N200" s="43"/>
      <c r="O200" s="43"/>
      <c r="P200" s="43"/>
      <c r="Q200" s="43"/>
      <c r="R200" s="43"/>
      <c r="S200" s="43"/>
      <c r="U200" s="43" t="s">
        <v>93</v>
      </c>
      <c r="V200" s="43">
        <v>3.160997650285347</v>
      </c>
      <c r="W200" s="43"/>
      <c r="X200" s="43"/>
      <c r="Y200" s="43"/>
      <c r="Z200" s="43"/>
      <c r="AA200" s="43"/>
      <c r="AC200" s="45" t="s">
        <v>74</v>
      </c>
      <c r="AD200" s="45">
        <v>24</v>
      </c>
      <c r="AE200" s="43"/>
      <c r="AF200" s="43"/>
      <c r="AG200" s="43"/>
      <c r="AH200" s="43"/>
      <c r="AI200" s="43"/>
      <c r="AJ200" s="43"/>
      <c r="AK200" s="43"/>
      <c r="AM200" s="45" t="s">
        <v>74</v>
      </c>
      <c r="AN200" s="45">
        <v>24</v>
      </c>
      <c r="AO200" s="43"/>
      <c r="AP200" s="43"/>
      <c r="AQ200" s="43"/>
      <c r="AR200" s="43"/>
      <c r="AS200" s="43"/>
      <c r="AT200" s="43"/>
      <c r="AU200" s="43"/>
    </row>
    <row r="201" spans="1:47" ht="15" thickBot="1" x14ac:dyDescent="0.4">
      <c r="A201" s="45" t="s">
        <v>74</v>
      </c>
      <c r="B201" s="45">
        <v>24</v>
      </c>
      <c r="C201" s="43"/>
      <c r="D201" s="43"/>
      <c r="E201" s="43"/>
      <c r="F201" s="43"/>
      <c r="G201" s="43"/>
      <c r="H201" s="43"/>
      <c r="I201" s="43"/>
      <c r="K201" s="45" t="s">
        <v>74</v>
      </c>
      <c r="L201" s="45">
        <v>24</v>
      </c>
      <c r="M201" s="43"/>
      <c r="N201" s="43"/>
      <c r="O201" s="43"/>
      <c r="P201" s="43"/>
      <c r="Q201" s="43"/>
      <c r="R201" s="43"/>
      <c r="S201" s="43"/>
      <c r="U201" s="45" t="s">
        <v>74</v>
      </c>
      <c r="V201" s="45">
        <v>24</v>
      </c>
      <c r="W201" s="43"/>
      <c r="X201" s="43"/>
      <c r="Y201" s="43"/>
      <c r="Z201" s="43"/>
      <c r="AA201" s="43"/>
      <c r="AC201" s="43"/>
      <c r="AD201" s="43"/>
      <c r="AE201" s="43"/>
      <c r="AF201" s="43"/>
      <c r="AG201" s="43"/>
      <c r="AH201" s="43"/>
      <c r="AI201" s="43"/>
      <c r="AJ201" s="43"/>
      <c r="AK201" s="43"/>
      <c r="AM201" s="43"/>
      <c r="AN201" s="43"/>
      <c r="AO201" s="43"/>
      <c r="AP201" s="43"/>
      <c r="AQ201" s="43"/>
      <c r="AR201" s="43"/>
      <c r="AS201" s="43"/>
      <c r="AT201" s="43"/>
      <c r="AU201" s="43"/>
    </row>
    <row r="202" spans="1:47" ht="15" thickBot="1" x14ac:dyDescent="0.4">
      <c r="A202" s="43"/>
      <c r="B202" s="43"/>
      <c r="C202" s="43"/>
      <c r="D202" s="43"/>
      <c r="E202" s="43"/>
      <c r="F202" s="43"/>
      <c r="G202" s="43"/>
      <c r="H202" s="43"/>
      <c r="I202" s="43"/>
      <c r="K202" s="43"/>
      <c r="L202" s="43"/>
      <c r="M202" s="43"/>
      <c r="N202" s="43"/>
      <c r="O202" s="43"/>
      <c r="P202" s="43"/>
      <c r="Q202" s="43"/>
      <c r="R202" s="43"/>
      <c r="S202" s="43"/>
      <c r="U202" s="43"/>
      <c r="V202" s="43"/>
      <c r="W202" s="43"/>
      <c r="X202" s="43"/>
      <c r="Y202" s="43"/>
      <c r="Z202" s="43"/>
      <c r="AA202" s="43"/>
      <c r="AC202" s="43" t="s">
        <v>56</v>
      </c>
      <c r="AD202" s="43"/>
      <c r="AE202" s="43"/>
      <c r="AF202" s="43"/>
      <c r="AG202" s="43"/>
      <c r="AH202" s="43"/>
      <c r="AI202" s="43"/>
      <c r="AJ202" s="43"/>
      <c r="AK202" s="43"/>
      <c r="AM202" s="43" t="s">
        <v>56</v>
      </c>
      <c r="AN202" s="43"/>
      <c r="AO202" s="43"/>
      <c r="AP202" s="43"/>
      <c r="AQ202" s="43"/>
      <c r="AR202" s="43"/>
      <c r="AS202" s="43"/>
      <c r="AT202" s="43"/>
      <c r="AU202" s="43"/>
    </row>
    <row r="203" spans="1:47" ht="15" thickBot="1" x14ac:dyDescent="0.4">
      <c r="A203" s="43" t="s">
        <v>56</v>
      </c>
      <c r="B203" s="43"/>
      <c r="C203" s="43"/>
      <c r="D203" s="43"/>
      <c r="E203" s="43"/>
      <c r="F203" s="43"/>
      <c r="G203" s="43"/>
      <c r="H203" s="43"/>
      <c r="I203" s="43"/>
      <c r="K203" s="43" t="s">
        <v>56</v>
      </c>
      <c r="L203" s="43"/>
      <c r="M203" s="43"/>
      <c r="N203" s="43"/>
      <c r="O203" s="43"/>
      <c r="P203" s="43"/>
      <c r="Q203" s="43"/>
      <c r="R203" s="43"/>
      <c r="S203" s="43"/>
      <c r="U203" s="43" t="s">
        <v>56</v>
      </c>
      <c r="V203" s="43"/>
      <c r="W203" s="43"/>
      <c r="X203" s="43"/>
      <c r="Y203" s="43"/>
      <c r="Z203" s="43"/>
      <c r="AA203" s="43"/>
      <c r="AC203" s="49"/>
      <c r="AD203" s="49" t="s">
        <v>53</v>
      </c>
      <c r="AE203" s="49" t="s">
        <v>54</v>
      </c>
      <c r="AF203" s="49" t="s">
        <v>52</v>
      </c>
      <c r="AG203" s="49" t="s">
        <v>51</v>
      </c>
      <c r="AH203" s="49" t="s">
        <v>97</v>
      </c>
      <c r="AI203" s="43"/>
      <c r="AJ203" s="43"/>
      <c r="AK203" s="43"/>
      <c r="AM203" s="49"/>
      <c r="AN203" s="49" t="s">
        <v>53</v>
      </c>
      <c r="AO203" s="49" t="s">
        <v>54</v>
      </c>
      <c r="AP203" s="49" t="s">
        <v>52</v>
      </c>
      <c r="AQ203" s="49" t="s">
        <v>51</v>
      </c>
      <c r="AR203" s="49" t="s">
        <v>97</v>
      </c>
      <c r="AS203" s="43"/>
      <c r="AT203" s="43"/>
      <c r="AU203" s="43"/>
    </row>
    <row r="204" spans="1:47" x14ac:dyDescent="0.35">
      <c r="A204" s="49"/>
      <c r="B204" s="49" t="s">
        <v>53</v>
      </c>
      <c r="C204" s="49" t="s">
        <v>54</v>
      </c>
      <c r="D204" s="49" t="s">
        <v>52</v>
      </c>
      <c r="E204" s="49" t="s">
        <v>51</v>
      </c>
      <c r="F204" s="49" t="s">
        <v>97</v>
      </c>
      <c r="G204" s="43"/>
      <c r="H204" s="43"/>
      <c r="I204" s="43"/>
      <c r="K204" s="49"/>
      <c r="L204" s="49" t="s">
        <v>53</v>
      </c>
      <c r="M204" s="49" t="s">
        <v>54</v>
      </c>
      <c r="N204" s="49" t="s">
        <v>52</v>
      </c>
      <c r="O204" s="49" t="s">
        <v>51</v>
      </c>
      <c r="P204" s="49" t="s">
        <v>97</v>
      </c>
      <c r="Q204" s="43"/>
      <c r="R204" s="43"/>
      <c r="S204" s="43"/>
      <c r="U204" s="49"/>
      <c r="V204" s="49" t="s">
        <v>53</v>
      </c>
      <c r="W204" s="49" t="s">
        <v>54</v>
      </c>
      <c r="X204" s="49" t="s">
        <v>52</v>
      </c>
      <c r="Y204" s="49" t="s">
        <v>51</v>
      </c>
      <c r="Z204" s="49" t="s">
        <v>97</v>
      </c>
      <c r="AA204" s="43"/>
      <c r="AC204" s="43" t="s">
        <v>96</v>
      </c>
      <c r="AD204" s="43">
        <v>3</v>
      </c>
      <c r="AE204" s="43">
        <v>15598.35772464074</v>
      </c>
      <c r="AF204" s="43">
        <v>5199.4525748802471</v>
      </c>
      <c r="AG204" s="43">
        <v>528.39383365603669</v>
      </c>
      <c r="AH204" s="43">
        <v>3.3174372475349695E-19</v>
      </c>
      <c r="AI204" s="43"/>
      <c r="AJ204" s="43"/>
      <c r="AK204" s="43"/>
      <c r="AM204" s="43" t="s">
        <v>96</v>
      </c>
      <c r="AN204" s="43">
        <v>2</v>
      </c>
      <c r="AO204" s="43">
        <v>15594.206271570434</v>
      </c>
      <c r="AP204" s="43">
        <v>7797.1031357852171</v>
      </c>
      <c r="AQ204" s="50">
        <v>813.76362696004423</v>
      </c>
      <c r="AR204" s="43">
        <v>1.2699692774458175E-20</v>
      </c>
      <c r="AS204" s="43"/>
      <c r="AT204" s="43"/>
      <c r="AU204" s="43"/>
    </row>
    <row r="205" spans="1:47" x14ac:dyDescent="0.35">
      <c r="A205" s="43" t="s">
        <v>96</v>
      </c>
      <c r="B205" s="43">
        <v>5</v>
      </c>
      <c r="C205" s="43">
        <v>671.88033622064791</v>
      </c>
      <c r="D205" s="43">
        <v>134.37606724412959</v>
      </c>
      <c r="E205" s="43">
        <v>13.211687087146617</v>
      </c>
      <c r="F205" s="43">
        <v>1.6942383995875646E-5</v>
      </c>
      <c r="G205" s="43"/>
      <c r="H205" s="43"/>
      <c r="I205" s="43"/>
      <c r="K205" s="43" t="s">
        <v>96</v>
      </c>
      <c r="L205" s="43">
        <v>4</v>
      </c>
      <c r="M205" s="43">
        <v>670.87173072495079</v>
      </c>
      <c r="N205" s="43">
        <v>167.7179326812377</v>
      </c>
      <c r="O205" s="43">
        <v>17.310552075984742</v>
      </c>
      <c r="P205" s="43">
        <v>3.9023059298025973E-6</v>
      </c>
      <c r="Q205" s="43"/>
      <c r="R205" s="43"/>
      <c r="S205" s="43"/>
      <c r="U205" s="43" t="s">
        <v>96</v>
      </c>
      <c r="V205" s="43">
        <v>3</v>
      </c>
      <c r="W205" s="43">
        <v>655.12021043114362</v>
      </c>
      <c r="X205" s="43">
        <v>218.37340347704787</v>
      </c>
      <c r="Y205" s="43">
        <v>21.85502949143795</v>
      </c>
      <c r="Z205" s="43">
        <v>1.5982592817568381E-6</v>
      </c>
      <c r="AA205" s="43"/>
      <c r="AC205" s="43" t="s">
        <v>95</v>
      </c>
      <c r="AD205" s="43">
        <v>21</v>
      </c>
      <c r="AE205" s="43">
        <v>206.64227535925892</v>
      </c>
      <c r="AF205" s="43">
        <v>9.8401083504409002</v>
      </c>
      <c r="AG205" s="43"/>
      <c r="AH205" s="43"/>
      <c r="AI205" s="43"/>
      <c r="AJ205" s="43"/>
      <c r="AK205" s="43"/>
      <c r="AM205" s="43" t="s">
        <v>95</v>
      </c>
      <c r="AN205" s="43">
        <v>22</v>
      </c>
      <c r="AO205" s="43">
        <v>210.79372842956667</v>
      </c>
      <c r="AP205" s="43">
        <v>9.5815331104348491</v>
      </c>
      <c r="AQ205" s="43"/>
      <c r="AR205" s="43"/>
      <c r="AS205" s="43"/>
      <c r="AT205" s="43"/>
      <c r="AU205" s="43"/>
    </row>
    <row r="206" spans="1:47" ht="15" thickBot="1" x14ac:dyDescent="0.4">
      <c r="A206" s="43" t="s">
        <v>95</v>
      </c>
      <c r="B206" s="43">
        <v>18</v>
      </c>
      <c r="C206" s="43">
        <v>183.07799711268549</v>
      </c>
      <c r="D206" s="43">
        <v>10.170999839593639</v>
      </c>
      <c r="E206" s="43"/>
      <c r="F206" s="43"/>
      <c r="G206" s="43"/>
      <c r="H206" s="43"/>
      <c r="I206" s="43"/>
      <c r="K206" s="43" t="s">
        <v>95</v>
      </c>
      <c r="L206" s="43">
        <v>19</v>
      </c>
      <c r="M206" s="43">
        <v>184.08660260838263</v>
      </c>
      <c r="N206" s="43">
        <v>9.6887685583359282</v>
      </c>
      <c r="O206" s="43"/>
      <c r="P206" s="43"/>
      <c r="Q206" s="43"/>
      <c r="R206" s="43"/>
      <c r="S206" s="43"/>
      <c r="U206" s="43" t="s">
        <v>95</v>
      </c>
      <c r="V206" s="43">
        <v>20</v>
      </c>
      <c r="W206" s="43">
        <v>199.83812290218972</v>
      </c>
      <c r="X206" s="43">
        <v>9.9919061451094855</v>
      </c>
      <c r="Y206" s="43"/>
      <c r="Z206" s="43"/>
      <c r="AA206" s="43"/>
      <c r="AC206" s="45" t="s">
        <v>46</v>
      </c>
      <c r="AD206" s="45">
        <v>24</v>
      </c>
      <c r="AE206" s="45">
        <v>15805</v>
      </c>
      <c r="AF206" s="45"/>
      <c r="AG206" s="45"/>
      <c r="AH206" s="45"/>
      <c r="AI206" s="43"/>
      <c r="AJ206" s="43"/>
      <c r="AK206" s="43"/>
      <c r="AM206" s="45" t="s">
        <v>46</v>
      </c>
      <c r="AN206" s="45">
        <v>24</v>
      </c>
      <c r="AO206" s="45">
        <v>15805</v>
      </c>
      <c r="AP206" s="45"/>
      <c r="AQ206" s="45"/>
      <c r="AR206" s="45"/>
      <c r="AS206" s="43"/>
      <c r="AT206" s="43"/>
      <c r="AU206" s="43"/>
    </row>
    <row r="207" spans="1:47" ht="15" thickBot="1" x14ac:dyDescent="0.4">
      <c r="A207" s="45" t="s">
        <v>46</v>
      </c>
      <c r="B207" s="45">
        <v>23</v>
      </c>
      <c r="C207" s="45">
        <v>854.95833333333337</v>
      </c>
      <c r="D207" s="45"/>
      <c r="E207" s="45"/>
      <c r="F207" s="45"/>
      <c r="G207" s="43"/>
      <c r="H207" s="43"/>
      <c r="I207" s="43"/>
      <c r="K207" s="45" t="s">
        <v>46</v>
      </c>
      <c r="L207" s="45">
        <v>23</v>
      </c>
      <c r="M207" s="45">
        <v>854.95833333333348</v>
      </c>
      <c r="N207" s="45"/>
      <c r="O207" s="45"/>
      <c r="P207" s="45"/>
      <c r="Q207" s="43"/>
      <c r="R207" s="43"/>
      <c r="S207" s="43"/>
      <c r="U207" s="45" t="s">
        <v>46</v>
      </c>
      <c r="V207" s="45">
        <v>23</v>
      </c>
      <c r="W207" s="45">
        <v>854.95833333333337</v>
      </c>
      <c r="X207" s="45"/>
      <c r="Y207" s="45"/>
      <c r="Z207" s="45"/>
      <c r="AA207" s="43"/>
      <c r="AC207" s="43"/>
      <c r="AD207" s="43"/>
      <c r="AE207" s="43"/>
      <c r="AF207" s="43"/>
      <c r="AG207" s="43"/>
      <c r="AH207" s="43"/>
      <c r="AI207" s="43"/>
      <c r="AJ207" s="43"/>
      <c r="AK207" s="43"/>
      <c r="AM207" s="43"/>
      <c r="AN207" s="43"/>
      <c r="AO207" s="43"/>
      <c r="AP207" s="43"/>
      <c r="AQ207" s="43"/>
      <c r="AR207" s="43"/>
      <c r="AS207" s="43"/>
      <c r="AT207" s="43"/>
      <c r="AU207" s="43"/>
    </row>
    <row r="208" spans="1:47" ht="15" thickBot="1" x14ac:dyDescent="0.4">
      <c r="A208" s="43"/>
      <c r="B208" s="43"/>
      <c r="C208" s="43"/>
      <c r="D208" s="43"/>
      <c r="E208" s="43"/>
      <c r="F208" s="43"/>
      <c r="G208" s="43"/>
      <c r="H208" s="43"/>
      <c r="I208" s="43"/>
      <c r="K208" s="43"/>
      <c r="L208" s="43"/>
      <c r="M208" s="43"/>
      <c r="N208" s="43"/>
      <c r="O208" s="43"/>
      <c r="P208" s="43"/>
      <c r="Q208" s="43"/>
      <c r="R208" s="43"/>
      <c r="S208" s="43"/>
      <c r="U208" s="43"/>
      <c r="V208" s="43"/>
      <c r="W208" s="43"/>
      <c r="X208" s="43"/>
      <c r="Y208" s="43"/>
      <c r="Z208" s="43"/>
      <c r="AA208" s="43"/>
      <c r="AC208" s="49"/>
      <c r="AD208" s="49" t="s">
        <v>94</v>
      </c>
      <c r="AE208" s="49" t="s">
        <v>93</v>
      </c>
      <c r="AF208" s="49" t="s">
        <v>84</v>
      </c>
      <c r="AG208" s="49" t="s">
        <v>50</v>
      </c>
      <c r="AH208" s="49" t="s">
        <v>92</v>
      </c>
      <c r="AI208" s="49" t="s">
        <v>91</v>
      </c>
      <c r="AJ208" s="49" t="s">
        <v>90</v>
      </c>
      <c r="AK208" s="49" t="s">
        <v>89</v>
      </c>
      <c r="AM208" s="49"/>
      <c r="AN208" s="49" t="s">
        <v>94</v>
      </c>
      <c r="AO208" s="49" t="s">
        <v>93</v>
      </c>
      <c r="AP208" s="49" t="s">
        <v>84</v>
      </c>
      <c r="AQ208" s="49" t="s">
        <v>50</v>
      </c>
      <c r="AR208" s="49" t="s">
        <v>92</v>
      </c>
      <c r="AS208" s="49" t="s">
        <v>91</v>
      </c>
      <c r="AT208" s="49" t="s">
        <v>90</v>
      </c>
      <c r="AU208" s="49" t="s">
        <v>89</v>
      </c>
    </row>
    <row r="209" spans="1:47" x14ac:dyDescent="0.35">
      <c r="A209" s="49"/>
      <c r="B209" s="49" t="s">
        <v>94</v>
      </c>
      <c r="C209" s="49" t="s">
        <v>93</v>
      </c>
      <c r="D209" s="49" t="s">
        <v>84</v>
      </c>
      <c r="E209" s="49" t="s">
        <v>50</v>
      </c>
      <c r="F209" s="49" t="s">
        <v>92</v>
      </c>
      <c r="G209" s="49" t="s">
        <v>91</v>
      </c>
      <c r="H209" s="49" t="s">
        <v>90</v>
      </c>
      <c r="I209" s="49" t="s">
        <v>89</v>
      </c>
      <c r="K209" s="49"/>
      <c r="L209" s="49" t="s">
        <v>94</v>
      </c>
      <c r="M209" s="49" t="s">
        <v>93</v>
      </c>
      <c r="N209" s="49" t="s">
        <v>84</v>
      </c>
      <c r="O209" s="49" t="s">
        <v>50</v>
      </c>
      <c r="P209" s="49" t="s">
        <v>92</v>
      </c>
      <c r="Q209" s="49" t="s">
        <v>91</v>
      </c>
      <c r="R209" s="49" t="s">
        <v>90</v>
      </c>
      <c r="S209" s="49" t="s">
        <v>89</v>
      </c>
      <c r="U209" s="49"/>
      <c r="V209" s="49" t="s">
        <v>94</v>
      </c>
      <c r="W209" s="49" t="s">
        <v>93</v>
      </c>
      <c r="X209" s="49" t="s">
        <v>84</v>
      </c>
      <c r="Y209" s="49" t="s">
        <v>50</v>
      </c>
      <c r="Z209" s="49" t="s">
        <v>92</v>
      </c>
      <c r="AA209" s="49" t="s">
        <v>91</v>
      </c>
      <c r="AB209" s="43"/>
      <c r="AC209" s="43" t="s">
        <v>88</v>
      </c>
      <c r="AD209" s="43">
        <v>0</v>
      </c>
      <c r="AE209" s="43" t="e">
        <v>#N/A</v>
      </c>
      <c r="AF209" s="43" t="e">
        <v>#N/A</v>
      </c>
      <c r="AG209" s="43" t="e">
        <v>#N/A</v>
      </c>
      <c r="AH209" s="43" t="e">
        <v>#N/A</v>
      </c>
      <c r="AI209" s="43" t="e">
        <v>#N/A</v>
      </c>
      <c r="AJ209" s="43" t="e">
        <v>#N/A</v>
      </c>
      <c r="AK209" s="43" t="e">
        <v>#N/A</v>
      </c>
      <c r="AM209" s="43" t="s">
        <v>88</v>
      </c>
      <c r="AN209" s="43">
        <v>0</v>
      </c>
      <c r="AO209" s="43" t="e">
        <v>#N/A</v>
      </c>
      <c r="AP209" s="43" t="e">
        <v>#N/A</v>
      </c>
      <c r="AQ209" s="43" t="e">
        <v>#N/A</v>
      </c>
      <c r="AR209" s="43" t="e">
        <v>#N/A</v>
      </c>
      <c r="AS209" s="43" t="e">
        <v>#N/A</v>
      </c>
      <c r="AT209" s="43" t="e">
        <v>#N/A</v>
      </c>
      <c r="AU209" s="43" t="e">
        <v>#N/A</v>
      </c>
    </row>
    <row r="210" spans="1:47" x14ac:dyDescent="0.35">
      <c r="A210" s="43" t="s">
        <v>88</v>
      </c>
      <c r="B210" s="43">
        <v>7.681310982322314</v>
      </c>
      <c r="C210" s="43">
        <v>5.4169733647623035</v>
      </c>
      <c r="D210" s="43">
        <v>1.4180078920619483</v>
      </c>
      <c r="E210" s="43">
        <v>0.17326891996748184</v>
      </c>
      <c r="F210" s="43">
        <v>-3.6993277511054643</v>
      </c>
      <c r="G210" s="43">
        <v>19.061949715750092</v>
      </c>
      <c r="H210" s="43">
        <v>-3.6993277511054643</v>
      </c>
      <c r="I210" s="43">
        <v>19.061949715750092</v>
      </c>
      <c r="K210" s="43" t="s">
        <v>88</v>
      </c>
      <c r="L210" s="43">
        <v>6.946638761518221</v>
      </c>
      <c r="M210" s="43">
        <v>4.7715323499582496</v>
      </c>
      <c r="N210" s="43">
        <v>1.4558507104282765</v>
      </c>
      <c r="O210" s="43">
        <v>0.16175960084535115</v>
      </c>
      <c r="P210" s="43">
        <v>-3.0402932233318047</v>
      </c>
      <c r="Q210" s="43">
        <v>16.933570746368247</v>
      </c>
      <c r="R210" s="43">
        <v>-3.0402932233318047</v>
      </c>
      <c r="S210" s="43">
        <v>16.933570746368247</v>
      </c>
      <c r="U210" s="43" t="s">
        <v>88</v>
      </c>
      <c r="V210" s="43">
        <v>3.0955845908286546</v>
      </c>
      <c r="W210" s="43">
        <v>3.7512830191052151</v>
      </c>
      <c r="X210" s="43">
        <v>0.82520688923307028</v>
      </c>
      <c r="Y210" s="46">
        <v>0.4189885980365099</v>
      </c>
      <c r="Z210" s="43">
        <v>-4.729454667373961</v>
      </c>
      <c r="AA210" s="43">
        <v>10.920623849031269</v>
      </c>
      <c r="AB210" s="43"/>
      <c r="AC210" s="43" t="s">
        <v>112</v>
      </c>
      <c r="AD210" s="43">
        <v>1.2769553140147369</v>
      </c>
      <c r="AE210" s="43">
        <v>6.3578822065030891E-2</v>
      </c>
      <c r="AF210" s="43">
        <v>20.084601641543742</v>
      </c>
      <c r="AG210" s="43">
        <v>3.4471455253816202E-15</v>
      </c>
      <c r="AH210" s="43">
        <v>1.1447359154168211</v>
      </c>
      <c r="AI210" s="43">
        <v>1.4091747126126528</v>
      </c>
      <c r="AJ210" s="43">
        <v>1.1447359154168211</v>
      </c>
      <c r="AK210" s="43">
        <v>1.4091747126126528</v>
      </c>
      <c r="AM210" s="43" t="s">
        <v>112</v>
      </c>
      <c r="AN210" s="48">
        <v>1.2532342416735478</v>
      </c>
      <c r="AO210" s="43">
        <v>5.1355244760848885E-2</v>
      </c>
      <c r="AP210" s="43">
        <v>24.4032376344346</v>
      </c>
      <c r="AQ210" s="43">
        <v>2.0068274682720268E-17</v>
      </c>
      <c r="AR210" s="43">
        <v>1.1467299826684041</v>
      </c>
      <c r="AS210" s="43">
        <v>1.3597385006786915</v>
      </c>
      <c r="AT210" s="43">
        <v>1.1467299826684041</v>
      </c>
      <c r="AU210" s="43">
        <v>1.3597385006786915</v>
      </c>
    </row>
    <row r="211" spans="1:47" ht="15" thickBot="1" x14ac:dyDescent="0.4">
      <c r="A211" s="43" t="s">
        <v>112</v>
      </c>
      <c r="B211" s="43">
        <v>0.85207843722060828</v>
      </c>
      <c r="C211" s="43">
        <v>0.30847639241249497</v>
      </c>
      <c r="D211" s="43">
        <v>2.7622160339621971</v>
      </c>
      <c r="E211" s="43">
        <v>1.2833274817363214E-2</v>
      </c>
      <c r="F211" s="43">
        <v>0.20399358550715441</v>
      </c>
      <c r="G211" s="43">
        <v>1.5001632889340621</v>
      </c>
      <c r="H211" s="43">
        <v>0.20399358550715441</v>
      </c>
      <c r="I211" s="43">
        <v>1.5001632889340621</v>
      </c>
      <c r="K211" s="43" t="s">
        <v>112</v>
      </c>
      <c r="L211" s="43">
        <v>0.89547214262426322</v>
      </c>
      <c r="M211" s="43">
        <v>0.26936519607821363</v>
      </c>
      <c r="N211" s="43">
        <v>3.324379525127112</v>
      </c>
      <c r="O211" s="43">
        <v>3.56403147144802E-3</v>
      </c>
      <c r="P211" s="43">
        <v>0.33168430781215119</v>
      </c>
      <c r="Q211" s="43">
        <v>1.4592599774363753</v>
      </c>
      <c r="R211" s="43">
        <v>0.33168430781215119</v>
      </c>
      <c r="S211" s="43">
        <v>1.4592599774363753</v>
      </c>
      <c r="U211" s="43" t="s">
        <v>112</v>
      </c>
      <c r="V211" s="43">
        <v>1.1073364865089663</v>
      </c>
      <c r="W211" s="43">
        <v>0.21530027185617817</v>
      </c>
      <c r="X211" s="43">
        <v>5.1432191746077942</v>
      </c>
      <c r="Y211" s="43">
        <v>4.9493793140762528E-5</v>
      </c>
      <c r="Z211" s="43">
        <v>0.65822798923057513</v>
      </c>
      <c r="AA211" s="43">
        <v>1.5564449837873575</v>
      </c>
      <c r="AB211" s="43"/>
      <c r="AC211" s="43" t="s">
        <v>124</v>
      </c>
      <c r="AD211" s="43">
        <v>-0.82074910300514048</v>
      </c>
      <c r="AE211" s="43">
        <v>1.2636019591868288</v>
      </c>
      <c r="AF211" s="43">
        <v>-0.64953136313061799</v>
      </c>
      <c r="AG211" s="46">
        <v>0.52303672857881733</v>
      </c>
      <c r="AH211" s="43">
        <v>-3.4485532315550906</v>
      </c>
      <c r="AI211" s="43">
        <v>1.8070550255448095</v>
      </c>
      <c r="AJ211" s="43">
        <v>-3.4485532315550906</v>
      </c>
      <c r="AK211" s="43">
        <v>1.8070550255448095</v>
      </c>
      <c r="AM211" s="45" t="s">
        <v>119</v>
      </c>
      <c r="AN211" s="47">
        <v>0.1943182058789</v>
      </c>
      <c r="AO211" s="45">
        <v>6.8321132644375129E-2</v>
      </c>
      <c r="AP211" s="45">
        <v>2.8441888820895853</v>
      </c>
      <c r="AQ211" s="45">
        <v>9.4369463574860528E-3</v>
      </c>
      <c r="AR211" s="45">
        <v>5.2628848919031412E-2</v>
      </c>
      <c r="AS211" s="45">
        <v>0.3360075628387677</v>
      </c>
      <c r="AT211" s="45">
        <v>5.2628848919031412E-2</v>
      </c>
      <c r="AU211" s="45">
        <v>0.3360075628387677</v>
      </c>
    </row>
    <row r="212" spans="1:47" ht="15" thickBot="1" x14ac:dyDescent="0.4">
      <c r="A212" s="43" t="s">
        <v>124</v>
      </c>
      <c r="B212" s="43">
        <v>-9.0536298586847881</v>
      </c>
      <c r="C212" s="43">
        <v>7.3791833151771913</v>
      </c>
      <c r="D212" s="43">
        <v>-1.2269148863755244</v>
      </c>
      <c r="E212" s="43">
        <v>0.23566123542045211</v>
      </c>
      <c r="F212" s="43">
        <v>-24.556718724519477</v>
      </c>
      <c r="G212" s="43">
        <v>6.4494590071499012</v>
      </c>
      <c r="H212" s="43">
        <v>-24.556718724519477</v>
      </c>
      <c r="I212" s="43">
        <v>6.4494590071499012</v>
      </c>
      <c r="K212" s="43" t="s">
        <v>124</v>
      </c>
      <c r="L212" s="43">
        <v>-9.6842600315292362</v>
      </c>
      <c r="M212" s="43">
        <v>6.9318350808110862</v>
      </c>
      <c r="N212" s="43">
        <v>-1.3970701724190604</v>
      </c>
      <c r="O212" s="43">
        <v>0.17849681692586455</v>
      </c>
      <c r="P212" s="46">
        <v>-24.192757596858208</v>
      </c>
      <c r="Q212" s="43">
        <v>4.824237533799737</v>
      </c>
      <c r="R212" s="43">
        <v>-24.192757596858208</v>
      </c>
      <c r="S212" s="43">
        <v>4.824237533799737</v>
      </c>
      <c r="U212" s="43" t="s">
        <v>124</v>
      </c>
      <c r="V212" s="43">
        <v>-0.99569806292332208</v>
      </c>
      <c r="W212" s="43">
        <v>1.2908399455438468</v>
      </c>
      <c r="X212" s="43">
        <v>-0.77135671727591459</v>
      </c>
      <c r="Y212" s="43">
        <v>0.44951356449587054</v>
      </c>
      <c r="Z212" s="43">
        <v>-3.6883430055984459</v>
      </c>
      <c r="AA212" s="43">
        <v>1.6969468797518017</v>
      </c>
      <c r="AB212" s="43"/>
      <c r="AC212" s="45" t="s">
        <v>119</v>
      </c>
      <c r="AD212" s="45">
        <v>0.19059843611147428</v>
      </c>
      <c r="AE212" s="45">
        <v>6.9473322373398649E-2</v>
      </c>
      <c r="AF212" s="45">
        <v>2.743476626712392</v>
      </c>
      <c r="AG212" s="45">
        <v>1.2174630977139408E-2</v>
      </c>
      <c r="AH212" s="45">
        <v>4.6120753064525177E-2</v>
      </c>
      <c r="AI212" s="45">
        <v>0.33507611915842339</v>
      </c>
      <c r="AJ212" s="45">
        <v>4.6120753064525177E-2</v>
      </c>
      <c r="AK212" s="45">
        <v>0.33507611915842339</v>
      </c>
      <c r="AM212" s="43"/>
      <c r="AN212" s="43"/>
      <c r="AO212" s="43"/>
      <c r="AP212" s="43"/>
      <c r="AQ212" s="43"/>
      <c r="AR212" s="43"/>
      <c r="AS212" s="43"/>
      <c r="AT212" s="43"/>
      <c r="AU212" s="43"/>
    </row>
    <row r="213" spans="1:47" ht="15" thickBot="1" x14ac:dyDescent="0.4">
      <c r="A213" s="43" t="s">
        <v>123</v>
      </c>
      <c r="B213" s="43">
        <v>-2.4938515023812382</v>
      </c>
      <c r="C213" s="43">
        <v>7.9193903173595173</v>
      </c>
      <c r="D213" s="43">
        <v>-0.31490448158801421</v>
      </c>
      <c r="E213" s="46">
        <v>0.7564553983146467</v>
      </c>
      <c r="F213" s="43">
        <v>-19.131873165393316</v>
      </c>
      <c r="G213" s="43">
        <v>14.144170160630837</v>
      </c>
      <c r="H213" s="43">
        <v>-19.131873165393316</v>
      </c>
      <c r="I213" s="43">
        <v>14.144170160630837</v>
      </c>
      <c r="K213" s="43" t="s">
        <v>121</v>
      </c>
      <c r="L213" s="43">
        <v>0.47399684707667877</v>
      </c>
      <c r="M213" s="43">
        <v>0.37174788401451309</v>
      </c>
      <c r="N213" s="43">
        <v>1.2750492133485121</v>
      </c>
      <c r="O213" s="43">
        <v>0.21766352950992834</v>
      </c>
      <c r="P213" s="43">
        <v>-0.3040804163410874</v>
      </c>
      <c r="Q213" s="43">
        <v>1.2520741104944451</v>
      </c>
      <c r="R213" s="43">
        <v>-0.3040804163410874</v>
      </c>
      <c r="S213" s="43">
        <v>1.2520741104944451</v>
      </c>
      <c r="U213" s="45" t="s">
        <v>119</v>
      </c>
      <c r="V213" s="45">
        <v>0.21032464898402978</v>
      </c>
      <c r="W213" s="45">
        <v>7.3975855263391371E-2</v>
      </c>
      <c r="X213" s="45">
        <v>2.8431526507556812</v>
      </c>
      <c r="Y213" s="45">
        <v>1.004868991327253E-2</v>
      </c>
      <c r="Z213" s="45">
        <v>5.6013718924365241E-2</v>
      </c>
      <c r="AA213" s="45">
        <v>0.36463557904369431</v>
      </c>
      <c r="AB213" s="43"/>
      <c r="AC213" s="43"/>
      <c r="AD213" s="43"/>
      <c r="AE213" s="43"/>
      <c r="AF213" s="43"/>
      <c r="AG213" s="43"/>
      <c r="AH213" s="43"/>
      <c r="AI213" s="43"/>
      <c r="AJ213" s="43"/>
      <c r="AK213" s="43"/>
      <c r="AM213" s="43"/>
      <c r="AN213" s="43" t="s">
        <v>122</v>
      </c>
      <c r="AO213" s="43"/>
      <c r="AP213" s="43"/>
      <c r="AQ213" s="43"/>
      <c r="AR213" s="43"/>
      <c r="AS213" s="43"/>
      <c r="AT213" s="43"/>
      <c r="AU213" s="43"/>
    </row>
    <row r="214" spans="1:47" ht="15" thickBot="1" x14ac:dyDescent="0.4">
      <c r="A214" s="43" t="s">
        <v>121</v>
      </c>
      <c r="B214" s="43">
        <v>0.44257112127634568</v>
      </c>
      <c r="C214" s="43">
        <v>0.39374327695215527</v>
      </c>
      <c r="D214" s="43">
        <v>1.1240093410664727</v>
      </c>
      <c r="E214" s="43">
        <v>0.27577625474611422</v>
      </c>
      <c r="F214" s="43">
        <v>-0.38465280746916841</v>
      </c>
      <c r="G214" s="43">
        <v>1.2697950500218598</v>
      </c>
      <c r="H214" s="43">
        <v>-0.38465280746916841</v>
      </c>
      <c r="I214" s="43">
        <v>1.2697950500218598</v>
      </c>
      <c r="K214" s="45" t="s">
        <v>119</v>
      </c>
      <c r="L214" s="45">
        <v>0.21363719570369527</v>
      </c>
      <c r="M214" s="45">
        <v>7.2891374147483937E-2</v>
      </c>
      <c r="N214" s="45">
        <v>2.930898178314417</v>
      </c>
      <c r="O214" s="45">
        <v>8.575479766943242E-3</v>
      </c>
      <c r="P214" s="45">
        <v>6.1073796254135393E-2</v>
      </c>
      <c r="Q214" s="45">
        <v>0.36620059515325515</v>
      </c>
      <c r="R214" s="45">
        <v>6.1073796254135393E-2</v>
      </c>
      <c r="S214" s="45">
        <v>0.36620059515325515</v>
      </c>
      <c r="U214" s="43"/>
      <c r="V214" s="43"/>
      <c r="W214" s="43"/>
      <c r="X214" s="43"/>
      <c r="Y214" s="43"/>
      <c r="Z214" s="43"/>
      <c r="AA214" s="43"/>
      <c r="AB214" s="43"/>
      <c r="AC214" s="43"/>
      <c r="AD214" s="43"/>
      <c r="AE214" s="43"/>
      <c r="AF214" s="43"/>
      <c r="AG214" s="43"/>
      <c r="AH214" s="43"/>
      <c r="AI214" s="43"/>
      <c r="AJ214" s="43"/>
      <c r="AK214" s="43"/>
      <c r="AM214" s="43"/>
      <c r="AN214" s="43" t="s">
        <v>120</v>
      </c>
      <c r="AO214" s="43"/>
      <c r="AP214" s="43"/>
      <c r="AQ214" s="43"/>
      <c r="AR214" s="43"/>
      <c r="AS214" s="43"/>
      <c r="AT214" s="43"/>
      <c r="AU214" s="43"/>
    </row>
    <row r="215" spans="1:47" ht="19" thickBot="1" x14ac:dyDescent="0.5">
      <c r="A215" s="45" t="s">
        <v>119</v>
      </c>
      <c r="B215" s="45">
        <v>0.34441767531571554</v>
      </c>
      <c r="C215" s="45">
        <v>0.42196374245704932</v>
      </c>
      <c r="D215" s="45">
        <v>0.81622575747908721</v>
      </c>
      <c r="E215" s="45">
        <v>0.4250416887121069</v>
      </c>
      <c r="F215" s="45">
        <v>-0.54209525139489234</v>
      </c>
      <c r="G215" s="45">
        <v>1.2309306020263233</v>
      </c>
      <c r="H215" s="45">
        <v>-0.54209525139489234</v>
      </c>
      <c r="I215" s="45">
        <v>1.2309306020263233</v>
      </c>
      <c r="K215" s="43"/>
      <c r="L215" s="43"/>
      <c r="M215" s="43"/>
      <c r="N215" s="43"/>
      <c r="O215" s="43"/>
      <c r="P215" s="43"/>
      <c r="Q215" s="43"/>
      <c r="R215" s="43"/>
      <c r="S215" s="43"/>
      <c r="U215" s="43"/>
      <c r="V215" s="43"/>
      <c r="W215" s="43"/>
      <c r="X215" s="43"/>
      <c r="Y215" s="43"/>
      <c r="Z215" s="43"/>
      <c r="AA215" s="43"/>
      <c r="AB215" s="43"/>
      <c r="AC215" s="43"/>
      <c r="AD215" s="43"/>
      <c r="AE215" s="43"/>
      <c r="AF215" s="43"/>
      <c r="AG215" s="43"/>
      <c r="AH215" s="43"/>
      <c r="AI215" s="43"/>
      <c r="AJ215" s="43"/>
      <c r="AK215" s="43"/>
      <c r="AN215" s="44" t="s">
        <v>118</v>
      </c>
    </row>
    <row r="216" spans="1:47" x14ac:dyDescent="0.35">
      <c r="K216" s="43"/>
      <c r="L216" s="43"/>
      <c r="M216" s="43"/>
      <c r="N216" s="43"/>
      <c r="O216" s="43"/>
      <c r="P216" s="43"/>
      <c r="Q216" s="43"/>
      <c r="R216" s="43"/>
      <c r="S216" s="43"/>
      <c r="U216" s="43"/>
      <c r="V216" s="43"/>
      <c r="W216" s="43"/>
      <c r="X216" s="43"/>
      <c r="Y216" s="43"/>
      <c r="Z216" s="43"/>
      <c r="AA216" s="43"/>
      <c r="AB216" s="43"/>
      <c r="AC216" s="43"/>
    </row>
    <row r="217" spans="1:47" x14ac:dyDescent="0.35">
      <c r="K217" s="43"/>
      <c r="L217" s="43"/>
      <c r="M217" s="43"/>
      <c r="N217" s="43"/>
      <c r="O217" s="43"/>
      <c r="P217" s="43"/>
      <c r="Q217" s="43"/>
      <c r="R217" s="43"/>
      <c r="S217" s="43"/>
    </row>
    <row r="219" spans="1:47" ht="15" customHeight="1" x14ac:dyDescent="2">
      <c r="A219" s="42"/>
      <c r="B219" s="41"/>
      <c r="C219" s="41"/>
      <c r="D219" s="41"/>
      <c r="E219" s="41"/>
      <c r="F219" s="41"/>
      <c r="G219" s="41"/>
      <c r="H219" s="41"/>
      <c r="I219" s="41"/>
    </row>
    <row r="220" spans="1:47" ht="15" customHeight="1" x14ac:dyDescent="2">
      <c r="A220" s="41"/>
      <c r="B220" s="41"/>
      <c r="C220" s="41"/>
      <c r="D220" s="41"/>
      <c r="E220" s="41"/>
      <c r="F220" s="41"/>
      <c r="G220" s="41"/>
      <c r="H220" s="41"/>
      <c r="I220" s="41"/>
    </row>
    <row r="221" spans="1:47" ht="15" customHeight="1" x14ac:dyDescent="2">
      <c r="A221" s="41"/>
      <c r="B221" s="41"/>
      <c r="C221" s="41"/>
      <c r="D221" s="41"/>
      <c r="E221" s="41"/>
      <c r="F221" s="41"/>
      <c r="G221" s="41"/>
      <c r="H221" s="41"/>
      <c r="I221" s="41"/>
    </row>
  </sheetData>
  <mergeCells count="18">
    <mergeCell ref="A184:C184"/>
    <mergeCell ref="A180:C180"/>
    <mergeCell ref="A181:C181"/>
    <mergeCell ref="K28:L28"/>
    <mergeCell ref="K29:L29"/>
    <mergeCell ref="K30:L30"/>
    <mergeCell ref="A182:C182"/>
    <mergeCell ref="A183:C183"/>
    <mergeCell ref="K32:M32"/>
    <mergeCell ref="K31:M31"/>
    <mergeCell ref="K27:L27"/>
    <mergeCell ref="AF2:AK3"/>
    <mergeCell ref="P8:R8"/>
    <mergeCell ref="P10:R10"/>
    <mergeCell ref="A1:E5"/>
    <mergeCell ref="P2:R2"/>
    <mergeCell ref="P4:R4"/>
    <mergeCell ref="P6:R6"/>
  </mergeCells>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D1D6D-3A41-40B4-BFA6-9009297D60A9}">
  <dimension ref="A1:U195"/>
  <sheetViews>
    <sheetView zoomScale="70" zoomScaleNormal="70" workbookViewId="0">
      <selection activeCell="M12" sqref="M12"/>
    </sheetView>
  </sheetViews>
  <sheetFormatPr defaultColWidth="9.1796875" defaultRowHeight="14.5" x14ac:dyDescent="0.35"/>
  <cols>
    <col min="1" max="1" width="26.26953125" style="149" bestFit="1" customWidth="1"/>
    <col min="2" max="2" width="17.1796875" style="149" bestFit="1" customWidth="1"/>
    <col min="3" max="3" width="23.26953125" style="149" bestFit="1" customWidth="1"/>
    <col min="4" max="4" width="15.54296875" style="149" bestFit="1" customWidth="1"/>
    <col min="5" max="5" width="12" style="149" bestFit="1" customWidth="1"/>
    <col min="6" max="6" width="14.7265625" style="149" bestFit="1" customWidth="1"/>
    <col min="7" max="7" width="13.1796875" style="149" bestFit="1" customWidth="1"/>
    <col min="8" max="8" width="14.7265625" style="149" bestFit="1" customWidth="1"/>
    <col min="9" max="9" width="14.81640625" style="149" bestFit="1" customWidth="1"/>
    <col min="10" max="12" width="9.1796875" style="149"/>
    <col min="13" max="13" width="26.7265625" style="149" bestFit="1" customWidth="1"/>
    <col min="14" max="14" width="17.1796875" style="149" bestFit="1" customWidth="1"/>
    <col min="15" max="15" width="23.26953125" style="149" bestFit="1" customWidth="1"/>
    <col min="16" max="16" width="15.54296875" style="149" bestFit="1" customWidth="1"/>
    <col min="17" max="17" width="12.26953125" style="149" bestFit="1" customWidth="1"/>
    <col min="18" max="18" width="31.81640625" style="149" bestFit="1" customWidth="1"/>
    <col min="19" max="19" width="13.1796875" style="149" bestFit="1" customWidth="1"/>
    <col min="20" max="20" width="14.7265625" style="149" bestFit="1" customWidth="1"/>
    <col min="21" max="21" width="14.81640625" style="149" bestFit="1" customWidth="1"/>
    <col min="22" max="16384" width="9.1796875" style="149"/>
  </cols>
  <sheetData>
    <row r="1" spans="1:18" x14ac:dyDescent="0.35">
      <c r="A1" s="178" t="s">
        <v>116</v>
      </c>
      <c r="B1" s="178" t="s">
        <v>112</v>
      </c>
      <c r="C1" s="178" t="s">
        <v>124</v>
      </c>
      <c r="D1" s="186"/>
      <c r="E1" s="186"/>
      <c r="F1" s="186"/>
      <c r="G1" s="186"/>
      <c r="H1" s="186"/>
      <c r="I1" s="186"/>
      <c r="J1" s="186"/>
      <c r="K1" s="185"/>
    </row>
    <row r="2" spans="1:18" x14ac:dyDescent="0.35">
      <c r="A2" s="180">
        <v>16</v>
      </c>
      <c r="B2" s="180">
        <v>15</v>
      </c>
      <c r="C2" s="181">
        <v>0</v>
      </c>
      <c r="K2" s="153"/>
    </row>
    <row r="3" spans="1:18" x14ac:dyDescent="0.35">
      <c r="A3" s="180">
        <v>14</v>
      </c>
      <c r="B3" s="180">
        <v>10</v>
      </c>
      <c r="C3" s="181">
        <v>0</v>
      </c>
      <c r="K3" s="153"/>
    </row>
    <row r="4" spans="1:18" x14ac:dyDescent="0.35">
      <c r="A4" s="180">
        <v>24</v>
      </c>
      <c r="B4" s="180">
        <v>22</v>
      </c>
      <c r="C4" s="181">
        <v>0</v>
      </c>
      <c r="K4" s="153"/>
    </row>
    <row r="5" spans="1:18" x14ac:dyDescent="0.35">
      <c r="A5" s="180">
        <v>23</v>
      </c>
      <c r="B5" s="180">
        <v>19</v>
      </c>
      <c r="C5" s="181">
        <v>0</v>
      </c>
      <c r="K5" s="153"/>
    </row>
    <row r="6" spans="1:18" x14ac:dyDescent="0.35">
      <c r="A6" s="180">
        <v>26</v>
      </c>
      <c r="B6" s="180">
        <v>18</v>
      </c>
      <c r="C6" s="181">
        <v>0</v>
      </c>
      <c r="K6" s="153"/>
    </row>
    <row r="7" spans="1:18" x14ac:dyDescent="0.35">
      <c r="A7" s="180">
        <v>24</v>
      </c>
      <c r="B7" s="180">
        <v>16</v>
      </c>
      <c r="C7" s="181">
        <v>0</v>
      </c>
      <c r="K7" s="153"/>
    </row>
    <row r="8" spans="1:18" x14ac:dyDescent="0.35">
      <c r="A8" s="180">
        <v>29</v>
      </c>
      <c r="B8" s="180">
        <v>24</v>
      </c>
      <c r="C8" s="181">
        <v>0</v>
      </c>
      <c r="K8" s="153"/>
      <c r="Q8" s="184"/>
      <c r="R8" s="182" t="s">
        <v>167</v>
      </c>
    </row>
    <row r="9" spans="1:18" x14ac:dyDescent="0.35">
      <c r="A9" s="180">
        <v>24</v>
      </c>
      <c r="B9" s="180">
        <v>17</v>
      </c>
      <c r="C9" s="181">
        <v>0</v>
      </c>
      <c r="K9" s="153"/>
      <c r="Q9" s="184"/>
      <c r="R9" s="182"/>
    </row>
    <row r="10" spans="1:18" x14ac:dyDescent="0.35">
      <c r="A10" s="180">
        <v>31</v>
      </c>
      <c r="B10" s="180">
        <v>20</v>
      </c>
      <c r="C10" s="181">
        <v>0</v>
      </c>
      <c r="K10" s="153"/>
      <c r="Q10" s="184"/>
      <c r="R10" s="182"/>
    </row>
    <row r="11" spans="1:18" ht="15" customHeight="1" x14ac:dyDescent="0.35">
      <c r="A11" s="180">
        <v>33</v>
      </c>
      <c r="B11" s="180">
        <v>19</v>
      </c>
      <c r="C11" s="181">
        <v>0</v>
      </c>
      <c r="K11" s="153"/>
      <c r="Q11" s="184"/>
      <c r="R11" s="182"/>
    </row>
    <row r="12" spans="1:18" x14ac:dyDescent="0.35">
      <c r="A12" s="180">
        <v>34</v>
      </c>
      <c r="B12" s="180">
        <v>23</v>
      </c>
      <c r="C12" s="181">
        <v>0</v>
      </c>
      <c r="K12" s="153"/>
      <c r="Q12" s="184"/>
      <c r="R12" s="182"/>
    </row>
    <row r="13" spans="1:18" x14ac:dyDescent="0.35">
      <c r="A13" s="180">
        <v>28</v>
      </c>
      <c r="B13" s="180">
        <v>17</v>
      </c>
      <c r="C13" s="181">
        <v>0</v>
      </c>
      <c r="K13" s="153"/>
      <c r="Q13" s="184"/>
      <c r="R13" s="182"/>
    </row>
    <row r="14" spans="1:18" x14ac:dyDescent="0.35">
      <c r="A14" s="177">
        <v>16</v>
      </c>
      <c r="B14" s="177">
        <v>13</v>
      </c>
      <c r="C14" s="176">
        <v>1</v>
      </c>
      <c r="K14" s="153"/>
      <c r="Q14" s="183"/>
      <c r="R14" s="182"/>
    </row>
    <row r="15" spans="1:18" x14ac:dyDescent="0.35">
      <c r="A15" s="177">
        <v>19</v>
      </c>
      <c r="B15" s="177">
        <v>16</v>
      </c>
      <c r="C15" s="176">
        <v>1</v>
      </c>
      <c r="K15" s="153"/>
      <c r="Q15" s="183"/>
      <c r="R15" s="182"/>
    </row>
    <row r="16" spans="1:18" x14ac:dyDescent="0.35">
      <c r="A16" s="177">
        <v>25</v>
      </c>
      <c r="B16" s="177">
        <v>22</v>
      </c>
      <c r="C16" s="176">
        <v>1</v>
      </c>
      <c r="K16" s="153"/>
      <c r="Q16" s="183"/>
      <c r="R16" s="182"/>
    </row>
    <row r="17" spans="1:18" x14ac:dyDescent="0.35">
      <c r="A17" s="177">
        <v>22</v>
      </c>
      <c r="B17" s="177">
        <v>19</v>
      </c>
      <c r="C17" s="176">
        <v>1</v>
      </c>
      <c r="K17" s="153"/>
      <c r="Q17" s="183"/>
      <c r="R17" s="182"/>
    </row>
    <row r="18" spans="1:18" x14ac:dyDescent="0.35">
      <c r="A18" s="177">
        <v>26</v>
      </c>
      <c r="B18" s="177">
        <v>18</v>
      </c>
      <c r="C18" s="176">
        <v>1</v>
      </c>
      <c r="K18" s="153"/>
      <c r="Q18" s="183"/>
      <c r="R18" s="182"/>
    </row>
    <row r="19" spans="1:18" x14ac:dyDescent="0.35">
      <c r="A19" s="177">
        <v>24</v>
      </c>
      <c r="B19" s="177">
        <v>17</v>
      </c>
      <c r="C19" s="176">
        <v>1</v>
      </c>
      <c r="K19" s="153"/>
      <c r="Q19" s="183"/>
      <c r="R19" s="182"/>
    </row>
    <row r="20" spans="1:18" x14ac:dyDescent="0.35">
      <c r="A20" s="173">
        <v>28</v>
      </c>
      <c r="B20" s="172">
        <v>22</v>
      </c>
      <c r="C20" s="171">
        <v>1</v>
      </c>
      <c r="K20" s="153"/>
    </row>
    <row r="21" spans="1:18" x14ac:dyDescent="0.35">
      <c r="A21" s="173">
        <v>18</v>
      </c>
      <c r="B21" s="172">
        <v>15</v>
      </c>
      <c r="C21" s="171">
        <v>1</v>
      </c>
      <c r="K21" s="153"/>
    </row>
    <row r="22" spans="1:18" x14ac:dyDescent="0.35">
      <c r="A22" s="173">
        <v>30</v>
      </c>
      <c r="B22" s="172">
        <v>20</v>
      </c>
      <c r="C22" s="171">
        <v>1</v>
      </c>
      <c r="K22" s="153"/>
    </row>
    <row r="23" spans="1:18" x14ac:dyDescent="0.35">
      <c r="A23" s="173">
        <v>33</v>
      </c>
      <c r="B23" s="172">
        <v>21</v>
      </c>
      <c r="C23" s="171">
        <v>1</v>
      </c>
      <c r="K23" s="153"/>
    </row>
    <row r="24" spans="1:18" x14ac:dyDescent="0.35">
      <c r="A24" s="173">
        <v>35</v>
      </c>
      <c r="B24" s="172">
        <v>23</v>
      </c>
      <c r="C24" s="171">
        <v>1</v>
      </c>
      <c r="K24" s="153"/>
    </row>
    <row r="25" spans="1:18" x14ac:dyDescent="0.35">
      <c r="A25" s="173">
        <v>17</v>
      </c>
      <c r="B25" s="172">
        <v>14</v>
      </c>
      <c r="C25" s="171">
        <v>1</v>
      </c>
      <c r="K25" s="153"/>
    </row>
    <row r="26" spans="1:18" x14ac:dyDescent="0.35">
      <c r="A26" s="163"/>
      <c r="K26" s="153"/>
    </row>
    <row r="27" spans="1:18" x14ac:dyDescent="0.35">
      <c r="A27" s="163" t="s">
        <v>102</v>
      </c>
      <c r="K27" s="153"/>
      <c r="M27" s="149" t="s">
        <v>102</v>
      </c>
    </row>
    <row r="28" spans="1:18" ht="15" thickBot="1" x14ac:dyDescent="0.4">
      <c r="A28" s="163"/>
      <c r="K28" s="153"/>
    </row>
    <row r="29" spans="1:18" x14ac:dyDescent="0.35">
      <c r="A29" s="168" t="s">
        <v>101</v>
      </c>
      <c r="B29" s="167"/>
      <c r="K29" s="153"/>
      <c r="M29" s="167" t="s">
        <v>101</v>
      </c>
      <c r="N29" s="167"/>
    </row>
    <row r="30" spans="1:18" x14ac:dyDescent="0.35">
      <c r="A30" s="163" t="s">
        <v>100</v>
      </c>
      <c r="B30" s="149">
        <v>0.99083740712217194</v>
      </c>
      <c r="K30" s="153"/>
      <c r="M30" s="149" t="s">
        <v>100</v>
      </c>
      <c r="N30" s="149">
        <v>0.99083740712217194</v>
      </c>
    </row>
    <row r="31" spans="1:18" x14ac:dyDescent="0.35">
      <c r="A31" s="163" t="s">
        <v>99</v>
      </c>
      <c r="B31" s="149">
        <v>0.9817587673525886</v>
      </c>
      <c r="K31" s="153"/>
      <c r="M31" s="149" t="s">
        <v>99</v>
      </c>
      <c r="N31" s="149">
        <v>0.9817587673525886</v>
      </c>
    </row>
    <row r="32" spans="1:18" x14ac:dyDescent="0.35">
      <c r="A32" s="163" t="s">
        <v>98</v>
      </c>
      <c r="B32" s="149">
        <v>0.93828050648302341</v>
      </c>
      <c r="K32" s="153"/>
      <c r="M32" s="149" t="s">
        <v>98</v>
      </c>
      <c r="N32" s="149">
        <v>0.93828050648302341</v>
      </c>
    </row>
    <row r="33" spans="1:21" x14ac:dyDescent="0.35">
      <c r="A33" s="163" t="s">
        <v>93</v>
      </c>
      <c r="B33" s="149">
        <v>3.5404659604433624</v>
      </c>
      <c r="K33" s="153"/>
      <c r="M33" s="149" t="s">
        <v>93</v>
      </c>
      <c r="N33" s="149">
        <v>3.5404659604433628</v>
      </c>
    </row>
    <row r="34" spans="1:21" ht="15" thickBot="1" x14ac:dyDescent="0.4">
      <c r="A34" s="166" t="s">
        <v>74</v>
      </c>
      <c r="B34" s="165">
        <v>24</v>
      </c>
      <c r="K34" s="153"/>
      <c r="M34" s="165" t="s">
        <v>74</v>
      </c>
      <c r="N34" s="165">
        <v>24</v>
      </c>
    </row>
    <row r="35" spans="1:21" x14ac:dyDescent="0.35">
      <c r="A35" s="163"/>
      <c r="K35" s="153"/>
    </row>
    <row r="36" spans="1:21" ht="15" thickBot="1" x14ac:dyDescent="0.4">
      <c r="A36" s="163" t="s">
        <v>56</v>
      </c>
      <c r="K36" s="153"/>
      <c r="M36" s="149" t="s">
        <v>56</v>
      </c>
    </row>
    <row r="37" spans="1:21" x14ac:dyDescent="0.35">
      <c r="A37" s="168"/>
      <c r="B37" s="167" t="s">
        <v>53</v>
      </c>
      <c r="C37" s="167" t="s">
        <v>54</v>
      </c>
      <c r="D37" s="167" t="s">
        <v>52</v>
      </c>
      <c r="E37" s="167" t="s">
        <v>51</v>
      </c>
      <c r="F37" s="167" t="s">
        <v>97</v>
      </c>
      <c r="K37" s="153"/>
      <c r="M37" s="167"/>
      <c r="N37" s="167" t="s">
        <v>53</v>
      </c>
      <c r="O37" s="167" t="s">
        <v>54</v>
      </c>
      <c r="P37" s="167" t="s">
        <v>52</v>
      </c>
      <c r="Q37" s="167" t="s">
        <v>51</v>
      </c>
      <c r="R37" s="167" t="s">
        <v>97</v>
      </c>
    </row>
    <row r="38" spans="1:21" x14ac:dyDescent="0.35">
      <c r="A38" s="163" t="s">
        <v>96</v>
      </c>
      <c r="B38" s="149">
        <v>1</v>
      </c>
      <c r="C38" s="149">
        <v>15516.697318007662</v>
      </c>
      <c r="D38" s="149">
        <v>15516.697318007662</v>
      </c>
      <c r="E38" s="149">
        <v>1237.8797028452959</v>
      </c>
      <c r="F38" s="149">
        <v>7.8042131892744639E-21</v>
      </c>
      <c r="K38" s="153"/>
      <c r="M38" s="149" t="s">
        <v>96</v>
      </c>
      <c r="N38" s="149">
        <v>1</v>
      </c>
      <c r="O38" s="149">
        <v>15516.697318007662</v>
      </c>
      <c r="P38" s="149">
        <v>15516.697318007662</v>
      </c>
      <c r="Q38" s="149">
        <v>1237.8797028452955</v>
      </c>
      <c r="R38" s="149">
        <v>7.8042131892745196E-21</v>
      </c>
    </row>
    <row r="39" spans="1:21" x14ac:dyDescent="0.35">
      <c r="A39" s="163" t="s">
        <v>95</v>
      </c>
      <c r="B39" s="149">
        <v>23</v>
      </c>
      <c r="C39" s="149">
        <v>288.30268199233723</v>
      </c>
      <c r="D39" s="149">
        <v>12.53489921705814</v>
      </c>
      <c r="K39" s="153"/>
      <c r="M39" s="149" t="s">
        <v>95</v>
      </c>
      <c r="N39" s="149">
        <v>23</v>
      </c>
      <c r="O39" s="149">
        <v>288.30268199233728</v>
      </c>
      <c r="P39" s="149">
        <v>12.534899217058143</v>
      </c>
    </row>
    <row r="40" spans="1:21" ht="15" thickBot="1" x14ac:dyDescent="0.4">
      <c r="A40" s="166" t="s">
        <v>46</v>
      </c>
      <c r="B40" s="165">
        <v>24</v>
      </c>
      <c r="C40" s="165">
        <v>15805</v>
      </c>
      <c r="D40" s="165"/>
      <c r="E40" s="165"/>
      <c r="F40" s="165"/>
      <c r="K40" s="153"/>
      <c r="M40" s="165" t="s">
        <v>46</v>
      </c>
      <c r="N40" s="165">
        <v>24</v>
      </c>
      <c r="O40" s="165">
        <v>15805</v>
      </c>
      <c r="P40" s="165"/>
      <c r="Q40" s="165"/>
      <c r="R40" s="165"/>
    </row>
    <row r="41" spans="1:21" ht="15" thickBot="1" x14ac:dyDescent="0.4">
      <c r="A41" s="163"/>
      <c r="K41" s="153"/>
    </row>
    <row r="42" spans="1:21" x14ac:dyDescent="0.35">
      <c r="A42" s="168"/>
      <c r="B42" s="167" t="s">
        <v>94</v>
      </c>
      <c r="C42" s="167" t="s">
        <v>93</v>
      </c>
      <c r="D42" s="167" t="s">
        <v>84</v>
      </c>
      <c r="E42" s="167" t="s">
        <v>50</v>
      </c>
      <c r="F42" s="167" t="s">
        <v>92</v>
      </c>
      <c r="G42" s="167" t="s">
        <v>91</v>
      </c>
      <c r="H42" s="167" t="s">
        <v>90</v>
      </c>
      <c r="I42" s="167" t="s">
        <v>89</v>
      </c>
      <c r="K42" s="153"/>
      <c r="M42" s="167"/>
      <c r="N42" s="167" t="s">
        <v>94</v>
      </c>
      <c r="O42" s="167" t="s">
        <v>93</v>
      </c>
      <c r="P42" s="167" t="s">
        <v>84</v>
      </c>
      <c r="Q42" s="167" t="s">
        <v>50</v>
      </c>
      <c r="R42" s="167" t="s">
        <v>92</v>
      </c>
      <c r="S42" s="167" t="s">
        <v>91</v>
      </c>
      <c r="T42" s="167" t="s">
        <v>90</v>
      </c>
      <c r="U42" s="167" t="s">
        <v>89</v>
      </c>
    </row>
    <row r="43" spans="1:21" x14ac:dyDescent="0.35">
      <c r="A43" s="163" t="s">
        <v>88</v>
      </c>
      <c r="B43" s="149">
        <v>0</v>
      </c>
      <c r="C43" s="149" t="e">
        <v>#N/A</v>
      </c>
      <c r="D43" s="149" t="e">
        <v>#N/A</v>
      </c>
      <c r="E43" s="149" t="e">
        <v>#N/A</v>
      </c>
      <c r="F43" s="149" t="e">
        <v>#N/A</v>
      </c>
      <c r="G43" s="149" t="e">
        <v>#N/A</v>
      </c>
      <c r="H43" s="149" t="e">
        <v>#N/A</v>
      </c>
      <c r="I43" s="149" t="e">
        <v>#N/A</v>
      </c>
      <c r="K43" s="153"/>
      <c r="M43" s="149" t="s">
        <v>88</v>
      </c>
      <c r="N43" s="149">
        <v>0</v>
      </c>
      <c r="O43" s="149" t="e">
        <v>#N/A</v>
      </c>
      <c r="P43" s="149" t="e">
        <v>#N/A</v>
      </c>
      <c r="Q43" s="149" t="e">
        <v>#N/A</v>
      </c>
      <c r="R43" s="149" t="e">
        <v>#N/A</v>
      </c>
      <c r="S43" s="149" t="e">
        <v>#N/A</v>
      </c>
      <c r="T43" s="149" t="e">
        <v>#N/A</v>
      </c>
      <c r="U43" s="149" t="e">
        <v>#N/A</v>
      </c>
    </row>
    <row r="44" spans="1:21" ht="15" thickBot="1" x14ac:dyDescent="0.4">
      <c r="A44" s="166" t="s">
        <v>112</v>
      </c>
      <c r="B44" s="165">
        <v>1.3630268199233715</v>
      </c>
      <c r="C44" s="165">
        <v>3.8740496327257463E-2</v>
      </c>
      <c r="D44" s="165">
        <v>35.183514645999985</v>
      </c>
      <c r="E44" s="165">
        <v>1.667844327747095E-21</v>
      </c>
      <c r="F44" s="165">
        <v>1.2828859973645792</v>
      </c>
      <c r="G44" s="165">
        <v>1.4431676424821638</v>
      </c>
      <c r="H44" s="165">
        <v>1.2828859973645792</v>
      </c>
      <c r="I44" s="165">
        <v>1.4431676424821638</v>
      </c>
      <c r="K44" s="153"/>
      <c r="M44" s="165" t="s">
        <v>112</v>
      </c>
      <c r="N44" s="165">
        <v>1.3630268199233715</v>
      </c>
      <c r="O44" s="165">
        <v>3.8740496327257463E-2</v>
      </c>
      <c r="P44" s="165">
        <v>35.183514645999985</v>
      </c>
      <c r="Q44" s="165">
        <v>1.667844327747095E-21</v>
      </c>
      <c r="R44" s="165">
        <v>1.2828859973645792</v>
      </c>
      <c r="S44" s="165">
        <v>1.4431676424821638</v>
      </c>
      <c r="T44" s="165">
        <v>1.2828859973645792</v>
      </c>
      <c r="U44" s="165">
        <v>1.4431676424821638</v>
      </c>
    </row>
    <row r="45" spans="1:21" x14ac:dyDescent="0.35">
      <c r="A45" s="163"/>
      <c r="K45" s="153"/>
    </row>
    <row r="46" spans="1:21" x14ac:dyDescent="0.35">
      <c r="A46" s="163"/>
      <c r="K46" s="153"/>
    </row>
    <row r="47" spans="1:21" x14ac:dyDescent="0.35">
      <c r="A47" s="163"/>
      <c r="K47" s="153"/>
    </row>
    <row r="48" spans="1:21" x14ac:dyDescent="0.35">
      <c r="A48" s="163" t="s">
        <v>87</v>
      </c>
      <c r="K48" s="153"/>
      <c r="M48" s="149" t="s">
        <v>87</v>
      </c>
    </row>
    <row r="49" spans="1:15" ht="15" thickBot="1" x14ac:dyDescent="0.4">
      <c r="A49" s="163"/>
      <c r="K49" s="153"/>
    </row>
    <row r="50" spans="1:15" x14ac:dyDescent="0.35">
      <c r="A50" s="168" t="s">
        <v>86</v>
      </c>
      <c r="B50" s="167" t="s">
        <v>109</v>
      </c>
      <c r="C50" s="167" t="s">
        <v>85</v>
      </c>
      <c r="K50" s="153"/>
      <c r="M50" s="167" t="s">
        <v>86</v>
      </c>
      <c r="N50" s="167" t="s">
        <v>109</v>
      </c>
      <c r="O50" s="167" t="s">
        <v>85</v>
      </c>
    </row>
    <row r="51" spans="1:15" x14ac:dyDescent="0.35">
      <c r="A51" s="163">
        <v>1</v>
      </c>
      <c r="B51" s="149">
        <v>20.445402298850574</v>
      </c>
      <c r="C51" s="149">
        <v>-4.4454022988505741</v>
      </c>
      <c r="K51" s="153"/>
      <c r="M51" s="149">
        <v>1</v>
      </c>
      <c r="N51" s="149">
        <v>20.445402298850574</v>
      </c>
      <c r="O51" s="149">
        <v>-4.4454022988505741</v>
      </c>
    </row>
    <row r="52" spans="1:15" x14ac:dyDescent="0.35">
      <c r="A52" s="163">
        <v>2</v>
      </c>
      <c r="B52" s="149">
        <v>13.630268199233715</v>
      </c>
      <c r="C52" s="149">
        <v>0.36973180076628509</v>
      </c>
      <c r="K52" s="153"/>
      <c r="M52" s="149">
        <v>2</v>
      </c>
      <c r="N52" s="149">
        <v>13.630268199233715</v>
      </c>
      <c r="O52" s="149">
        <v>0.36973180076628509</v>
      </c>
    </row>
    <row r="53" spans="1:15" x14ac:dyDescent="0.35">
      <c r="A53" s="163">
        <v>3</v>
      </c>
      <c r="B53" s="149">
        <v>29.986590038314173</v>
      </c>
      <c r="C53" s="149">
        <v>-5.9865900383141728</v>
      </c>
      <c r="K53" s="153"/>
      <c r="M53" s="149">
        <v>3</v>
      </c>
      <c r="N53" s="149">
        <v>29.986590038314173</v>
      </c>
      <c r="O53" s="149">
        <v>-5.9865900383141728</v>
      </c>
    </row>
    <row r="54" spans="1:15" x14ac:dyDescent="0.35">
      <c r="A54" s="163">
        <v>4</v>
      </c>
      <c r="B54" s="149">
        <v>25.89750957854406</v>
      </c>
      <c r="C54" s="149">
        <v>-2.8975095785440601</v>
      </c>
      <c r="K54" s="153"/>
      <c r="M54" s="149">
        <v>4</v>
      </c>
      <c r="N54" s="149">
        <v>25.89750957854406</v>
      </c>
      <c r="O54" s="149">
        <v>-2.8975095785440601</v>
      </c>
    </row>
    <row r="55" spans="1:15" x14ac:dyDescent="0.35">
      <c r="A55" s="163">
        <v>5</v>
      </c>
      <c r="B55" s="149">
        <v>24.534482758620687</v>
      </c>
      <c r="C55" s="149">
        <v>1.4655172413793132</v>
      </c>
      <c r="K55" s="153"/>
      <c r="M55" s="149">
        <v>5</v>
      </c>
      <c r="N55" s="149">
        <v>24.534482758620687</v>
      </c>
      <c r="O55" s="149">
        <v>1.4655172413793132</v>
      </c>
    </row>
    <row r="56" spans="1:15" x14ac:dyDescent="0.35">
      <c r="A56" s="163">
        <v>6</v>
      </c>
      <c r="B56" s="149">
        <v>21.808429118773944</v>
      </c>
      <c r="C56" s="149">
        <v>2.1915708812260561</v>
      </c>
      <c r="K56" s="153"/>
      <c r="M56" s="149">
        <v>6</v>
      </c>
      <c r="N56" s="149">
        <v>21.808429118773944</v>
      </c>
      <c r="O56" s="149">
        <v>2.1915708812260561</v>
      </c>
    </row>
    <row r="57" spans="1:15" x14ac:dyDescent="0.35">
      <c r="A57" s="163">
        <v>7</v>
      </c>
      <c r="B57" s="149">
        <v>32.712643678160916</v>
      </c>
      <c r="C57" s="149">
        <v>-3.7126436781609158</v>
      </c>
      <c r="K57" s="153"/>
      <c r="M57" s="149">
        <v>7</v>
      </c>
      <c r="N57" s="149">
        <v>17.719348659003828</v>
      </c>
      <c r="O57" s="149">
        <v>-1.7193486590038276</v>
      </c>
    </row>
    <row r="58" spans="1:15" x14ac:dyDescent="0.35">
      <c r="A58" s="163">
        <v>8</v>
      </c>
      <c r="B58" s="149">
        <v>23.171455938697314</v>
      </c>
      <c r="C58" s="149">
        <v>0.82854406130268643</v>
      </c>
      <c r="K58" s="153"/>
      <c r="M58" s="149">
        <v>8</v>
      </c>
      <c r="N58" s="149">
        <v>21.808429118773944</v>
      </c>
      <c r="O58" s="149">
        <v>-2.8084291187739439</v>
      </c>
    </row>
    <row r="59" spans="1:15" x14ac:dyDescent="0.35">
      <c r="A59" s="163">
        <v>9</v>
      </c>
      <c r="B59" s="149">
        <v>27.26053639846743</v>
      </c>
      <c r="C59" s="149">
        <v>3.7394636015325702</v>
      </c>
      <c r="K59" s="153"/>
      <c r="M59" s="149">
        <v>9</v>
      </c>
      <c r="N59" s="149">
        <v>29.986590038314173</v>
      </c>
      <c r="O59" s="149">
        <v>-4.9865900383141728</v>
      </c>
    </row>
    <row r="60" spans="1:15" x14ac:dyDescent="0.35">
      <c r="A60" s="163">
        <v>10</v>
      </c>
      <c r="B60" s="149">
        <v>25.89750957854406</v>
      </c>
      <c r="C60" s="149">
        <v>7.1024904214559399</v>
      </c>
      <c r="K60" s="153"/>
      <c r="M60" s="149">
        <v>10</v>
      </c>
      <c r="N60" s="149">
        <v>25.89750957854406</v>
      </c>
      <c r="O60" s="149">
        <v>-3.8975095785440601</v>
      </c>
    </row>
    <row r="61" spans="1:15" x14ac:dyDescent="0.35">
      <c r="A61" s="163">
        <v>11</v>
      </c>
      <c r="B61" s="149">
        <v>31.349616858237546</v>
      </c>
      <c r="C61" s="149">
        <v>2.6503831417624539</v>
      </c>
      <c r="K61" s="153"/>
      <c r="M61" s="149">
        <v>11</v>
      </c>
      <c r="N61" s="149">
        <v>24.534482758620687</v>
      </c>
      <c r="O61" s="149">
        <v>1.4655172413793132</v>
      </c>
    </row>
    <row r="62" spans="1:15" x14ac:dyDescent="0.35">
      <c r="A62" s="163">
        <v>12</v>
      </c>
      <c r="B62" s="149">
        <v>23.171455938697314</v>
      </c>
      <c r="C62" s="149">
        <v>4.8285440613026864</v>
      </c>
      <c r="K62" s="153"/>
      <c r="M62" s="149">
        <v>12</v>
      </c>
      <c r="N62" s="149">
        <v>23.171455938697314</v>
      </c>
      <c r="O62" s="149">
        <v>0.82854406130268643</v>
      </c>
    </row>
    <row r="63" spans="1:15" x14ac:dyDescent="0.35">
      <c r="A63" s="163">
        <v>13</v>
      </c>
      <c r="B63" s="149">
        <v>17.719348659003828</v>
      </c>
      <c r="C63" s="149">
        <v>-1.7193486590038276</v>
      </c>
      <c r="K63" s="153"/>
      <c r="M63" s="149">
        <v>13</v>
      </c>
      <c r="N63" s="149">
        <v>32.712643678160916</v>
      </c>
      <c r="O63" s="149">
        <v>-3.7126436781609158</v>
      </c>
    </row>
    <row r="64" spans="1:15" x14ac:dyDescent="0.35">
      <c r="A64" s="163">
        <v>14</v>
      </c>
      <c r="B64" s="149">
        <v>21.808429118773944</v>
      </c>
      <c r="C64" s="149">
        <v>-2.8084291187739439</v>
      </c>
      <c r="K64" s="153"/>
      <c r="M64" s="149">
        <v>14</v>
      </c>
      <c r="N64" s="149">
        <v>23.171455938697314</v>
      </c>
      <c r="O64" s="149">
        <v>0.82854406130268643</v>
      </c>
    </row>
    <row r="65" spans="1:15" x14ac:dyDescent="0.35">
      <c r="A65" s="163">
        <v>15</v>
      </c>
      <c r="B65" s="149">
        <v>29.986590038314173</v>
      </c>
      <c r="C65" s="149">
        <v>-4.9865900383141728</v>
      </c>
      <c r="K65" s="153"/>
      <c r="M65" s="149">
        <v>15</v>
      </c>
      <c r="N65" s="149">
        <v>27.26053639846743</v>
      </c>
      <c r="O65" s="149">
        <v>3.7394636015325702</v>
      </c>
    </row>
    <row r="66" spans="1:15" x14ac:dyDescent="0.35">
      <c r="A66" s="163">
        <v>16</v>
      </c>
      <c r="B66" s="149">
        <v>25.89750957854406</v>
      </c>
      <c r="C66" s="149">
        <v>-3.8975095785440601</v>
      </c>
      <c r="K66" s="153"/>
      <c r="M66" s="149">
        <v>16</v>
      </c>
      <c r="N66" s="149">
        <v>25.89750957854406</v>
      </c>
      <c r="O66" s="149">
        <v>7.1024904214559399</v>
      </c>
    </row>
    <row r="67" spans="1:15" x14ac:dyDescent="0.35">
      <c r="A67" s="163">
        <v>17</v>
      </c>
      <c r="B67" s="149">
        <v>24.534482758620687</v>
      </c>
      <c r="C67" s="149">
        <v>1.4655172413793132</v>
      </c>
      <c r="K67" s="153"/>
      <c r="M67" s="149">
        <v>17</v>
      </c>
      <c r="N67" s="149">
        <v>31.349616858237546</v>
      </c>
      <c r="O67" s="149">
        <v>2.6503831417624539</v>
      </c>
    </row>
    <row r="68" spans="1:15" x14ac:dyDescent="0.35">
      <c r="A68" s="163">
        <v>18</v>
      </c>
      <c r="B68" s="149">
        <v>23.171455938697314</v>
      </c>
      <c r="C68" s="149">
        <v>0.82854406130268643</v>
      </c>
      <c r="K68" s="153"/>
      <c r="M68" s="149">
        <v>18</v>
      </c>
      <c r="N68" s="149">
        <v>23.171455938697314</v>
      </c>
      <c r="O68" s="149">
        <v>4.8285440613026864</v>
      </c>
    </row>
    <row r="69" spans="1:15" x14ac:dyDescent="0.35">
      <c r="A69" s="163">
        <v>19</v>
      </c>
      <c r="B69" s="149">
        <v>29.986590038314173</v>
      </c>
      <c r="C69" s="149">
        <v>-1.9865900383141728</v>
      </c>
      <c r="K69" s="153"/>
      <c r="M69" s="149">
        <v>19</v>
      </c>
      <c r="N69" s="149">
        <v>29.986590038314173</v>
      </c>
      <c r="O69" s="149">
        <v>-1.9865900383141728</v>
      </c>
    </row>
    <row r="70" spans="1:15" x14ac:dyDescent="0.35">
      <c r="A70" s="163">
        <v>20</v>
      </c>
      <c r="B70" s="149">
        <v>20.445402298850574</v>
      </c>
      <c r="C70" s="149">
        <v>-2.4454022988505741</v>
      </c>
      <c r="K70" s="153"/>
      <c r="M70" s="149">
        <v>20</v>
      </c>
      <c r="N70" s="149">
        <v>20.445402298850574</v>
      </c>
      <c r="O70" s="149">
        <v>-2.4454022988505741</v>
      </c>
    </row>
    <row r="71" spans="1:15" x14ac:dyDescent="0.35">
      <c r="A71" s="163">
        <v>21</v>
      </c>
      <c r="B71" s="149">
        <v>27.26053639846743</v>
      </c>
      <c r="C71" s="149">
        <v>2.7394636015325702</v>
      </c>
      <c r="K71" s="153"/>
      <c r="M71" s="149">
        <v>21</v>
      </c>
      <c r="N71" s="149">
        <v>27.26053639846743</v>
      </c>
      <c r="O71" s="149">
        <v>2.7394636015325702</v>
      </c>
    </row>
    <row r="72" spans="1:15" x14ac:dyDescent="0.35">
      <c r="A72" s="163">
        <v>22</v>
      </c>
      <c r="B72" s="149">
        <v>28.6235632183908</v>
      </c>
      <c r="C72" s="149">
        <v>4.3764367816092005</v>
      </c>
      <c r="K72" s="153"/>
      <c r="M72" s="149">
        <v>22</v>
      </c>
      <c r="N72" s="149">
        <v>28.6235632183908</v>
      </c>
      <c r="O72" s="149">
        <v>4.3764367816092005</v>
      </c>
    </row>
    <row r="73" spans="1:15" x14ac:dyDescent="0.35">
      <c r="A73" s="163">
        <v>23</v>
      </c>
      <c r="B73" s="149">
        <v>31.349616858237546</v>
      </c>
      <c r="C73" s="149">
        <v>3.6503831417624539</v>
      </c>
      <c r="K73" s="153"/>
      <c r="M73" s="149">
        <v>23</v>
      </c>
      <c r="N73" s="149">
        <v>31.349616858237546</v>
      </c>
      <c r="O73" s="149">
        <v>3.6503831417624539</v>
      </c>
    </row>
    <row r="74" spans="1:15" ht="15" thickBot="1" x14ac:dyDescent="0.4">
      <c r="A74" s="166">
        <v>24</v>
      </c>
      <c r="B74" s="165">
        <v>19.082375478927201</v>
      </c>
      <c r="C74" s="165">
        <v>-2.0823754789272009</v>
      </c>
      <c r="K74" s="153"/>
      <c r="M74" s="165">
        <v>24</v>
      </c>
      <c r="N74" s="165">
        <v>19.082375478927201</v>
      </c>
      <c r="O74" s="165">
        <v>-2.0823754789272009</v>
      </c>
    </row>
    <row r="75" spans="1:15" x14ac:dyDescent="0.35">
      <c r="A75" s="163"/>
      <c r="K75" s="153"/>
    </row>
    <row r="76" spans="1:15" x14ac:dyDescent="0.35">
      <c r="A76" s="163"/>
      <c r="K76" s="153"/>
    </row>
    <row r="77" spans="1:15" x14ac:dyDescent="0.35">
      <c r="A77" s="178" t="s">
        <v>116</v>
      </c>
      <c r="B77" s="178" t="s">
        <v>112</v>
      </c>
      <c r="C77" s="178" t="s">
        <v>124</v>
      </c>
      <c r="K77" s="153"/>
      <c r="M77" s="178" t="s">
        <v>116</v>
      </c>
      <c r="N77" s="178" t="s">
        <v>112</v>
      </c>
      <c r="O77" s="178" t="s">
        <v>123</v>
      </c>
    </row>
    <row r="78" spans="1:15" x14ac:dyDescent="0.35">
      <c r="A78" s="180">
        <v>16</v>
      </c>
      <c r="B78" s="180">
        <v>15</v>
      </c>
      <c r="C78" s="181">
        <v>0</v>
      </c>
      <c r="K78" s="153"/>
      <c r="M78" s="180">
        <v>16</v>
      </c>
      <c r="N78" s="180">
        <v>15</v>
      </c>
      <c r="O78" s="179">
        <v>0</v>
      </c>
    </row>
    <row r="79" spans="1:15" x14ac:dyDescent="0.35">
      <c r="A79" s="180">
        <v>14</v>
      </c>
      <c r="B79" s="180">
        <v>10</v>
      </c>
      <c r="C79" s="181">
        <v>0</v>
      </c>
      <c r="K79" s="153"/>
      <c r="M79" s="180">
        <v>14</v>
      </c>
      <c r="N79" s="180">
        <v>10</v>
      </c>
      <c r="O79" s="179">
        <v>0</v>
      </c>
    </row>
    <row r="80" spans="1:15" x14ac:dyDescent="0.35">
      <c r="A80" s="180">
        <v>24</v>
      </c>
      <c r="B80" s="180">
        <v>22</v>
      </c>
      <c r="C80" s="181">
        <v>0</v>
      </c>
      <c r="K80" s="153"/>
      <c r="M80" s="180">
        <v>24</v>
      </c>
      <c r="N80" s="180">
        <v>22</v>
      </c>
      <c r="O80" s="179">
        <v>0</v>
      </c>
    </row>
    <row r="81" spans="1:15" x14ac:dyDescent="0.35">
      <c r="A81" s="180">
        <v>23</v>
      </c>
      <c r="B81" s="180">
        <v>19</v>
      </c>
      <c r="C81" s="181">
        <v>0</v>
      </c>
      <c r="K81" s="153"/>
      <c r="M81" s="180">
        <v>23</v>
      </c>
      <c r="N81" s="180">
        <v>19</v>
      </c>
      <c r="O81" s="179">
        <v>0</v>
      </c>
    </row>
    <row r="82" spans="1:15" x14ac:dyDescent="0.35">
      <c r="A82" s="180">
        <v>26</v>
      </c>
      <c r="B82" s="180">
        <v>18</v>
      </c>
      <c r="C82" s="181">
        <v>0</v>
      </c>
      <c r="K82" s="153"/>
      <c r="M82" s="180">
        <v>26</v>
      </c>
      <c r="N82" s="180">
        <v>18</v>
      </c>
      <c r="O82" s="179">
        <v>0</v>
      </c>
    </row>
    <row r="83" spans="1:15" x14ac:dyDescent="0.35">
      <c r="A83" s="180">
        <v>24</v>
      </c>
      <c r="B83" s="180">
        <v>16</v>
      </c>
      <c r="C83" s="181">
        <v>0</v>
      </c>
      <c r="K83" s="153"/>
      <c r="M83" s="180">
        <v>24</v>
      </c>
      <c r="N83" s="180">
        <v>16</v>
      </c>
      <c r="O83" s="179">
        <v>0</v>
      </c>
    </row>
    <row r="84" spans="1:15" x14ac:dyDescent="0.35">
      <c r="A84" s="180">
        <v>29</v>
      </c>
      <c r="B84" s="180">
        <v>24</v>
      </c>
      <c r="C84" s="181">
        <v>0</v>
      </c>
      <c r="K84" s="153"/>
      <c r="M84" s="180">
        <v>16</v>
      </c>
      <c r="N84" s="180">
        <v>13</v>
      </c>
      <c r="O84" s="179">
        <v>0</v>
      </c>
    </row>
    <row r="85" spans="1:15" x14ac:dyDescent="0.35">
      <c r="A85" s="180">
        <v>24</v>
      </c>
      <c r="B85" s="180">
        <v>17</v>
      </c>
      <c r="C85" s="181">
        <v>0</v>
      </c>
      <c r="K85" s="153"/>
      <c r="M85" s="180">
        <v>19</v>
      </c>
      <c r="N85" s="180">
        <v>16</v>
      </c>
      <c r="O85" s="179">
        <v>0</v>
      </c>
    </row>
    <row r="86" spans="1:15" x14ac:dyDescent="0.35">
      <c r="A86" s="180">
        <v>31</v>
      </c>
      <c r="B86" s="180">
        <v>20</v>
      </c>
      <c r="C86" s="181">
        <v>0</v>
      </c>
      <c r="K86" s="153"/>
      <c r="M86" s="180">
        <v>25</v>
      </c>
      <c r="N86" s="180">
        <v>22</v>
      </c>
      <c r="O86" s="179">
        <v>0</v>
      </c>
    </row>
    <row r="87" spans="1:15" x14ac:dyDescent="0.35">
      <c r="A87" s="180">
        <v>33</v>
      </c>
      <c r="B87" s="180">
        <v>19</v>
      </c>
      <c r="C87" s="181">
        <v>0</v>
      </c>
      <c r="K87" s="153"/>
      <c r="M87" s="180">
        <v>22</v>
      </c>
      <c r="N87" s="180">
        <v>19</v>
      </c>
      <c r="O87" s="179">
        <v>0</v>
      </c>
    </row>
    <row r="88" spans="1:15" x14ac:dyDescent="0.35">
      <c r="A88" s="180">
        <v>34</v>
      </c>
      <c r="B88" s="180">
        <v>23</v>
      </c>
      <c r="C88" s="181">
        <v>0</v>
      </c>
      <c r="K88" s="153"/>
      <c r="M88" s="180">
        <v>26</v>
      </c>
      <c r="N88" s="180">
        <v>18</v>
      </c>
      <c r="O88" s="179">
        <v>0</v>
      </c>
    </row>
    <row r="89" spans="1:15" x14ac:dyDescent="0.35">
      <c r="A89" s="180">
        <v>28</v>
      </c>
      <c r="B89" s="180">
        <v>17</v>
      </c>
      <c r="C89" s="181">
        <v>0</v>
      </c>
      <c r="K89" s="153"/>
      <c r="M89" s="180">
        <v>24</v>
      </c>
      <c r="N89" s="180">
        <v>17</v>
      </c>
      <c r="O89" s="179">
        <v>0</v>
      </c>
    </row>
    <row r="90" spans="1:15" x14ac:dyDescent="0.35">
      <c r="A90" s="163"/>
      <c r="K90" s="153"/>
    </row>
    <row r="91" spans="1:15" x14ac:dyDescent="0.35">
      <c r="A91" s="163"/>
      <c r="K91" s="153"/>
    </row>
    <row r="92" spans="1:15" x14ac:dyDescent="0.35">
      <c r="A92" s="163" t="s">
        <v>102</v>
      </c>
      <c r="K92" s="153"/>
      <c r="M92" s="149" t="s">
        <v>102</v>
      </c>
    </row>
    <row r="93" spans="1:15" ht="15" thickBot="1" x14ac:dyDescent="0.4">
      <c r="A93" s="163"/>
      <c r="K93" s="153"/>
    </row>
    <row r="94" spans="1:15" x14ac:dyDescent="0.35">
      <c r="A94" s="168" t="s">
        <v>101</v>
      </c>
      <c r="B94" s="167"/>
      <c r="K94" s="153"/>
      <c r="M94" s="167" t="s">
        <v>101</v>
      </c>
      <c r="N94" s="167"/>
    </row>
    <row r="95" spans="1:15" x14ac:dyDescent="0.35">
      <c r="A95" s="163" t="s">
        <v>100</v>
      </c>
      <c r="B95" s="149">
        <v>0.98908269415137062</v>
      </c>
      <c r="K95" s="153"/>
      <c r="M95" s="149" t="s">
        <v>100</v>
      </c>
      <c r="N95" s="149">
        <v>0.99297476161134535</v>
      </c>
    </row>
    <row r="96" spans="1:15" x14ac:dyDescent="0.35">
      <c r="A96" s="163" t="s">
        <v>99</v>
      </c>
      <c r="B96" s="149">
        <v>0.97828457586973372</v>
      </c>
      <c r="K96" s="153"/>
      <c r="M96" s="149" t="s">
        <v>99</v>
      </c>
      <c r="N96" s="149">
        <v>0.9859988771971081</v>
      </c>
    </row>
    <row r="97" spans="1:21" x14ac:dyDescent="0.35">
      <c r="A97" s="163" t="s">
        <v>98</v>
      </c>
      <c r="B97" s="149">
        <v>0.88737548496064278</v>
      </c>
      <c r="K97" s="153"/>
      <c r="M97" s="149" t="s">
        <v>98</v>
      </c>
      <c r="N97" s="149">
        <v>0.89508978628801716</v>
      </c>
    </row>
    <row r="98" spans="1:21" x14ac:dyDescent="0.35">
      <c r="A98" s="163" t="s">
        <v>93</v>
      </c>
      <c r="B98" s="149">
        <v>4.0273375443141761</v>
      </c>
      <c r="K98" s="153"/>
      <c r="M98" s="149" t="s">
        <v>93</v>
      </c>
      <c r="N98" s="149">
        <v>2.7140124214282593</v>
      </c>
    </row>
    <row r="99" spans="1:21" ht="15" thickBot="1" x14ac:dyDescent="0.4">
      <c r="A99" s="166" t="s">
        <v>74</v>
      </c>
      <c r="B99" s="165">
        <v>12</v>
      </c>
      <c r="K99" s="153"/>
      <c r="M99" s="165" t="s">
        <v>74</v>
      </c>
      <c r="N99" s="165">
        <v>12</v>
      </c>
    </row>
    <row r="100" spans="1:21" x14ac:dyDescent="0.35">
      <c r="A100" s="163"/>
      <c r="K100" s="153"/>
    </row>
    <row r="101" spans="1:21" ht="15" thickBot="1" x14ac:dyDescent="0.4">
      <c r="A101" s="163" t="s">
        <v>56</v>
      </c>
      <c r="K101" s="153"/>
      <c r="M101" s="149" t="s">
        <v>56</v>
      </c>
    </row>
    <row r="102" spans="1:21" x14ac:dyDescent="0.35">
      <c r="A102" s="168"/>
      <c r="B102" s="167" t="s">
        <v>53</v>
      </c>
      <c r="C102" s="167" t="s">
        <v>54</v>
      </c>
      <c r="D102" s="167" t="s">
        <v>52</v>
      </c>
      <c r="E102" s="167" t="s">
        <v>51</v>
      </c>
      <c r="F102" s="167" t="s">
        <v>97</v>
      </c>
      <c r="K102" s="153"/>
      <c r="M102" s="167"/>
      <c r="N102" s="167" t="s">
        <v>53</v>
      </c>
      <c r="O102" s="167" t="s">
        <v>54</v>
      </c>
      <c r="P102" s="167" t="s">
        <v>52</v>
      </c>
      <c r="Q102" s="167" t="s">
        <v>51</v>
      </c>
      <c r="R102" s="167" t="s">
        <v>97</v>
      </c>
    </row>
    <row r="103" spans="1:21" x14ac:dyDescent="0.35">
      <c r="A103" s="163" t="s">
        <v>96</v>
      </c>
      <c r="B103" s="149">
        <v>1</v>
      </c>
      <c r="C103" s="149">
        <v>8037.5860753457318</v>
      </c>
      <c r="D103" s="149">
        <v>8037.5860753457318</v>
      </c>
      <c r="E103" s="149">
        <v>495.55239032004602</v>
      </c>
      <c r="F103" s="149">
        <v>7.5141567104136261E-10</v>
      </c>
      <c r="K103" s="153"/>
      <c r="M103" s="149" t="s">
        <v>96</v>
      </c>
      <c r="N103" s="149">
        <v>1</v>
      </c>
      <c r="O103" s="149">
        <v>5705.9755023396647</v>
      </c>
      <c r="P103" s="149">
        <v>5705.9755023396647</v>
      </c>
      <c r="Q103" s="149">
        <v>774.65127631963469</v>
      </c>
      <c r="R103" s="149">
        <v>8.3183314760546397E-11</v>
      </c>
    </row>
    <row r="104" spans="1:21" x14ac:dyDescent="0.35">
      <c r="A104" s="163" t="s">
        <v>95</v>
      </c>
      <c r="B104" s="149">
        <v>11</v>
      </c>
      <c r="C104" s="149">
        <v>178.4139246542679</v>
      </c>
      <c r="D104" s="149">
        <v>16.219447695842536</v>
      </c>
      <c r="K104" s="153"/>
      <c r="M104" s="149" t="s">
        <v>95</v>
      </c>
      <c r="N104" s="149">
        <v>11</v>
      </c>
      <c r="O104" s="149">
        <v>81.024497660335712</v>
      </c>
      <c r="P104" s="149">
        <v>7.365863423666883</v>
      </c>
    </row>
    <row r="105" spans="1:21" ht="15" thickBot="1" x14ac:dyDescent="0.4">
      <c r="A105" s="166" t="s">
        <v>46</v>
      </c>
      <c r="B105" s="165">
        <v>12</v>
      </c>
      <c r="C105" s="165">
        <v>8216</v>
      </c>
      <c r="D105" s="165"/>
      <c r="E105" s="165"/>
      <c r="F105" s="165"/>
      <c r="K105" s="153"/>
      <c r="M105" s="165" t="s">
        <v>46</v>
      </c>
      <c r="N105" s="165">
        <v>12</v>
      </c>
      <c r="O105" s="165">
        <v>5787</v>
      </c>
      <c r="P105" s="165"/>
      <c r="Q105" s="165"/>
      <c r="R105" s="165"/>
    </row>
    <row r="106" spans="1:21" ht="15" thickBot="1" x14ac:dyDescent="0.4">
      <c r="A106" s="163"/>
      <c r="K106" s="153"/>
    </row>
    <row r="107" spans="1:21" x14ac:dyDescent="0.35">
      <c r="A107" s="168"/>
      <c r="B107" s="167" t="s">
        <v>94</v>
      </c>
      <c r="C107" s="167" t="s">
        <v>93</v>
      </c>
      <c r="D107" s="167" t="s">
        <v>84</v>
      </c>
      <c r="E107" s="167" t="s">
        <v>50</v>
      </c>
      <c r="F107" s="167" t="s">
        <v>92</v>
      </c>
      <c r="G107" s="167" t="s">
        <v>91</v>
      </c>
      <c r="H107" s="167" t="s">
        <v>90</v>
      </c>
      <c r="I107" s="167" t="s">
        <v>89</v>
      </c>
      <c r="K107" s="153"/>
      <c r="M107" s="167"/>
      <c r="N107" s="167" t="s">
        <v>94</v>
      </c>
      <c r="O107" s="167" t="s">
        <v>93</v>
      </c>
      <c r="P107" s="167" t="s">
        <v>84</v>
      </c>
      <c r="Q107" s="167" t="s">
        <v>50</v>
      </c>
      <c r="R107" s="167" t="s">
        <v>92</v>
      </c>
      <c r="S107" s="167" t="s">
        <v>91</v>
      </c>
      <c r="T107" s="167" t="s">
        <v>90</v>
      </c>
      <c r="U107" s="167" t="s">
        <v>89</v>
      </c>
    </row>
    <row r="108" spans="1:21" x14ac:dyDescent="0.35">
      <c r="A108" s="163" t="s">
        <v>88</v>
      </c>
      <c r="B108" s="149">
        <v>0</v>
      </c>
      <c r="C108" s="149" t="e">
        <v>#N/A</v>
      </c>
      <c r="D108" s="149" t="e">
        <v>#N/A</v>
      </c>
      <c r="E108" s="149" t="e">
        <v>#N/A</v>
      </c>
      <c r="F108" s="149" t="e">
        <v>#N/A</v>
      </c>
      <c r="G108" s="149" t="e">
        <v>#N/A</v>
      </c>
      <c r="H108" s="149" t="e">
        <v>#N/A</v>
      </c>
      <c r="I108" s="149" t="e">
        <v>#N/A</v>
      </c>
      <c r="K108" s="153"/>
      <c r="M108" s="149" t="s">
        <v>88</v>
      </c>
      <c r="N108" s="149">
        <v>0</v>
      </c>
      <c r="O108" s="149" t="e">
        <v>#N/A</v>
      </c>
      <c r="P108" s="149" t="e">
        <v>#N/A</v>
      </c>
      <c r="Q108" s="149" t="e">
        <v>#N/A</v>
      </c>
      <c r="R108" s="149" t="e">
        <v>#N/A</v>
      </c>
      <c r="S108" s="149" t="e">
        <v>#N/A</v>
      </c>
      <c r="T108" s="149" t="e">
        <v>#N/A</v>
      </c>
      <c r="U108" s="149" t="e">
        <v>#N/A</v>
      </c>
    </row>
    <row r="109" spans="1:21" ht="15" thickBot="1" x14ac:dyDescent="0.4">
      <c r="A109" s="166" t="s">
        <v>112</v>
      </c>
      <c r="B109" s="165">
        <v>1.3843586075345733</v>
      </c>
      <c r="C109" s="165">
        <v>6.2187603043564042E-2</v>
      </c>
      <c r="D109" s="165">
        <v>22.261006049144456</v>
      </c>
      <c r="E109" s="165">
        <v>1.6890444368878021E-10</v>
      </c>
      <c r="F109" s="165">
        <v>1.2474846160940192</v>
      </c>
      <c r="G109" s="165">
        <v>1.5212325989751274</v>
      </c>
      <c r="H109" s="165">
        <v>1.2474846160940192</v>
      </c>
      <c r="I109" s="165">
        <v>1.5212325989751274</v>
      </c>
      <c r="K109" s="153"/>
      <c r="M109" s="165" t="s">
        <v>112</v>
      </c>
      <c r="N109" s="165">
        <v>1.2532342416735482</v>
      </c>
      <c r="O109" s="165">
        <v>4.502763449023383E-2</v>
      </c>
      <c r="P109" s="165">
        <v>27.832557847234142</v>
      </c>
      <c r="Q109" s="165">
        <v>1.5061599754412054E-11</v>
      </c>
      <c r="R109" s="165">
        <v>1.1541290863665132</v>
      </c>
      <c r="S109" s="165">
        <v>1.3523393969805833</v>
      </c>
      <c r="T109" s="165">
        <v>1.1541290863665132</v>
      </c>
      <c r="U109" s="165">
        <v>1.3523393969805833</v>
      </c>
    </row>
    <row r="110" spans="1:21" x14ac:dyDescent="0.35">
      <c r="A110" s="163"/>
      <c r="K110" s="153"/>
    </row>
    <row r="111" spans="1:21" x14ac:dyDescent="0.35">
      <c r="A111" s="163"/>
      <c r="K111" s="153"/>
    </row>
    <row r="112" spans="1:21" x14ac:dyDescent="0.35">
      <c r="A112" s="163"/>
      <c r="K112" s="153"/>
    </row>
    <row r="113" spans="1:15" x14ac:dyDescent="0.35">
      <c r="A113" s="163" t="s">
        <v>87</v>
      </c>
      <c r="K113" s="153"/>
      <c r="M113" s="149" t="s">
        <v>87</v>
      </c>
    </row>
    <row r="114" spans="1:15" ht="15" thickBot="1" x14ac:dyDescent="0.4">
      <c r="A114" s="163"/>
      <c r="K114" s="153"/>
    </row>
    <row r="115" spans="1:15" x14ac:dyDescent="0.35">
      <c r="A115" s="168" t="s">
        <v>86</v>
      </c>
      <c r="B115" s="167" t="s">
        <v>109</v>
      </c>
      <c r="C115" s="167" t="s">
        <v>85</v>
      </c>
      <c r="K115" s="153"/>
      <c r="M115" s="167" t="s">
        <v>86</v>
      </c>
      <c r="N115" s="167" t="s">
        <v>109</v>
      </c>
      <c r="O115" s="167" t="s">
        <v>85</v>
      </c>
    </row>
    <row r="116" spans="1:15" x14ac:dyDescent="0.35">
      <c r="A116" s="163">
        <v>1</v>
      </c>
      <c r="B116" s="149">
        <v>20.7653791130186</v>
      </c>
      <c r="C116" s="149">
        <v>-4.7653791130186001</v>
      </c>
      <c r="K116" s="153"/>
      <c r="M116" s="149">
        <v>1</v>
      </c>
      <c r="N116" s="149">
        <v>18.798513625103222</v>
      </c>
      <c r="O116" s="149">
        <v>-2.7985136251032223</v>
      </c>
    </row>
    <row r="117" spans="1:15" x14ac:dyDescent="0.35">
      <c r="A117" s="163">
        <v>2</v>
      </c>
      <c r="B117" s="149">
        <v>13.843586075345733</v>
      </c>
      <c r="C117" s="149">
        <v>0.15641392465426662</v>
      </c>
      <c r="K117" s="153"/>
      <c r="M117" s="149">
        <v>2</v>
      </c>
      <c r="N117" s="149">
        <v>12.532342416735482</v>
      </c>
      <c r="O117" s="149">
        <v>1.4676575832645185</v>
      </c>
    </row>
    <row r="118" spans="1:15" x14ac:dyDescent="0.35">
      <c r="A118" s="163">
        <v>3</v>
      </c>
      <c r="B118" s="149">
        <v>30.455889365760612</v>
      </c>
      <c r="C118" s="149">
        <v>-6.455889365760612</v>
      </c>
      <c r="K118" s="153"/>
      <c r="M118" s="149">
        <v>3</v>
      </c>
      <c r="N118" s="149">
        <v>27.571153316818062</v>
      </c>
      <c r="O118" s="149">
        <v>-3.5711533168180623</v>
      </c>
    </row>
    <row r="119" spans="1:15" x14ac:dyDescent="0.35">
      <c r="A119" s="163">
        <v>4</v>
      </c>
      <c r="B119" s="149">
        <v>26.302813543156894</v>
      </c>
      <c r="C119" s="149">
        <v>-3.3028135431568941</v>
      </c>
      <c r="K119" s="153"/>
      <c r="M119" s="149">
        <v>4</v>
      </c>
      <c r="N119" s="149">
        <v>23.811450591797417</v>
      </c>
      <c r="O119" s="149">
        <v>-0.81145059179741708</v>
      </c>
    </row>
    <row r="120" spans="1:15" x14ac:dyDescent="0.35">
      <c r="A120" s="163">
        <v>5</v>
      </c>
      <c r="B120" s="149">
        <v>24.918454935622318</v>
      </c>
      <c r="C120" s="149">
        <v>1.0815450643776821</v>
      </c>
      <c r="K120" s="153"/>
      <c r="M120" s="149">
        <v>5</v>
      </c>
      <c r="N120" s="149">
        <v>22.558216350123867</v>
      </c>
      <c r="O120" s="149">
        <v>3.4417836498761325</v>
      </c>
    </row>
    <row r="121" spans="1:15" x14ac:dyDescent="0.35">
      <c r="A121" s="163">
        <v>6</v>
      </c>
      <c r="B121" s="149">
        <v>22.149737720553173</v>
      </c>
      <c r="C121" s="149">
        <v>1.8502622794468273</v>
      </c>
      <c r="K121" s="153"/>
      <c r="M121" s="149">
        <v>6</v>
      </c>
      <c r="N121" s="149">
        <v>20.051747866776772</v>
      </c>
      <c r="O121" s="149">
        <v>3.9482521332232281</v>
      </c>
    </row>
    <row r="122" spans="1:15" x14ac:dyDescent="0.35">
      <c r="A122" s="163">
        <v>7</v>
      </c>
      <c r="B122" s="149">
        <v>33.224606580829757</v>
      </c>
      <c r="C122" s="149">
        <v>-4.2246065808297573</v>
      </c>
      <c r="K122" s="153"/>
      <c r="M122" s="149">
        <v>7</v>
      </c>
      <c r="N122" s="149">
        <v>16.292045141756127</v>
      </c>
      <c r="O122" s="149">
        <v>-0.29204514175612672</v>
      </c>
    </row>
    <row r="123" spans="1:15" x14ac:dyDescent="0.35">
      <c r="A123" s="163">
        <v>8</v>
      </c>
      <c r="B123" s="149">
        <v>23.534096328087745</v>
      </c>
      <c r="C123" s="149">
        <v>0.46590367191225468</v>
      </c>
      <c r="K123" s="153"/>
      <c r="M123" s="149">
        <v>8</v>
      </c>
      <c r="N123" s="149">
        <v>20.051747866776772</v>
      </c>
      <c r="O123" s="149">
        <v>-1.0517478667767719</v>
      </c>
    </row>
    <row r="124" spans="1:15" x14ac:dyDescent="0.35">
      <c r="A124" s="163">
        <v>9</v>
      </c>
      <c r="B124" s="149">
        <v>27.687172150691467</v>
      </c>
      <c r="C124" s="149">
        <v>3.3128278493085332</v>
      </c>
      <c r="K124" s="153"/>
      <c r="M124" s="149">
        <v>9</v>
      </c>
      <c r="N124" s="149">
        <v>27.571153316818062</v>
      </c>
      <c r="O124" s="149">
        <v>-2.5711533168180623</v>
      </c>
    </row>
    <row r="125" spans="1:15" x14ac:dyDescent="0.35">
      <c r="A125" s="163">
        <v>10</v>
      </c>
      <c r="B125" s="149">
        <v>26.302813543156894</v>
      </c>
      <c r="C125" s="149">
        <v>6.6971864568431059</v>
      </c>
      <c r="K125" s="153"/>
      <c r="M125" s="149">
        <v>10</v>
      </c>
      <c r="N125" s="149">
        <v>23.811450591797417</v>
      </c>
      <c r="O125" s="149">
        <v>-1.8114505917974171</v>
      </c>
    </row>
    <row r="126" spans="1:15" x14ac:dyDescent="0.35">
      <c r="A126" s="163">
        <v>11</v>
      </c>
      <c r="B126" s="149">
        <v>31.840247973295185</v>
      </c>
      <c r="C126" s="149">
        <v>2.1597520267048154</v>
      </c>
      <c r="K126" s="153"/>
      <c r="M126" s="149">
        <v>11</v>
      </c>
      <c r="N126" s="149">
        <v>22.558216350123867</v>
      </c>
      <c r="O126" s="149">
        <v>3.4417836498761325</v>
      </c>
    </row>
    <row r="127" spans="1:15" ht="15" thickBot="1" x14ac:dyDescent="0.4">
      <c r="A127" s="166">
        <v>12</v>
      </c>
      <c r="B127" s="165">
        <v>23.534096328087745</v>
      </c>
      <c r="C127" s="165">
        <v>4.4659036719122547</v>
      </c>
      <c r="K127" s="153"/>
      <c r="M127" s="165">
        <v>12</v>
      </c>
      <c r="N127" s="165">
        <v>21.304982108450321</v>
      </c>
      <c r="O127" s="165">
        <v>2.6950178915496785</v>
      </c>
    </row>
    <row r="128" spans="1:15" x14ac:dyDescent="0.35">
      <c r="A128" s="163"/>
      <c r="K128" s="153"/>
    </row>
    <row r="129" spans="1:15" x14ac:dyDescent="0.35">
      <c r="A129" s="163"/>
      <c r="K129" s="153"/>
    </row>
    <row r="130" spans="1:15" x14ac:dyDescent="0.35">
      <c r="A130" s="178" t="s">
        <v>116</v>
      </c>
      <c r="B130" s="178" t="s">
        <v>112</v>
      </c>
      <c r="C130" s="178" t="s">
        <v>124</v>
      </c>
      <c r="K130" s="153"/>
      <c r="M130" s="178" t="s">
        <v>116</v>
      </c>
      <c r="N130" s="178" t="s">
        <v>112</v>
      </c>
      <c r="O130" s="178" t="s">
        <v>123</v>
      </c>
    </row>
    <row r="131" spans="1:15" x14ac:dyDescent="0.35">
      <c r="A131" s="177">
        <v>16</v>
      </c>
      <c r="B131" s="177">
        <v>13</v>
      </c>
      <c r="C131" s="176">
        <v>1</v>
      </c>
      <c r="K131" s="153"/>
      <c r="M131" s="175">
        <v>29</v>
      </c>
      <c r="N131" s="175">
        <v>24</v>
      </c>
      <c r="O131" s="174">
        <v>1</v>
      </c>
    </row>
    <row r="132" spans="1:15" x14ac:dyDescent="0.35">
      <c r="A132" s="177">
        <v>19</v>
      </c>
      <c r="B132" s="177">
        <v>16</v>
      </c>
      <c r="C132" s="176">
        <v>1</v>
      </c>
      <c r="K132" s="153"/>
      <c r="M132" s="175">
        <v>24</v>
      </c>
      <c r="N132" s="175">
        <v>17</v>
      </c>
      <c r="O132" s="174">
        <v>1</v>
      </c>
    </row>
    <row r="133" spans="1:15" x14ac:dyDescent="0.35">
      <c r="A133" s="177">
        <v>25</v>
      </c>
      <c r="B133" s="177">
        <v>22</v>
      </c>
      <c r="C133" s="176">
        <v>1</v>
      </c>
      <c r="K133" s="153"/>
      <c r="M133" s="175">
        <v>31</v>
      </c>
      <c r="N133" s="175">
        <v>20</v>
      </c>
      <c r="O133" s="174">
        <v>1</v>
      </c>
    </row>
    <row r="134" spans="1:15" x14ac:dyDescent="0.35">
      <c r="A134" s="177">
        <v>22</v>
      </c>
      <c r="B134" s="177">
        <v>19</v>
      </c>
      <c r="C134" s="176">
        <v>1</v>
      </c>
      <c r="K134" s="153"/>
      <c r="M134" s="175">
        <v>33</v>
      </c>
      <c r="N134" s="175">
        <v>19</v>
      </c>
      <c r="O134" s="174">
        <v>1</v>
      </c>
    </row>
    <row r="135" spans="1:15" x14ac:dyDescent="0.35">
      <c r="A135" s="177">
        <v>26</v>
      </c>
      <c r="B135" s="177">
        <v>18</v>
      </c>
      <c r="C135" s="176">
        <v>1</v>
      </c>
      <c r="K135" s="153"/>
      <c r="M135" s="175">
        <v>34</v>
      </c>
      <c r="N135" s="175">
        <v>23</v>
      </c>
      <c r="O135" s="174">
        <v>1</v>
      </c>
    </row>
    <row r="136" spans="1:15" x14ac:dyDescent="0.35">
      <c r="A136" s="177">
        <v>24</v>
      </c>
      <c r="B136" s="177">
        <v>17</v>
      </c>
      <c r="C136" s="176">
        <v>1</v>
      </c>
      <c r="K136" s="153"/>
      <c r="M136" s="175">
        <v>28</v>
      </c>
      <c r="N136" s="175">
        <v>17</v>
      </c>
      <c r="O136" s="174">
        <v>1</v>
      </c>
    </row>
    <row r="137" spans="1:15" x14ac:dyDescent="0.35">
      <c r="A137" s="173">
        <v>28</v>
      </c>
      <c r="B137" s="172">
        <v>22</v>
      </c>
      <c r="C137" s="171">
        <v>1</v>
      </c>
      <c r="K137" s="153"/>
      <c r="M137" s="170">
        <v>28</v>
      </c>
      <c r="N137" s="170">
        <v>22</v>
      </c>
      <c r="O137" s="169">
        <v>1</v>
      </c>
    </row>
    <row r="138" spans="1:15" x14ac:dyDescent="0.35">
      <c r="A138" s="173">
        <v>18</v>
      </c>
      <c r="B138" s="172">
        <v>15</v>
      </c>
      <c r="C138" s="171">
        <v>1</v>
      </c>
      <c r="K138" s="153"/>
      <c r="M138" s="170">
        <v>18</v>
      </c>
      <c r="N138" s="170">
        <v>15</v>
      </c>
      <c r="O138" s="169">
        <v>1</v>
      </c>
    </row>
    <row r="139" spans="1:15" x14ac:dyDescent="0.35">
      <c r="A139" s="173">
        <v>30</v>
      </c>
      <c r="B139" s="172">
        <v>20</v>
      </c>
      <c r="C139" s="171">
        <v>1</v>
      </c>
      <c r="K139" s="153"/>
      <c r="M139" s="170">
        <v>30</v>
      </c>
      <c r="N139" s="170">
        <v>20</v>
      </c>
      <c r="O139" s="169">
        <v>1</v>
      </c>
    </row>
    <row r="140" spans="1:15" x14ac:dyDescent="0.35">
      <c r="A140" s="173">
        <v>33</v>
      </c>
      <c r="B140" s="172">
        <v>21</v>
      </c>
      <c r="C140" s="171">
        <v>1</v>
      </c>
      <c r="K140" s="153"/>
      <c r="M140" s="170">
        <v>33</v>
      </c>
      <c r="N140" s="170">
        <v>21</v>
      </c>
      <c r="O140" s="169">
        <v>1</v>
      </c>
    </row>
    <row r="141" spans="1:15" x14ac:dyDescent="0.35">
      <c r="A141" s="173">
        <v>35</v>
      </c>
      <c r="B141" s="172">
        <v>23</v>
      </c>
      <c r="C141" s="171">
        <v>1</v>
      </c>
      <c r="K141" s="153"/>
      <c r="M141" s="170">
        <v>35</v>
      </c>
      <c r="N141" s="170">
        <v>23</v>
      </c>
      <c r="O141" s="169">
        <v>1</v>
      </c>
    </row>
    <row r="142" spans="1:15" x14ac:dyDescent="0.35">
      <c r="A142" s="173">
        <v>17</v>
      </c>
      <c r="B142" s="172">
        <v>14</v>
      </c>
      <c r="C142" s="171">
        <v>1</v>
      </c>
      <c r="K142" s="153"/>
      <c r="M142" s="170">
        <v>17</v>
      </c>
      <c r="N142" s="170">
        <v>14</v>
      </c>
      <c r="O142" s="169">
        <v>1</v>
      </c>
    </row>
    <row r="143" spans="1:15" x14ac:dyDescent="0.35">
      <c r="A143" s="163"/>
      <c r="K143" s="153"/>
    </row>
    <row r="144" spans="1:15" x14ac:dyDescent="0.35">
      <c r="A144" s="163"/>
      <c r="K144" s="153"/>
    </row>
    <row r="145" spans="1:21" x14ac:dyDescent="0.35">
      <c r="A145" s="163" t="s">
        <v>102</v>
      </c>
      <c r="K145" s="153"/>
      <c r="M145" s="149" t="s">
        <v>102</v>
      </c>
    </row>
    <row r="146" spans="1:21" ht="15" thickBot="1" x14ac:dyDescent="0.4">
      <c r="A146" s="163"/>
      <c r="K146" s="153"/>
    </row>
    <row r="147" spans="1:21" x14ac:dyDescent="0.35">
      <c r="A147" s="168" t="s">
        <v>101</v>
      </c>
      <c r="B147" s="167"/>
      <c r="K147" s="153"/>
      <c r="M147" s="167" t="s">
        <v>101</v>
      </c>
      <c r="N147" s="167"/>
    </row>
    <row r="148" spans="1:21" x14ac:dyDescent="0.35">
      <c r="A148" s="163" t="s">
        <v>100</v>
      </c>
      <c r="B148" s="149">
        <v>0.99298797902673075</v>
      </c>
      <c r="K148" s="153"/>
      <c r="M148" s="149" t="s">
        <v>100</v>
      </c>
      <c r="N148" s="149">
        <v>0.99350208525947747</v>
      </c>
    </row>
    <row r="149" spans="1:21" x14ac:dyDescent="0.35">
      <c r="A149" s="163" t="s">
        <v>99</v>
      </c>
      <c r="B149" s="149">
        <v>0.98602512649159113</v>
      </c>
      <c r="K149" s="153"/>
      <c r="M149" s="149" t="s">
        <v>99</v>
      </c>
      <c r="N149" s="149">
        <v>0.98704639341493006</v>
      </c>
    </row>
    <row r="150" spans="1:21" x14ac:dyDescent="0.35">
      <c r="A150" s="163" t="s">
        <v>98</v>
      </c>
      <c r="B150" s="149">
        <v>0.8951160355825003</v>
      </c>
      <c r="K150" s="153"/>
      <c r="M150" s="149" t="s">
        <v>98</v>
      </c>
      <c r="N150" s="149">
        <v>0.89613730250583923</v>
      </c>
    </row>
    <row r="151" spans="1:21" x14ac:dyDescent="0.35">
      <c r="A151" s="163" t="s">
        <v>93</v>
      </c>
      <c r="B151" s="149">
        <v>3.1050591423926077</v>
      </c>
      <c r="K151" s="153"/>
      <c r="M151" s="149" t="s">
        <v>93</v>
      </c>
      <c r="N151" s="149">
        <v>3.4347056347237106</v>
      </c>
    </row>
    <row r="152" spans="1:21" ht="15" thickBot="1" x14ac:dyDescent="0.4">
      <c r="A152" s="166" t="s">
        <v>74</v>
      </c>
      <c r="B152" s="165">
        <v>12</v>
      </c>
      <c r="K152" s="153"/>
      <c r="M152" s="165" t="s">
        <v>74</v>
      </c>
      <c r="N152" s="165">
        <v>12</v>
      </c>
    </row>
    <row r="153" spans="1:21" x14ac:dyDescent="0.35">
      <c r="A153" s="163"/>
      <c r="K153" s="153"/>
    </row>
    <row r="154" spans="1:21" ht="15" thickBot="1" x14ac:dyDescent="0.4">
      <c r="A154" s="163" t="s">
        <v>56</v>
      </c>
      <c r="K154" s="153"/>
      <c r="M154" s="149" t="s">
        <v>56</v>
      </c>
    </row>
    <row r="155" spans="1:21" x14ac:dyDescent="0.35">
      <c r="A155" s="168"/>
      <c r="B155" s="167" t="s">
        <v>53</v>
      </c>
      <c r="C155" s="167" t="s">
        <v>54</v>
      </c>
      <c r="D155" s="167" t="s">
        <v>52</v>
      </c>
      <c r="E155" s="167" t="s">
        <v>51</v>
      </c>
      <c r="F155" s="167" t="s">
        <v>97</v>
      </c>
      <c r="K155" s="153"/>
      <c r="M155" s="167"/>
      <c r="N155" s="167" t="s">
        <v>53</v>
      </c>
      <c r="O155" s="167" t="s">
        <v>54</v>
      </c>
      <c r="P155" s="167" t="s">
        <v>52</v>
      </c>
      <c r="Q155" s="167" t="s">
        <v>51</v>
      </c>
      <c r="R155" s="167" t="s">
        <v>97</v>
      </c>
    </row>
    <row r="156" spans="1:21" x14ac:dyDescent="0.35">
      <c r="A156" s="163" t="s">
        <v>96</v>
      </c>
      <c r="B156" s="149">
        <v>1</v>
      </c>
      <c r="C156" s="149">
        <v>7482.9446849446849</v>
      </c>
      <c r="D156" s="149">
        <v>7482.9446849446849</v>
      </c>
      <c r="E156" s="149">
        <v>776.12698139136182</v>
      </c>
      <c r="F156" s="149">
        <v>8.2404657885173342E-11</v>
      </c>
      <c r="K156" s="153"/>
      <c r="M156" s="149" t="s">
        <v>96</v>
      </c>
      <c r="N156" s="149">
        <v>1</v>
      </c>
      <c r="O156" s="149">
        <v>9888.2307692307695</v>
      </c>
      <c r="P156" s="149">
        <v>9888.2307692307695</v>
      </c>
      <c r="Q156" s="149">
        <v>838.18435091879007</v>
      </c>
      <c r="R156" s="149">
        <v>5.6337006364675284E-11</v>
      </c>
    </row>
    <row r="157" spans="1:21" x14ac:dyDescent="0.35">
      <c r="A157" s="163" t="s">
        <v>95</v>
      </c>
      <c r="B157" s="149">
        <v>11</v>
      </c>
      <c r="C157" s="149">
        <v>106.05531505531508</v>
      </c>
      <c r="D157" s="149">
        <v>9.6413922777559158</v>
      </c>
      <c r="K157" s="153"/>
      <c r="M157" s="149" t="s">
        <v>95</v>
      </c>
      <c r="N157" s="149">
        <v>11</v>
      </c>
      <c r="O157" s="149">
        <v>129.76923076923089</v>
      </c>
      <c r="P157" s="149">
        <v>11.797202797202807</v>
      </c>
    </row>
    <row r="158" spans="1:21" ht="15" thickBot="1" x14ac:dyDescent="0.4">
      <c r="A158" s="166" t="s">
        <v>46</v>
      </c>
      <c r="B158" s="165">
        <v>12</v>
      </c>
      <c r="C158" s="165">
        <v>7589</v>
      </c>
      <c r="D158" s="165"/>
      <c r="E158" s="165"/>
      <c r="F158" s="165"/>
      <c r="K158" s="153"/>
      <c r="M158" s="165" t="s">
        <v>46</v>
      </c>
      <c r="N158" s="165">
        <v>12</v>
      </c>
      <c r="O158" s="165">
        <v>10018</v>
      </c>
      <c r="P158" s="165"/>
      <c r="Q158" s="165"/>
      <c r="R158" s="165"/>
    </row>
    <row r="159" spans="1:21" ht="15" thickBot="1" x14ac:dyDescent="0.4">
      <c r="A159" s="163"/>
      <c r="K159" s="153"/>
    </row>
    <row r="160" spans="1:21" x14ac:dyDescent="0.35">
      <c r="A160" s="168"/>
      <c r="B160" s="167" t="s">
        <v>94</v>
      </c>
      <c r="C160" s="167" t="s">
        <v>93</v>
      </c>
      <c r="D160" s="167" t="s">
        <v>84</v>
      </c>
      <c r="E160" s="167" t="s">
        <v>50</v>
      </c>
      <c r="F160" s="167" t="s">
        <v>92</v>
      </c>
      <c r="G160" s="167" t="s">
        <v>91</v>
      </c>
      <c r="H160" s="167" t="s">
        <v>90</v>
      </c>
      <c r="I160" s="167" t="s">
        <v>89</v>
      </c>
      <c r="K160" s="153"/>
      <c r="M160" s="167"/>
      <c r="N160" s="167" t="s">
        <v>94</v>
      </c>
      <c r="O160" s="167" t="s">
        <v>93</v>
      </c>
      <c r="P160" s="167" t="s">
        <v>84</v>
      </c>
      <c r="Q160" s="167" t="s">
        <v>50</v>
      </c>
      <c r="R160" s="167" t="s">
        <v>92</v>
      </c>
      <c r="S160" s="167" t="s">
        <v>91</v>
      </c>
      <c r="T160" s="167" t="s">
        <v>90</v>
      </c>
      <c r="U160" s="167" t="s">
        <v>89</v>
      </c>
    </row>
    <row r="161" spans="1:21" x14ac:dyDescent="0.35">
      <c r="A161" s="163" t="s">
        <v>88</v>
      </c>
      <c r="B161" s="149">
        <v>0</v>
      </c>
      <c r="C161" s="149" t="e">
        <v>#N/A</v>
      </c>
      <c r="D161" s="149" t="e">
        <v>#N/A</v>
      </c>
      <c r="E161" s="149" t="e">
        <v>#N/A</v>
      </c>
      <c r="F161" s="149" t="e">
        <v>#N/A</v>
      </c>
      <c r="G161" s="149" t="e">
        <v>#N/A</v>
      </c>
      <c r="H161" s="149" t="e">
        <v>#N/A</v>
      </c>
      <c r="I161" s="149" t="e">
        <v>#N/A</v>
      </c>
      <c r="K161" s="153"/>
      <c r="M161" s="149" t="s">
        <v>88</v>
      </c>
      <c r="N161" s="149">
        <v>0</v>
      </c>
      <c r="O161" s="149" t="e">
        <v>#N/A</v>
      </c>
      <c r="P161" s="149" t="e">
        <v>#N/A</v>
      </c>
      <c r="Q161" s="149" t="e">
        <v>#N/A</v>
      </c>
      <c r="R161" s="149" t="e">
        <v>#N/A</v>
      </c>
      <c r="S161" s="149" t="e">
        <v>#N/A</v>
      </c>
      <c r="T161" s="149" t="e">
        <v>#N/A</v>
      </c>
      <c r="U161" s="149" t="e">
        <v>#N/A</v>
      </c>
    </row>
    <row r="162" spans="1:21" ht="15" thickBot="1" x14ac:dyDescent="0.4">
      <c r="A162" s="166" t="s">
        <v>112</v>
      </c>
      <c r="B162" s="165">
        <v>1.3415103415103413</v>
      </c>
      <c r="C162" s="165">
        <v>4.8153475072495643E-2</v>
      </c>
      <c r="D162" s="165">
        <v>27.859055644284886</v>
      </c>
      <c r="E162" s="165">
        <v>1.4906779729122191E-11</v>
      </c>
      <c r="F162" s="165">
        <v>1.2355252574689357</v>
      </c>
      <c r="G162" s="165">
        <v>1.4474954255517469</v>
      </c>
      <c r="H162" s="165">
        <v>1.2355252574689357</v>
      </c>
      <c r="I162" s="165">
        <v>1.4474954255517469</v>
      </c>
      <c r="K162" s="153"/>
      <c r="M162" s="165" t="s">
        <v>112</v>
      </c>
      <c r="N162" s="165">
        <v>1.4475524475524475</v>
      </c>
      <c r="O162" s="165">
        <v>4.9999370195657984E-2</v>
      </c>
      <c r="P162" s="165">
        <v>28.951413625569128</v>
      </c>
      <c r="Q162" s="165">
        <v>9.8158844884278229E-12</v>
      </c>
      <c r="R162" s="165">
        <v>1.3375045757378761</v>
      </c>
      <c r="S162" s="165">
        <v>1.5576003193670189</v>
      </c>
      <c r="T162" s="165">
        <v>1.3375045757378761</v>
      </c>
      <c r="U162" s="165">
        <v>1.5576003193670189</v>
      </c>
    </row>
    <row r="163" spans="1:21" x14ac:dyDescent="0.35">
      <c r="A163" s="163"/>
      <c r="K163" s="153"/>
    </row>
    <row r="164" spans="1:21" x14ac:dyDescent="0.35">
      <c r="A164" s="163"/>
      <c r="K164" s="153"/>
    </row>
    <row r="165" spans="1:21" x14ac:dyDescent="0.35">
      <c r="A165" s="163"/>
      <c r="K165" s="153"/>
    </row>
    <row r="166" spans="1:21" x14ac:dyDescent="0.35">
      <c r="A166" s="163" t="s">
        <v>87</v>
      </c>
      <c r="K166" s="153"/>
      <c r="M166" s="149" t="s">
        <v>87</v>
      </c>
    </row>
    <row r="167" spans="1:21" ht="15" thickBot="1" x14ac:dyDescent="0.4">
      <c r="A167" s="163"/>
      <c r="K167" s="153"/>
    </row>
    <row r="168" spans="1:21" x14ac:dyDescent="0.35">
      <c r="A168" s="168" t="s">
        <v>86</v>
      </c>
      <c r="B168" s="167" t="s">
        <v>109</v>
      </c>
      <c r="C168" s="167" t="s">
        <v>85</v>
      </c>
      <c r="K168" s="153"/>
      <c r="M168" s="167" t="s">
        <v>86</v>
      </c>
      <c r="N168" s="167" t="s">
        <v>109</v>
      </c>
      <c r="O168" s="167" t="s">
        <v>85</v>
      </c>
    </row>
    <row r="169" spans="1:21" x14ac:dyDescent="0.35">
      <c r="A169" s="163">
        <v>1</v>
      </c>
      <c r="B169" s="149">
        <v>17.439634439634439</v>
      </c>
      <c r="C169" s="149">
        <v>-1.4396344396344389</v>
      </c>
      <c r="K169" s="153"/>
      <c r="M169" s="149">
        <v>1</v>
      </c>
      <c r="N169" s="149">
        <v>34.74125874125874</v>
      </c>
      <c r="O169" s="149">
        <v>-5.7412587412587399</v>
      </c>
    </row>
    <row r="170" spans="1:21" x14ac:dyDescent="0.35">
      <c r="A170" s="163">
        <v>2</v>
      </c>
      <c r="B170" s="149">
        <v>21.464165464165461</v>
      </c>
      <c r="C170" s="149">
        <v>-2.4641654641654611</v>
      </c>
      <c r="K170" s="153"/>
      <c r="M170" s="149">
        <v>2</v>
      </c>
      <c r="N170" s="149">
        <v>24.608391608391607</v>
      </c>
      <c r="O170" s="149">
        <v>-0.60839160839160655</v>
      </c>
    </row>
    <row r="171" spans="1:21" x14ac:dyDescent="0.35">
      <c r="A171" s="163">
        <v>3</v>
      </c>
      <c r="B171" s="149">
        <v>29.513227513227509</v>
      </c>
      <c r="C171" s="149">
        <v>-4.513227513227509</v>
      </c>
      <c r="K171" s="153"/>
      <c r="M171" s="149">
        <v>3</v>
      </c>
      <c r="N171" s="149">
        <v>28.95104895104895</v>
      </c>
      <c r="O171" s="149">
        <v>2.0489510489510501</v>
      </c>
    </row>
    <row r="172" spans="1:21" x14ac:dyDescent="0.35">
      <c r="A172" s="163">
        <v>4</v>
      </c>
      <c r="B172" s="149">
        <v>25.488696488696483</v>
      </c>
      <c r="C172" s="149">
        <v>-3.4886964886964833</v>
      </c>
      <c r="K172" s="153"/>
      <c r="M172" s="149">
        <v>4</v>
      </c>
      <c r="N172" s="149">
        <v>27.503496503496503</v>
      </c>
      <c r="O172" s="149">
        <v>5.4965034965034967</v>
      </c>
    </row>
    <row r="173" spans="1:21" x14ac:dyDescent="0.35">
      <c r="A173" s="163">
        <v>5</v>
      </c>
      <c r="B173" s="149">
        <v>24.147186147186144</v>
      </c>
      <c r="C173" s="149">
        <v>1.8528138528138562</v>
      </c>
      <c r="K173" s="153"/>
      <c r="M173" s="149">
        <v>5</v>
      </c>
      <c r="N173" s="149">
        <v>33.293706293706293</v>
      </c>
      <c r="O173" s="149">
        <v>0.70629370629370669</v>
      </c>
    </row>
    <row r="174" spans="1:21" x14ac:dyDescent="0.35">
      <c r="A174" s="163">
        <v>6</v>
      </c>
      <c r="B174" s="149">
        <v>22.805675805675804</v>
      </c>
      <c r="C174" s="149">
        <v>1.1943241943241958</v>
      </c>
      <c r="K174" s="153"/>
      <c r="M174" s="149">
        <v>6</v>
      </c>
      <c r="N174" s="149">
        <v>24.608391608391607</v>
      </c>
      <c r="O174" s="149">
        <v>3.3916083916083934</v>
      </c>
    </row>
    <row r="175" spans="1:21" x14ac:dyDescent="0.35">
      <c r="A175" s="163">
        <v>7</v>
      </c>
      <c r="B175" s="149">
        <v>29.513227513227509</v>
      </c>
      <c r="C175" s="149">
        <v>-1.513227513227509</v>
      </c>
      <c r="K175" s="153"/>
      <c r="M175" s="149">
        <v>7</v>
      </c>
      <c r="N175" s="149">
        <v>31.846153846153847</v>
      </c>
      <c r="O175" s="149">
        <v>-3.8461538461538467</v>
      </c>
    </row>
    <row r="176" spans="1:21" x14ac:dyDescent="0.35">
      <c r="A176" s="163">
        <v>8</v>
      </c>
      <c r="B176" s="149">
        <v>20.122655122655118</v>
      </c>
      <c r="C176" s="149">
        <v>-2.122655122655118</v>
      </c>
      <c r="K176" s="153"/>
      <c r="M176" s="149">
        <v>8</v>
      </c>
      <c r="N176" s="149">
        <v>21.713286713286713</v>
      </c>
      <c r="O176" s="149">
        <v>-3.7132867132867133</v>
      </c>
    </row>
    <row r="177" spans="1:15" x14ac:dyDescent="0.35">
      <c r="A177" s="163">
        <v>9</v>
      </c>
      <c r="B177" s="149">
        <v>26.830206830206826</v>
      </c>
      <c r="C177" s="149">
        <v>3.1697931697931736</v>
      </c>
      <c r="K177" s="153"/>
      <c r="M177" s="149">
        <v>9</v>
      </c>
      <c r="N177" s="149">
        <v>28.95104895104895</v>
      </c>
      <c r="O177" s="149">
        <v>1.0489510489510501</v>
      </c>
    </row>
    <row r="178" spans="1:15" x14ac:dyDescent="0.35">
      <c r="A178" s="163">
        <v>10</v>
      </c>
      <c r="B178" s="149">
        <v>28.171717171717169</v>
      </c>
      <c r="C178" s="149">
        <v>4.8282828282828305</v>
      </c>
      <c r="K178" s="153"/>
      <c r="M178" s="149">
        <v>10</v>
      </c>
      <c r="N178" s="149">
        <v>30.398601398601397</v>
      </c>
      <c r="O178" s="149">
        <v>2.6013986013986035</v>
      </c>
    </row>
    <row r="179" spans="1:15" x14ac:dyDescent="0.35">
      <c r="A179" s="163">
        <v>11</v>
      </c>
      <c r="B179" s="149">
        <v>30.854737854737849</v>
      </c>
      <c r="C179" s="149">
        <v>4.1452621452621514</v>
      </c>
      <c r="K179" s="153"/>
      <c r="M179" s="149">
        <v>11</v>
      </c>
      <c r="N179" s="149">
        <v>33.293706293706293</v>
      </c>
      <c r="O179" s="149">
        <v>1.7062937062937067</v>
      </c>
    </row>
    <row r="180" spans="1:15" ht="15" thickBot="1" x14ac:dyDescent="0.4">
      <c r="A180" s="166">
        <v>12</v>
      </c>
      <c r="B180" s="165">
        <v>18.781144781144778</v>
      </c>
      <c r="C180" s="165">
        <v>-1.7811447811447785</v>
      </c>
      <c r="K180" s="153"/>
      <c r="M180" s="165">
        <v>12</v>
      </c>
      <c r="N180" s="165">
        <v>20.265734265734267</v>
      </c>
      <c r="O180" s="165">
        <v>-3.2657342657342667</v>
      </c>
    </row>
    <row r="181" spans="1:15" x14ac:dyDescent="0.35">
      <c r="A181" s="163"/>
      <c r="K181" s="153"/>
    </row>
    <row r="182" spans="1:15" x14ac:dyDescent="0.35">
      <c r="A182" s="163"/>
      <c r="K182" s="153"/>
    </row>
    <row r="183" spans="1:15" x14ac:dyDescent="0.35">
      <c r="A183" s="164" t="s">
        <v>166</v>
      </c>
      <c r="K183" s="153"/>
      <c r="M183" s="164" t="s">
        <v>166</v>
      </c>
    </row>
    <row r="184" spans="1:15" x14ac:dyDescent="0.35">
      <c r="A184" s="163">
        <f>((SUMSQ(C51:C74)-SUMSQ(C116:C127)-SUMSQ(C169:C180))*(24-2*1-2))/((SUMSQ(C116:C127)+SUMSQ(C169:C180))*(1+1))</f>
        <v>0.13475770830855682</v>
      </c>
      <c r="K184" s="153"/>
      <c r="M184" s="149">
        <f>((SUMSQ(O51:O74)-SUMSQ(O116:O127)-SUMSQ(O169:O180))*(24-2*1-2))/((SUMSQ(O116:O127)+SUMSQ(O169:O180))*(1+1))</f>
        <v>3.6770047259099989</v>
      </c>
    </row>
    <row r="185" spans="1:15" x14ac:dyDescent="0.35">
      <c r="A185" s="163"/>
      <c r="K185" s="153"/>
    </row>
    <row r="186" spans="1:15" x14ac:dyDescent="0.35">
      <c r="A186" s="163"/>
      <c r="K186" s="153"/>
    </row>
    <row r="187" spans="1:15" x14ac:dyDescent="0.35">
      <c r="A187" s="163"/>
      <c r="K187" s="153"/>
    </row>
    <row r="188" spans="1:15" x14ac:dyDescent="0.35">
      <c r="A188" s="163"/>
      <c r="K188" s="153"/>
    </row>
    <row r="189" spans="1:15" x14ac:dyDescent="0.35">
      <c r="A189" s="164" t="s">
        <v>165</v>
      </c>
      <c r="K189" s="153"/>
      <c r="M189" s="164" t="s">
        <v>165</v>
      </c>
    </row>
    <row r="190" spans="1:15" x14ac:dyDescent="0.35">
      <c r="A190" s="163">
        <f>_xlfn.F.INV.RT(0.05,1+1,24-2*1-2)</f>
        <v>3.492828476735633</v>
      </c>
      <c r="K190" s="153"/>
      <c r="M190" s="149" t="e">
        <f>F.</f>
        <v>#NAME?</v>
      </c>
    </row>
    <row r="191" spans="1:15" x14ac:dyDescent="0.35">
      <c r="A191" s="163"/>
      <c r="K191" s="153"/>
    </row>
    <row r="192" spans="1:15" x14ac:dyDescent="0.35">
      <c r="A192" s="162" t="s">
        <v>164</v>
      </c>
      <c r="B192" s="161"/>
      <c r="C192" s="160"/>
      <c r="K192" s="153"/>
    </row>
    <row r="193" spans="1:11" x14ac:dyDescent="0.35">
      <c r="A193" s="159" t="s">
        <v>163</v>
      </c>
      <c r="B193" s="158"/>
      <c r="C193" s="157"/>
      <c r="K193" s="153"/>
    </row>
    <row r="194" spans="1:11" x14ac:dyDescent="0.35">
      <c r="A194" s="156" t="s">
        <v>162</v>
      </c>
      <c r="B194" s="155"/>
      <c r="C194" s="154"/>
      <c r="K194" s="153"/>
    </row>
    <row r="195" spans="1:11" x14ac:dyDescent="0.35">
      <c r="A195" s="152"/>
      <c r="B195" s="151"/>
      <c r="C195" s="151"/>
      <c r="D195" s="151"/>
      <c r="E195" s="151"/>
      <c r="F195" s="151"/>
      <c r="G195" s="151"/>
      <c r="H195" s="151"/>
      <c r="I195" s="151"/>
      <c r="J195" s="151"/>
      <c r="K195" s="150"/>
    </row>
  </sheetData>
  <mergeCells count="4">
    <mergeCell ref="R8:R19"/>
    <mergeCell ref="A192:C192"/>
    <mergeCell ref="A193:C193"/>
    <mergeCell ref="A194:C194"/>
  </mergeCells>
  <pageMargins left="0.7" right="0.7" top="0.75" bottom="0.75" header="0.3" footer="0.3"/>
  <pageSetup paperSize="9"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1B03-05DD-4BB9-94D2-6C2044A8A3A5}">
  <dimension ref="A1:R73"/>
  <sheetViews>
    <sheetView topLeftCell="C1" zoomScale="110" zoomScaleNormal="110" workbookViewId="0">
      <selection activeCell="D25" sqref="D25"/>
    </sheetView>
  </sheetViews>
  <sheetFormatPr defaultRowHeight="14.5" x14ac:dyDescent="0.35"/>
  <cols>
    <col min="1" max="1" width="26.26953125" style="1" bestFit="1" customWidth="1"/>
    <col min="2" max="2" width="17.1796875" style="1" bestFit="1" customWidth="1"/>
    <col min="3" max="3" width="23.26953125" style="1" bestFit="1" customWidth="1"/>
    <col min="4" max="4" width="16.453125" style="1" bestFit="1" customWidth="1"/>
    <col min="5" max="5" width="16.54296875" style="1" bestFit="1" customWidth="1"/>
    <col min="6" max="6" width="17.1796875" style="1" bestFit="1" customWidth="1"/>
    <col min="7" max="7" width="17.26953125" style="1" bestFit="1" customWidth="1"/>
    <col min="8" max="8" width="14.7265625" style="1" bestFit="1" customWidth="1"/>
    <col min="9" max="9" width="14.81640625" style="1" bestFit="1" customWidth="1"/>
    <col min="10" max="14" width="8.7265625" style="1"/>
    <col min="15" max="15" width="17.1796875" style="1" bestFit="1" customWidth="1"/>
    <col min="16" max="16" width="19.81640625" style="1" bestFit="1" customWidth="1"/>
    <col min="17" max="17" width="8.7265625" style="1"/>
    <col min="18" max="18" width="28.1796875" style="1" bestFit="1" customWidth="1"/>
    <col min="19" max="16384" width="8.7265625" style="1"/>
  </cols>
  <sheetData>
    <row r="1" spans="1:18" ht="16.5" x14ac:dyDescent="0.45">
      <c r="A1" s="3" t="s">
        <v>112</v>
      </c>
      <c r="B1" s="3" t="s">
        <v>116</v>
      </c>
      <c r="M1" s="198" t="s">
        <v>186</v>
      </c>
      <c r="N1" s="198" t="s">
        <v>185</v>
      </c>
      <c r="O1" s="198" t="s">
        <v>109</v>
      </c>
      <c r="P1" s="198" t="s">
        <v>189</v>
      </c>
      <c r="Q1" s="198" t="s">
        <v>188</v>
      </c>
      <c r="R1" s="198" t="s">
        <v>187</v>
      </c>
    </row>
    <row r="2" spans="1:18" x14ac:dyDescent="0.35">
      <c r="A2" s="1">
        <v>951.4</v>
      </c>
      <c r="B2" s="1">
        <v>132.4</v>
      </c>
      <c r="M2" s="3">
        <v>39.615791628606253</v>
      </c>
      <c r="N2" s="3">
        <v>9.2552257751321809E-2</v>
      </c>
      <c r="O2" s="1">
        <f>$M$2+$N$2*A2</f>
        <v>127.67000965321381</v>
      </c>
      <c r="P2" s="1">
        <f>O2-B2</f>
        <v>-4.7299903467861952</v>
      </c>
      <c r="Q2" s="1">
        <f>SUMSQ(P2:P13)</f>
        <v>91.742823570290028</v>
      </c>
      <c r="R2" s="1">
        <f>O2-$B$15</f>
        <v>-16.038323680119532</v>
      </c>
    </row>
    <row r="3" spans="1:18" x14ac:dyDescent="0.35">
      <c r="A3" s="1">
        <v>1008</v>
      </c>
      <c r="B3" s="1">
        <v>129.4</v>
      </c>
      <c r="O3" s="1">
        <f>$M$2+$N$2*A3</f>
        <v>132.90846744193863</v>
      </c>
      <c r="P3" s="1">
        <f>O3-B3</f>
        <v>3.5084674419386204</v>
      </c>
      <c r="R3" s="1">
        <f>O3-$B$15</f>
        <v>-10.799865891394717</v>
      </c>
    </row>
    <row r="4" spans="1:18" ht="16.5" x14ac:dyDescent="0.45">
      <c r="A4" s="1">
        <v>1005</v>
      </c>
      <c r="B4" s="1">
        <v>128.1</v>
      </c>
      <c r="M4" s="198" t="s">
        <v>186</v>
      </c>
      <c r="N4" s="198" t="s">
        <v>185</v>
      </c>
      <c r="O4" s="1">
        <f>$M$2+$N$2*A4</f>
        <v>132.63081066868466</v>
      </c>
      <c r="P4" s="1">
        <f>O4-B4</f>
        <v>4.5308106686846656</v>
      </c>
      <c r="R4" s="1">
        <f>O4-$B$15</f>
        <v>-11.077522664648683</v>
      </c>
    </row>
    <row r="5" spans="1:18" x14ac:dyDescent="0.35">
      <c r="A5" s="1">
        <v>1011</v>
      </c>
      <c r="B5" s="1">
        <v>132.30000000000001</v>
      </c>
      <c r="M5" s="1">
        <f>B15-N5*A15</f>
        <v>39.555033634307037</v>
      </c>
      <c r="N5" s="1">
        <f>A17/A19</f>
        <v>9.2605405618410505E-2</v>
      </c>
      <c r="O5" s="1">
        <f>$M$2+$N$2*A5</f>
        <v>133.18612421519259</v>
      </c>
      <c r="P5" s="197">
        <f>O5-B5</f>
        <v>0.88612421519258078</v>
      </c>
      <c r="R5" s="1">
        <f>O5-$B$15</f>
        <v>-10.522209118140751</v>
      </c>
    </row>
    <row r="6" spans="1:18" x14ac:dyDescent="0.35">
      <c r="A6" s="1">
        <v>1056</v>
      </c>
      <c r="B6" s="1">
        <v>139.69999999999999</v>
      </c>
      <c r="O6" s="1">
        <f>$M$2+$N$2*A6</f>
        <v>137.35097581400208</v>
      </c>
      <c r="P6" s="197">
        <f>O6-B6</f>
        <v>-2.3490241859979051</v>
      </c>
      <c r="R6" s="1">
        <f>O6-$B$15</f>
        <v>-6.3573575193312593</v>
      </c>
    </row>
    <row r="7" spans="1:18" x14ac:dyDescent="0.35">
      <c r="A7" s="1">
        <v>1105</v>
      </c>
      <c r="B7" s="1">
        <v>145.19999999999999</v>
      </c>
      <c r="O7" s="1">
        <f>$M$2+$N$2*A7</f>
        <v>141.88603644381686</v>
      </c>
      <c r="P7" s="1">
        <f>O7-B7</f>
        <v>-3.3139635561831255</v>
      </c>
      <c r="R7" s="1">
        <f>O7-$B$15</f>
        <v>-1.8222968895164797</v>
      </c>
    </row>
    <row r="8" spans="1:18" x14ac:dyDescent="0.35">
      <c r="A8" s="1">
        <v>1162</v>
      </c>
      <c r="B8" s="1">
        <v>146.1</v>
      </c>
      <c r="O8" s="1">
        <f>$M$2+$N$2*A8</f>
        <v>147.16151513564219</v>
      </c>
      <c r="P8" s="197">
        <f>O8-B8</f>
        <v>1.0615151356421961</v>
      </c>
      <c r="R8" s="1">
        <f>O8-$B$15</f>
        <v>3.4531818023088476</v>
      </c>
    </row>
    <row r="9" spans="1:18" x14ac:dyDescent="0.35">
      <c r="A9" s="1">
        <v>1201</v>
      </c>
      <c r="B9" s="1">
        <v>149.30000000000001</v>
      </c>
      <c r="O9" s="1">
        <f>$M$2+$N$2*A9</f>
        <v>150.77105318794375</v>
      </c>
      <c r="P9" s="197">
        <f>O9-B9</f>
        <v>1.4710531879437383</v>
      </c>
      <c r="R9" s="1">
        <f>O9-$B$15</f>
        <v>7.0627198546104069</v>
      </c>
    </row>
    <row r="10" spans="1:18" x14ac:dyDescent="0.35">
      <c r="A10" s="1">
        <v>1209</v>
      </c>
      <c r="B10" s="1">
        <v>153.19999999999999</v>
      </c>
      <c r="O10" s="1">
        <f>$M$2+$N$2*A10</f>
        <v>151.51147124995433</v>
      </c>
      <c r="P10" s="197">
        <f>O10-B10</f>
        <v>-1.6885287500456627</v>
      </c>
      <c r="R10" s="1">
        <f>O10-$B$15</f>
        <v>7.8031379166209831</v>
      </c>
    </row>
    <row r="11" spans="1:18" x14ac:dyDescent="0.35">
      <c r="A11" s="1">
        <v>1249</v>
      </c>
      <c r="B11" s="1">
        <v>153</v>
      </c>
      <c r="O11" s="1">
        <f>$M$2+$N$2*A11</f>
        <v>155.21356156000718</v>
      </c>
      <c r="P11" s="197">
        <f>O11-B11</f>
        <v>2.2135615600071787</v>
      </c>
      <c r="R11" s="1">
        <f>O11-$B$15</f>
        <v>11.505228226673836</v>
      </c>
    </row>
    <row r="12" spans="1:18" x14ac:dyDescent="0.35">
      <c r="A12" s="1">
        <v>1254</v>
      </c>
      <c r="B12" s="1">
        <v>154.6</v>
      </c>
      <c r="O12" s="1">
        <f>$M$2+$N$2*A12</f>
        <v>155.67632284876379</v>
      </c>
      <c r="P12" s="197">
        <f>O12-B12</f>
        <v>1.0763228487637946</v>
      </c>
      <c r="R12" s="1">
        <f>O12-$B$15</f>
        <v>11.967989515430446</v>
      </c>
    </row>
    <row r="13" spans="1:18" x14ac:dyDescent="0.35">
      <c r="A13" s="1">
        <v>1285</v>
      </c>
      <c r="B13" s="1">
        <v>161.19999999999999</v>
      </c>
      <c r="O13" s="1">
        <f>$M$2+$N$2*A13</f>
        <v>158.54544283905477</v>
      </c>
      <c r="P13" s="197">
        <f>O13-B13</f>
        <v>-2.6545571609452168</v>
      </c>
      <c r="R13" s="1">
        <f>O13-$B$15</f>
        <v>14.837109505721429</v>
      </c>
    </row>
    <row r="14" spans="1:18" x14ac:dyDescent="0.35">
      <c r="A14" s="196" t="s">
        <v>62</v>
      </c>
      <c r="B14" s="196"/>
      <c r="P14" s="1">
        <f>ROUND(8/12*100,0)</f>
        <v>67</v>
      </c>
    </row>
    <row r="15" spans="1:18" x14ac:dyDescent="0.35">
      <c r="A15" s="1">
        <f>AVERAGE(A2:A13)</f>
        <v>1124.7</v>
      </c>
      <c r="B15" s="1">
        <f>AVERAGE(B2:B13)</f>
        <v>143.70833333333334</v>
      </c>
    </row>
    <row r="16" spans="1:18" x14ac:dyDescent="0.35">
      <c r="A16" s="196" t="s">
        <v>184</v>
      </c>
      <c r="B16" s="196"/>
    </row>
    <row r="17" spans="1:7" ht="15" thickBot="1" x14ac:dyDescent="0.4">
      <c r="A17" s="196">
        <f>(SUMPRODUCT(A2:A13,B2:B13)/COUNT(B2:B13)-A15*B15)</f>
        <v>1143.6758333333128</v>
      </c>
      <c r="B17" s="196"/>
    </row>
    <row r="18" spans="1:7" x14ac:dyDescent="0.35">
      <c r="A18" s="196" t="s">
        <v>183</v>
      </c>
      <c r="B18" s="196"/>
      <c r="D18" s="38" t="s">
        <v>112</v>
      </c>
      <c r="E18" s="38" t="s">
        <v>109</v>
      </c>
      <c r="F18" s="38" t="s">
        <v>79</v>
      </c>
      <c r="G18" s="38" t="s">
        <v>78</v>
      </c>
    </row>
    <row r="19" spans="1:7" x14ac:dyDescent="0.35">
      <c r="A19" s="3">
        <f>SUMSQ(A2:A13)/COUNT(A2:A13)-A15^2</f>
        <v>12349.989999999991</v>
      </c>
      <c r="B19" s="3">
        <f>SUMSQ(B2:B13)/COUNT(B2:B13)-B15^2</f>
        <v>113.55576388888221</v>
      </c>
      <c r="D19" s="1">
        <v>1270</v>
      </c>
      <c r="E19" s="1">
        <f>B39+B40*D19</f>
        <v>157.16389876968861</v>
      </c>
      <c r="F19" s="1">
        <f>E19-_xlfn.T.INV.2T(0.05,10)*$B$29*(1/12+(D19-$A$15)^2/(12*$A$19))^0.5</f>
        <v>153.95704006667549</v>
      </c>
      <c r="G19" s="1">
        <f>E19+_xlfn.T.INV.2T(0.05,10)*$B$29*(1/12+(D19-$A$15)^2/(12*$A$19))^0.5</f>
        <v>160.37075747270174</v>
      </c>
    </row>
    <row r="20" spans="1:7" x14ac:dyDescent="0.35">
      <c r="A20" s="3"/>
      <c r="B20" s="3"/>
      <c r="E20" s="1">
        <f>B39+B40*D19</f>
        <v>157.16389876968861</v>
      </c>
      <c r="F20" s="1">
        <f>E20-_xlfn.T.INV.2T(0.05,10)*$B$29*(1/12+(D19-$A$15)^2/(12*$A$19))^0.5</f>
        <v>153.95704006667549</v>
      </c>
      <c r="G20" s="1">
        <f>E20+_xlfn.T.INV.2T(0.05,10)*$B$29*(1/12+(D19-$A$15)^2/(12*$A$19))^0.5</f>
        <v>160.37075747270174</v>
      </c>
    </row>
    <row r="21" spans="1:7" ht="16.5" x14ac:dyDescent="0.45">
      <c r="A21" s="195" t="s">
        <v>182</v>
      </c>
      <c r="B21" s="195"/>
      <c r="C21" s="195"/>
      <c r="D21" s="195"/>
    </row>
    <row r="23" spans="1:7" x14ac:dyDescent="0.35">
      <c r="A23" s="1" t="s">
        <v>102</v>
      </c>
    </row>
    <row r="24" spans="1:7" ht="15" thickBot="1" x14ac:dyDescent="0.4"/>
    <row r="25" spans="1:7" x14ac:dyDescent="0.35">
      <c r="A25" s="194" t="s">
        <v>101</v>
      </c>
      <c r="B25" s="194"/>
    </row>
    <row r="26" spans="1:7" x14ac:dyDescent="0.35">
      <c r="A26" s="1" t="s">
        <v>100</v>
      </c>
      <c r="B26" s="1">
        <v>0.96575074029444186</v>
      </c>
      <c r="D26" s="1">
        <f>SQRT(D27)</f>
        <v>0.9651964834044735</v>
      </c>
    </row>
    <row r="27" spans="1:7" x14ac:dyDescent="0.35">
      <c r="A27" s="1" t="s">
        <v>99</v>
      </c>
      <c r="B27" s="1">
        <v>0.93267449237926248</v>
      </c>
      <c r="D27" s="1">
        <f>SUMSQ(R2:R13)/(B19*B30)</f>
        <v>0.93160425157636217</v>
      </c>
    </row>
    <row r="28" spans="1:7" x14ac:dyDescent="0.35">
      <c r="A28" s="1" t="s">
        <v>98</v>
      </c>
      <c r="B28" s="1">
        <v>0.92594194161718879</v>
      </c>
    </row>
    <row r="29" spans="1:7" x14ac:dyDescent="0.35">
      <c r="A29" s="1" t="s">
        <v>93</v>
      </c>
      <c r="B29" s="1">
        <v>3.0289006811871642</v>
      </c>
      <c r="E29" s="1">
        <f>SQRT(Q2/(B30-1-1))</f>
        <v>3.0289077828532522</v>
      </c>
    </row>
    <row r="30" spans="1:7" ht="15" thickBot="1" x14ac:dyDescent="0.4">
      <c r="A30" s="187" t="s">
        <v>74</v>
      </c>
      <c r="B30" s="187">
        <v>12</v>
      </c>
    </row>
    <row r="32" spans="1:7" ht="15" thickBot="1" x14ac:dyDescent="0.4">
      <c r="A32" s="1" t="s">
        <v>56</v>
      </c>
    </row>
    <row r="33" spans="1:10" x14ac:dyDescent="0.35">
      <c r="A33" s="38"/>
      <c r="B33" s="38" t="s">
        <v>53</v>
      </c>
      <c r="C33" s="38" t="s">
        <v>54</v>
      </c>
      <c r="D33" s="38" t="s">
        <v>52</v>
      </c>
      <c r="E33" s="38" t="s">
        <v>51</v>
      </c>
      <c r="F33" s="38" t="s">
        <v>97</v>
      </c>
    </row>
    <row r="34" spans="1:10" ht="16.5" x14ac:dyDescent="0.45">
      <c r="A34" s="1" t="s">
        <v>181</v>
      </c>
      <c r="B34" s="1">
        <v>1</v>
      </c>
      <c r="C34" s="1">
        <v>1270.9267733017</v>
      </c>
      <c r="D34" s="1">
        <v>1270.926773301705</v>
      </c>
      <c r="E34" s="1">
        <v>138.53211440057245</v>
      </c>
      <c r="F34" s="1">
        <v>3.5039113633572367E-7</v>
      </c>
      <c r="H34" s="193" t="s">
        <v>180</v>
      </c>
      <c r="I34" s="193" t="s">
        <v>97</v>
      </c>
      <c r="J34" s="193" t="s">
        <v>168</v>
      </c>
    </row>
    <row r="35" spans="1:10" x14ac:dyDescent="0.35">
      <c r="A35" s="1" t="s">
        <v>179</v>
      </c>
      <c r="B35" s="1">
        <v>10</v>
      </c>
      <c r="C35" s="1">
        <v>91.742393364960662</v>
      </c>
      <c r="D35" s="1">
        <v>9.1742393364960666</v>
      </c>
      <c r="F35" s="3" t="s">
        <v>178</v>
      </c>
      <c r="H35" s="188"/>
      <c r="I35" s="192">
        <v>3.5039113633572399E-7</v>
      </c>
      <c r="J35" s="191">
        <v>0.05</v>
      </c>
    </row>
    <row r="36" spans="1:10" ht="15" thickBot="1" x14ac:dyDescent="0.4">
      <c r="A36" s="187" t="s">
        <v>177</v>
      </c>
      <c r="B36" s="187">
        <v>11</v>
      </c>
      <c r="C36" s="187">
        <v>1362.6691666666657</v>
      </c>
      <c r="D36" s="187"/>
      <c r="E36" s="187"/>
      <c r="F36" s="187">
        <f>_xlfn.F.INV.RT(F34,B34,B35)</f>
        <v>138.53211440057248</v>
      </c>
    </row>
    <row r="37" spans="1:10" ht="15" thickBot="1" x14ac:dyDescent="0.4"/>
    <row r="38" spans="1:10" x14ac:dyDescent="0.35">
      <c r="A38" s="38"/>
      <c r="B38" s="38" t="s">
        <v>94</v>
      </c>
      <c r="C38" s="38" t="s">
        <v>93</v>
      </c>
      <c r="D38" s="38" t="s">
        <v>84</v>
      </c>
      <c r="E38" s="38" t="s">
        <v>50</v>
      </c>
      <c r="F38" s="38" t="s">
        <v>92</v>
      </c>
      <c r="G38" s="38" t="s">
        <v>91</v>
      </c>
      <c r="H38" s="38" t="s">
        <v>176</v>
      </c>
      <c r="I38" s="38" t="s">
        <v>175</v>
      </c>
    </row>
    <row r="39" spans="1:10" ht="16.5" x14ac:dyDescent="0.45">
      <c r="A39" s="190" t="s">
        <v>174</v>
      </c>
      <c r="B39" s="1">
        <v>39.555033634305275</v>
      </c>
      <c r="C39" s="1">
        <v>8.8921663074381065</v>
      </c>
      <c r="D39" s="1">
        <v>4.4483011525794716</v>
      </c>
      <c r="E39" s="1">
        <v>1.2384101250544539E-3</v>
      </c>
      <c r="F39" s="1">
        <v>19.742052406379102</v>
      </c>
      <c r="G39" s="1">
        <v>59.368014862231448</v>
      </c>
      <c r="H39" s="1">
        <v>11.373333955776495</v>
      </c>
      <c r="I39" s="1">
        <v>67.736733312834048</v>
      </c>
    </row>
    <row r="40" spans="1:10" ht="17" thickBot="1" x14ac:dyDescent="0.5">
      <c r="A40" s="189" t="s">
        <v>173</v>
      </c>
      <c r="B40" s="187">
        <v>9.2605405618412073E-2</v>
      </c>
      <c r="C40" s="187">
        <v>7.8679412230463087E-3</v>
      </c>
      <c r="D40" s="187">
        <v>11.769966626994847</v>
      </c>
      <c r="E40" s="187">
        <v>3.5039113633572367E-7</v>
      </c>
      <c r="F40" s="187">
        <v>7.5074540094198186E-2</v>
      </c>
      <c r="G40" s="187">
        <v>0.11013627114262596</v>
      </c>
      <c r="H40" s="187">
        <v>6.766975451045501E-2</v>
      </c>
      <c r="I40" s="187">
        <v>0.11754105672636914</v>
      </c>
    </row>
    <row r="41" spans="1:10" x14ac:dyDescent="0.35">
      <c r="E41" s="3" t="s">
        <v>172</v>
      </c>
    </row>
    <row r="42" spans="1:10" ht="15" thickBot="1" x14ac:dyDescent="0.4">
      <c r="C42" s="3" t="s">
        <v>171</v>
      </c>
      <c r="E42" s="1">
        <f>_xlfn.T.INV.2T(E39,10)</f>
        <v>4.4483011525794707</v>
      </c>
    </row>
    <row r="43" spans="1:10" ht="16.5" x14ac:dyDescent="0.45">
      <c r="C43" s="1">
        <f>_xlfn.T.INV.2T(0.05,10)</f>
        <v>2.2281388519862744</v>
      </c>
      <c r="E43" s="38" t="s">
        <v>170</v>
      </c>
      <c r="F43" s="38" t="s">
        <v>50</v>
      </c>
      <c r="G43" s="38" t="s">
        <v>168</v>
      </c>
    </row>
    <row r="44" spans="1:10" x14ac:dyDescent="0.35">
      <c r="A44" s="1" t="s">
        <v>87</v>
      </c>
      <c r="E44" s="188"/>
      <c r="F44" s="188">
        <v>1.2384101250544539E-3</v>
      </c>
      <c r="G44" s="188">
        <v>0.05</v>
      </c>
    </row>
    <row r="45" spans="1:10" ht="15" thickBot="1" x14ac:dyDescent="0.4"/>
    <row r="46" spans="1:10" ht="16.5" x14ac:dyDescent="0.45">
      <c r="A46" s="38" t="s">
        <v>86</v>
      </c>
      <c r="B46" s="38" t="s">
        <v>109</v>
      </c>
      <c r="C46" s="38" t="s">
        <v>85</v>
      </c>
      <c r="E46" s="38" t="s">
        <v>169</v>
      </c>
      <c r="F46" s="38" t="s">
        <v>50</v>
      </c>
      <c r="G46" s="38" t="s">
        <v>168</v>
      </c>
    </row>
    <row r="47" spans="1:10" x14ac:dyDescent="0.35">
      <c r="A47" s="1">
        <v>1</v>
      </c>
      <c r="B47" s="1">
        <v>127.65981653966251</v>
      </c>
      <c r="C47" s="1">
        <v>4.7401834603374908</v>
      </c>
      <c r="E47" s="188"/>
      <c r="F47" s="188">
        <v>3.5039113633572367E-7</v>
      </c>
      <c r="G47" s="188">
        <v>0.05</v>
      </c>
    </row>
    <row r="48" spans="1:10" x14ac:dyDescent="0.35">
      <c r="A48" s="1">
        <v>2</v>
      </c>
      <c r="B48" s="1">
        <v>132.90128249766462</v>
      </c>
      <c r="C48" s="1">
        <v>-3.5012824976646186</v>
      </c>
    </row>
    <row r="49" spans="1:4" x14ac:dyDescent="0.35">
      <c r="A49" s="1">
        <v>3</v>
      </c>
      <c r="B49" s="1">
        <v>132.6234662808094</v>
      </c>
      <c r="C49" s="1">
        <v>-4.5234662808094015</v>
      </c>
    </row>
    <row r="50" spans="1:4" x14ac:dyDescent="0.35">
      <c r="A50" s="1">
        <v>4</v>
      </c>
      <c r="B50" s="1">
        <v>133.17909871451988</v>
      </c>
      <c r="C50" s="1">
        <v>-0.87909871451986987</v>
      </c>
    </row>
    <row r="51" spans="1:4" x14ac:dyDescent="0.35">
      <c r="A51" s="1">
        <v>5</v>
      </c>
      <c r="B51" s="1">
        <v>137.34634196734842</v>
      </c>
      <c r="C51" s="1">
        <v>2.3536580326515661</v>
      </c>
    </row>
    <row r="52" spans="1:4" x14ac:dyDescent="0.35">
      <c r="A52" s="1">
        <v>6</v>
      </c>
      <c r="B52" s="1">
        <v>141.88400684265062</v>
      </c>
      <c r="C52" s="1">
        <v>3.3159931573493679</v>
      </c>
    </row>
    <row r="53" spans="1:4" x14ac:dyDescent="0.35">
      <c r="A53" s="1">
        <v>7</v>
      </c>
      <c r="B53" s="1">
        <v>147.1625149629001</v>
      </c>
      <c r="C53" s="1">
        <v>-1.06251496290011</v>
      </c>
    </row>
    <row r="54" spans="1:4" x14ac:dyDescent="0.35">
      <c r="A54" s="1">
        <v>8</v>
      </c>
      <c r="B54" s="1">
        <v>150.77412578201819</v>
      </c>
      <c r="C54" s="1">
        <v>-1.4741257820181772</v>
      </c>
    </row>
    <row r="55" spans="1:4" x14ac:dyDescent="0.35">
      <c r="A55" s="1">
        <v>9</v>
      </c>
      <c r="B55" s="1">
        <v>151.51496902696547</v>
      </c>
      <c r="C55" s="1">
        <v>1.6850309730345145</v>
      </c>
    </row>
    <row r="56" spans="1:4" x14ac:dyDescent="0.35">
      <c r="A56" s="1">
        <v>10</v>
      </c>
      <c r="B56" s="1">
        <v>155.21918525170196</v>
      </c>
      <c r="C56" s="1">
        <v>-2.2191852517019584</v>
      </c>
    </row>
    <row r="57" spans="1:4" x14ac:dyDescent="0.35">
      <c r="A57" s="1">
        <v>11</v>
      </c>
      <c r="B57" s="1">
        <v>155.68221227979402</v>
      </c>
      <c r="C57" s="1">
        <v>-1.082212279794021</v>
      </c>
    </row>
    <row r="58" spans="1:4" ht="15" thickBot="1" x14ac:dyDescent="0.4">
      <c r="A58" s="187">
        <v>12</v>
      </c>
      <c r="B58" s="187">
        <v>158.55297985396479</v>
      </c>
      <c r="C58" s="187">
        <v>2.647020146035203</v>
      </c>
    </row>
    <row r="60" spans="1:4" ht="15" thickBot="1" x14ac:dyDescent="0.4">
      <c r="C60" s="1">
        <f>B62-_xlfn.T.INV.2T(0.05,10)*$B$29*(1/12 +(A62-$A$15)^2/(12*$A$19))^0.5</f>
        <v>124.05071923969147</v>
      </c>
    </row>
    <row r="61" spans="1:4" x14ac:dyDescent="0.35">
      <c r="A61" s="38" t="s">
        <v>112</v>
      </c>
      <c r="B61" s="38" t="s">
        <v>109</v>
      </c>
      <c r="C61" s="38" t="s">
        <v>79</v>
      </c>
      <c r="D61" s="38" t="s">
        <v>78</v>
      </c>
    </row>
    <row r="62" spans="1:4" x14ac:dyDescent="0.35">
      <c r="A62" s="1">
        <v>951.4</v>
      </c>
      <c r="B62" s="1">
        <v>127.65981653966251</v>
      </c>
      <c r="C62" s="1">
        <f>B62-_xlfn.T.INV.2T(0.05,10)*$B$29*(1/12+(A62-$A$15)^2/(12*$A$19))^0.5</f>
        <v>124.05071923969147</v>
      </c>
      <c r="D62" s="1">
        <f>B62+_xlfn.T.INV.2T(0.05,10)*$B$29*(1/12+(A62-$A$15)^2/(12*$A$19))^0.5</f>
        <v>131.26891383963354</v>
      </c>
    </row>
    <row r="63" spans="1:4" x14ac:dyDescent="0.35">
      <c r="A63" s="1">
        <v>1005</v>
      </c>
      <c r="B63" s="1">
        <v>132.6234662808094</v>
      </c>
      <c r="C63" s="1">
        <f>B63-_xlfn.T.INV.2T(0.05,10)*$B$29*(1/12+(A63-$A$15)^2/(12*$A$19))^0.5</f>
        <v>129.76007535953502</v>
      </c>
      <c r="D63" s="1">
        <f>B63+_xlfn.T.INV.2T(0.05,10)*$B$29*(1/12+(A63-$A$15)^2/(12*$A$19))^0.5</f>
        <v>135.48685720208377</v>
      </c>
    </row>
    <row r="64" spans="1:4" x14ac:dyDescent="0.35">
      <c r="A64" s="1">
        <v>1008</v>
      </c>
      <c r="B64" s="1">
        <v>132.90128249766462</v>
      </c>
      <c r="C64" s="1">
        <f>B64-_xlfn.T.INV.2T(0.05,10)*$B$29*(1/12+(A64-$A$15)^2/(12*$A$19))^0.5</f>
        <v>130.07620758744483</v>
      </c>
      <c r="D64" s="1">
        <f>B64+_xlfn.T.INV.2T(0.05,10)*$B$29*(1/12+(A64-$A$15)^2/(12*$A$19))^0.5</f>
        <v>135.72635740788442</v>
      </c>
    </row>
    <row r="65" spans="1:4" x14ac:dyDescent="0.35">
      <c r="A65" s="1">
        <v>1011</v>
      </c>
      <c r="B65" s="1">
        <v>133.17909871451988</v>
      </c>
      <c r="C65" s="1">
        <f>B65-_xlfn.T.INV.2T(0.05,10)*$B$29*(1/12+(A65-$A$15)^2/(12*$A$19))^0.5</f>
        <v>130.39187412882558</v>
      </c>
      <c r="D65" s="1">
        <f>B65+_xlfn.T.INV.2T(0.05,10)*$B$29*(1/12+(A65-$A$15)^2/(12*$A$19))^0.5</f>
        <v>135.96632330021419</v>
      </c>
    </row>
    <row r="66" spans="1:4" x14ac:dyDescent="0.35">
      <c r="A66" s="1">
        <v>1056</v>
      </c>
      <c r="B66" s="1">
        <v>137.34634196734842</v>
      </c>
      <c r="C66" s="1">
        <f>B66-_xlfn.T.INV.2T(0.05,10)*$B$29*(1/12+(A66-$A$15)^2/(12*$A$19))^0.5</f>
        <v>135.05591711075513</v>
      </c>
      <c r="D66" s="1">
        <f>B66+_xlfn.T.INV.2T(0.05,10)*$B$29*(1/12+(A66-$A$15)^2/(12*$A$19))^0.5</f>
        <v>139.63676682394171</v>
      </c>
    </row>
    <row r="67" spans="1:4" x14ac:dyDescent="0.35">
      <c r="A67" s="1">
        <v>1105</v>
      </c>
      <c r="B67" s="1">
        <v>141.88400684265062</v>
      </c>
      <c r="C67" s="1">
        <f>B67-_xlfn.T.INV.2T(0.05,10)*$B$29*(1/12+(A67-$A$15)^2/(12*$A$19))^0.5</f>
        <v>139.90541896277134</v>
      </c>
      <c r="D67" s="1">
        <f>B67+_xlfn.T.INV.2T(0.05,10)*$B$29*(1/12+(A67-$A$15)^2/(12*$A$19))^0.5</f>
        <v>143.86259472252991</v>
      </c>
    </row>
    <row r="68" spans="1:4" x14ac:dyDescent="0.35">
      <c r="A68" s="1">
        <v>1162</v>
      </c>
      <c r="B68" s="1">
        <v>147.1625149629001</v>
      </c>
      <c r="C68" s="1">
        <f>B68-_xlfn.T.INV.2T(0.05,10)*$B$29*(1/12+(A68-$A$15)^2/(12*$A$19))^0.5</f>
        <v>145.10749070406018</v>
      </c>
      <c r="D68" s="1">
        <f>B68+_xlfn.T.INV.2T(0.05,10)*$B$29*(1/12+(A68-$A$15)^2/(12*$A$19))^0.5</f>
        <v>149.21753922174003</v>
      </c>
    </row>
    <row r="69" spans="1:4" x14ac:dyDescent="0.35">
      <c r="A69" s="1">
        <v>1201</v>
      </c>
      <c r="B69" s="1">
        <v>150.77412578201819</v>
      </c>
      <c r="C69" s="1">
        <f>B69-_xlfn.T.INV.2T(0.05,10)*$B$29*(1/12+(A69-$A$15)^2/(12*$A$19))^0.5</f>
        <v>148.41092349342262</v>
      </c>
      <c r="D69" s="1">
        <f>B69+_xlfn.T.INV.2T(0.05,10)*$B$29*(1/12+(A69-$A$15)^2/(12*$A$19))^0.5</f>
        <v>153.13732807061376</v>
      </c>
    </row>
    <row r="70" spans="1:4" x14ac:dyDescent="0.35">
      <c r="A70" s="1">
        <v>1209</v>
      </c>
      <c r="B70" s="1">
        <v>151.51496902696547</v>
      </c>
      <c r="C70" s="1">
        <f>B70-_xlfn.T.INV.2T(0.05,10)*$B$29*(1/12+(A70-$A$15)^2/(12*$A$19))^0.5</f>
        <v>149.0696501844175</v>
      </c>
      <c r="D70" s="1">
        <f>B70+_xlfn.T.INV.2T(0.05,10)*$B$29*(1/12+(A70-$A$15)^2/(12*$A$19))^0.5</f>
        <v>153.96028786951345</v>
      </c>
    </row>
    <row r="71" spans="1:4" x14ac:dyDescent="0.35">
      <c r="A71" s="1">
        <v>1249</v>
      </c>
      <c r="B71" s="1">
        <v>155.21918525170196</v>
      </c>
      <c r="C71" s="1">
        <f>B71-_xlfn.T.INV.2T(0.05,10)*$B$29*(1/12+(A71-$A$15)^2/(12*$A$19))^0.5</f>
        <v>152.29618060603707</v>
      </c>
      <c r="D71" s="1">
        <f>B71+_xlfn.T.INV.2T(0.05,10)*$B$29*(1/12+(A71-$A$15)^2/(12*$A$19))^0.5</f>
        <v>158.14218989736685</v>
      </c>
    </row>
    <row r="72" spans="1:4" x14ac:dyDescent="0.35">
      <c r="A72" s="1">
        <v>1254</v>
      </c>
      <c r="B72" s="1">
        <v>155.68221227979402</v>
      </c>
      <c r="C72" s="1">
        <f>B72-_xlfn.T.INV.2T(0.05,10)*$B$29*(1/12+(A72-$A$15)^2/(12*$A$19))^0.5</f>
        <v>152.69329070528892</v>
      </c>
      <c r="D72" s="1">
        <f>B72+_xlfn.T.INV.2T(0.05,10)*$B$29*(1/12+(A72-$A$15)^2/(12*$A$19))^0.5</f>
        <v>158.67113385429911</v>
      </c>
    </row>
    <row r="73" spans="1:4" ht="15" thickBot="1" x14ac:dyDescent="0.4">
      <c r="A73" s="187">
        <v>1285</v>
      </c>
      <c r="B73" s="187">
        <v>158.55297985396479</v>
      </c>
      <c r="C73" s="187">
        <f>B73-_xlfn.T.INV.2T(0.05,10)*$B$29*(1/12+(A73-$A$15)^2/(12*$A$19))^0.5</f>
        <v>155.13351364227566</v>
      </c>
      <c r="D73" s="187">
        <f>B73+_xlfn.T.INV.2T(0.05,10)*$B$29*(1/12+(A73-$A$15)^2/(12*$A$19))^0.5</f>
        <v>161.97244606565391</v>
      </c>
    </row>
  </sheetData>
  <mergeCells count="5">
    <mergeCell ref="A21:D21"/>
    <mergeCell ref="A14:B14"/>
    <mergeCell ref="A16:B16"/>
    <mergeCell ref="A17:B17"/>
    <mergeCell ref="A18:B1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AAE7-47B8-44FD-8457-F1D82660BBE3}">
  <dimension ref="A1:J127"/>
  <sheetViews>
    <sheetView zoomScale="67" zoomScaleNormal="100" workbookViewId="0">
      <selection activeCell="C18" sqref="C18"/>
    </sheetView>
  </sheetViews>
  <sheetFormatPr defaultRowHeight="14.5" x14ac:dyDescent="0.35"/>
  <cols>
    <col min="1" max="1" width="26.26953125" style="1" bestFit="1" customWidth="1"/>
    <col min="2" max="2" width="29.453125" style="1" bestFit="1" customWidth="1"/>
    <col min="3" max="3" width="23.26953125" style="1" bestFit="1" customWidth="1"/>
    <col min="4" max="4" width="31.453125" style="1" bestFit="1" customWidth="1"/>
    <col min="5" max="5" width="12" style="1" bestFit="1" customWidth="1"/>
    <col min="6" max="6" width="16.453125" style="1" bestFit="1" customWidth="1"/>
    <col min="7" max="7" width="13.1796875" style="1" bestFit="1" customWidth="1"/>
    <col min="8" max="8" width="28" style="1" bestFit="1" customWidth="1"/>
    <col min="9" max="9" width="14.81640625" style="1" bestFit="1" customWidth="1"/>
    <col min="10" max="16384" width="8.7265625" style="1"/>
  </cols>
  <sheetData>
    <row r="1" spans="1:2" x14ac:dyDescent="0.35">
      <c r="A1" s="3" t="s">
        <v>112</v>
      </c>
      <c r="B1" s="3" t="s">
        <v>116</v>
      </c>
    </row>
    <row r="2" spans="1:2" x14ac:dyDescent="0.35">
      <c r="A2" s="1">
        <v>11</v>
      </c>
      <c r="B2" s="1">
        <v>0.16</v>
      </c>
    </row>
    <row r="3" spans="1:2" x14ac:dyDescent="0.35">
      <c r="A3" s="1">
        <v>12</v>
      </c>
      <c r="B3" s="1">
        <v>0.18</v>
      </c>
    </row>
    <row r="4" spans="1:2" x14ac:dyDescent="0.35">
      <c r="A4" s="1">
        <v>13</v>
      </c>
      <c r="B4" s="1">
        <v>0.28000000000000003</v>
      </c>
    </row>
    <row r="5" spans="1:2" x14ac:dyDescent="0.35">
      <c r="A5" s="1">
        <v>14</v>
      </c>
      <c r="B5" s="1">
        <v>0.45</v>
      </c>
    </row>
    <row r="6" spans="1:2" x14ac:dyDescent="0.35">
      <c r="A6" s="1">
        <v>15</v>
      </c>
      <c r="B6" s="1">
        <v>0.53</v>
      </c>
    </row>
    <row r="7" spans="1:2" x14ac:dyDescent="0.35">
      <c r="A7" s="1">
        <v>16</v>
      </c>
      <c r="B7" s="1">
        <v>0.64</v>
      </c>
    </row>
    <row r="8" spans="1:2" x14ac:dyDescent="0.35">
      <c r="A8" s="1">
        <v>17</v>
      </c>
      <c r="B8" s="1">
        <v>0.7</v>
      </c>
    </row>
    <row r="9" spans="1:2" x14ac:dyDescent="0.35">
      <c r="A9" s="1">
        <v>18</v>
      </c>
      <c r="B9" s="1">
        <v>0.77</v>
      </c>
    </row>
    <row r="10" spans="1:2" x14ac:dyDescent="0.35">
      <c r="A10" s="1">
        <v>19</v>
      </c>
      <c r="B10" s="1">
        <v>0.82</v>
      </c>
    </row>
    <row r="11" spans="1:2" x14ac:dyDescent="0.35">
      <c r="A11" s="1">
        <v>20</v>
      </c>
      <c r="B11" s="1">
        <v>0.87</v>
      </c>
    </row>
    <row r="12" spans="1:2" x14ac:dyDescent="0.35">
      <c r="A12" s="1">
        <v>21</v>
      </c>
      <c r="B12" s="1">
        <v>0.9</v>
      </c>
    </row>
    <row r="13" spans="1:2" x14ac:dyDescent="0.35">
      <c r="A13" s="1">
        <v>22</v>
      </c>
      <c r="B13" s="1">
        <v>0.95</v>
      </c>
    </row>
    <row r="14" spans="1:2" x14ac:dyDescent="0.35">
      <c r="A14" s="1">
        <v>23</v>
      </c>
      <c r="B14" s="1">
        <v>0.98</v>
      </c>
    </row>
    <row r="15" spans="1:2" x14ac:dyDescent="0.35">
      <c r="A15" s="1">
        <v>24</v>
      </c>
      <c r="B15" s="1">
        <v>0.96</v>
      </c>
    </row>
    <row r="16" spans="1:2" x14ac:dyDescent="0.35">
      <c r="A16" s="1">
        <v>25</v>
      </c>
      <c r="B16" s="1">
        <v>0.98</v>
      </c>
    </row>
    <row r="19" spans="1:6" ht="16.5" x14ac:dyDescent="0.45">
      <c r="A19" s="195" t="s">
        <v>182</v>
      </c>
      <c r="B19" s="195"/>
      <c r="C19" s="195"/>
      <c r="D19" s="195"/>
    </row>
    <row r="20" spans="1:6" ht="16.5" x14ac:dyDescent="0.45">
      <c r="A20" s="195" t="s">
        <v>207</v>
      </c>
      <c r="B20" s="195"/>
      <c r="C20" s="195"/>
      <c r="D20" s="195"/>
    </row>
    <row r="21" spans="1:6" x14ac:dyDescent="0.35">
      <c r="A21" s="1" t="s">
        <v>102</v>
      </c>
    </row>
    <row r="22" spans="1:6" ht="15" thickBot="1" x14ac:dyDescent="0.4"/>
    <row r="23" spans="1:6" x14ac:dyDescent="0.35">
      <c r="A23" s="194" t="s">
        <v>101</v>
      </c>
      <c r="B23" s="194"/>
    </row>
    <row r="24" spans="1:6" x14ac:dyDescent="0.35">
      <c r="A24" s="1" t="s">
        <v>100</v>
      </c>
      <c r="B24" s="197">
        <v>0.96020828224642185</v>
      </c>
    </row>
    <row r="25" spans="1:6" x14ac:dyDescent="0.35">
      <c r="A25" s="1" t="s">
        <v>99</v>
      </c>
      <c r="B25" s="1">
        <v>0.92199994529462415</v>
      </c>
    </row>
    <row r="26" spans="1:6" x14ac:dyDescent="0.35">
      <c r="A26" s="1" t="s">
        <v>98</v>
      </c>
      <c r="B26" s="1">
        <v>0.91599994108651828</v>
      </c>
    </row>
    <row r="27" spans="1:6" x14ac:dyDescent="0.35">
      <c r="A27" s="1" t="s">
        <v>93</v>
      </c>
      <c r="B27" s="1">
        <v>8.4896672814339741E-2</v>
      </c>
    </row>
    <row r="28" spans="1:6" ht="15" thickBot="1" x14ac:dyDescent="0.4">
      <c r="A28" s="187" t="s">
        <v>74</v>
      </c>
      <c r="B28" s="187">
        <v>15</v>
      </c>
    </row>
    <row r="30" spans="1:6" ht="15" thickBot="1" x14ac:dyDescent="0.4">
      <c r="A30" s="1" t="s">
        <v>56</v>
      </c>
    </row>
    <row r="31" spans="1:6" x14ac:dyDescent="0.35">
      <c r="A31" s="38"/>
      <c r="B31" s="38" t="s">
        <v>53</v>
      </c>
      <c r="C31" s="38" t="s">
        <v>54</v>
      </c>
      <c r="D31" s="38" t="s">
        <v>52</v>
      </c>
      <c r="E31" s="38" t="s">
        <v>51</v>
      </c>
      <c r="F31" s="38" t="s">
        <v>97</v>
      </c>
    </row>
    <row r="32" spans="1:6" x14ac:dyDescent="0.35">
      <c r="A32" s="1" t="s">
        <v>96</v>
      </c>
      <c r="B32" s="1">
        <v>1</v>
      </c>
      <c r="C32" s="1">
        <v>1.1075432142857142</v>
      </c>
      <c r="D32" s="1">
        <v>1.1075432142857142</v>
      </c>
      <c r="E32" s="1">
        <v>153.66654977491987</v>
      </c>
      <c r="F32" s="1">
        <v>1.4140209881933774E-8</v>
      </c>
    </row>
    <row r="33" spans="1:9" x14ac:dyDescent="0.35">
      <c r="A33" s="1" t="s">
        <v>95</v>
      </c>
      <c r="B33" s="1">
        <v>13</v>
      </c>
      <c r="C33" s="1">
        <v>9.3696785714285691E-2</v>
      </c>
      <c r="D33" s="1">
        <v>7.2074450549450535E-3</v>
      </c>
    </row>
    <row r="34" spans="1:9" ht="15" thickBot="1" x14ac:dyDescent="0.4">
      <c r="A34" s="187" t="s">
        <v>46</v>
      </c>
      <c r="B34" s="187">
        <v>14</v>
      </c>
      <c r="C34" s="187">
        <v>1.2012399999999999</v>
      </c>
      <c r="D34" s="187"/>
      <c r="E34" s="187"/>
      <c r="F34" s="187"/>
    </row>
    <row r="35" spans="1:9" ht="15" thickBot="1" x14ac:dyDescent="0.4"/>
    <row r="36" spans="1:9" x14ac:dyDescent="0.35">
      <c r="A36" s="38"/>
      <c r="B36" s="38" t="s">
        <v>94</v>
      </c>
      <c r="C36" s="38" t="s">
        <v>93</v>
      </c>
      <c r="D36" s="38" t="s">
        <v>84</v>
      </c>
      <c r="E36" s="38" t="s">
        <v>50</v>
      </c>
      <c r="F36" s="38" t="s">
        <v>92</v>
      </c>
      <c r="G36" s="38" t="s">
        <v>91</v>
      </c>
      <c r="H36" s="38" t="s">
        <v>90</v>
      </c>
      <c r="I36" s="38" t="s">
        <v>89</v>
      </c>
    </row>
    <row r="37" spans="1:9" x14ac:dyDescent="0.35">
      <c r="A37" s="1" t="s">
        <v>88</v>
      </c>
      <c r="B37" s="1">
        <v>-0.45407142857142824</v>
      </c>
      <c r="C37" s="1">
        <v>9.3917729426214375E-2</v>
      </c>
      <c r="D37" s="1">
        <v>-4.8347786019269705</v>
      </c>
      <c r="E37" s="1">
        <v>3.2589898216916954E-4</v>
      </c>
      <c r="F37" s="1">
        <v>-0.65696834750997501</v>
      </c>
      <c r="G37" s="1">
        <v>-0.2511745096328814</v>
      </c>
      <c r="H37" s="1">
        <v>-0.65696834750997501</v>
      </c>
      <c r="I37" s="1">
        <v>-0.2511745096328814</v>
      </c>
    </row>
    <row r="38" spans="1:9" ht="15" thickBot="1" x14ac:dyDescent="0.4">
      <c r="A38" s="187" t="s">
        <v>112</v>
      </c>
      <c r="B38" s="187">
        <v>6.2892857142857139E-2</v>
      </c>
      <c r="C38" s="187">
        <v>5.0735466092500158E-3</v>
      </c>
      <c r="D38" s="187">
        <v>12.396231273049075</v>
      </c>
      <c r="E38" s="187">
        <v>1.4140209881933774E-8</v>
      </c>
      <c r="F38" s="187">
        <v>5.1932126071130326E-2</v>
      </c>
      <c r="G38" s="187">
        <v>7.385358821458396E-2</v>
      </c>
      <c r="H38" s="187">
        <v>5.1932126071130326E-2</v>
      </c>
      <c r="I38" s="187">
        <v>7.385358821458396E-2</v>
      </c>
    </row>
    <row r="42" spans="1:9" x14ac:dyDescent="0.35">
      <c r="A42" s="1" t="s">
        <v>87</v>
      </c>
    </row>
    <row r="43" spans="1:9" ht="15" thickBot="1" x14ac:dyDescent="0.4"/>
    <row r="44" spans="1:9" x14ac:dyDescent="0.35">
      <c r="A44" s="38" t="s">
        <v>86</v>
      </c>
      <c r="B44" s="38" t="s">
        <v>109</v>
      </c>
      <c r="C44" s="38" t="s">
        <v>85</v>
      </c>
      <c r="D44" s="38" t="s">
        <v>206</v>
      </c>
      <c r="E44" s="38" t="s">
        <v>192</v>
      </c>
    </row>
    <row r="45" spans="1:9" x14ac:dyDescent="0.35">
      <c r="A45" s="1">
        <v>1</v>
      </c>
      <c r="B45" s="1">
        <v>0.23775000000000035</v>
      </c>
      <c r="C45" s="1">
        <v>-7.7750000000000347E-2</v>
      </c>
      <c r="D45" s="1">
        <f>ABS(C45/B2)</f>
        <v>0.48593750000000213</v>
      </c>
      <c r="E45" s="1">
        <f>AVERAGE(D45:D59)*100</f>
        <v>16.305334183477406</v>
      </c>
    </row>
    <row r="46" spans="1:9" x14ac:dyDescent="0.35">
      <c r="A46" s="1">
        <v>2</v>
      </c>
      <c r="B46" s="1">
        <v>0.30064285714285743</v>
      </c>
      <c r="C46" s="1">
        <v>-0.12064285714285744</v>
      </c>
      <c r="D46" s="1">
        <f>ABS(C46/B3)</f>
        <v>0.67023809523809696</v>
      </c>
    </row>
    <row r="47" spans="1:9" x14ac:dyDescent="0.35">
      <c r="A47" s="1">
        <v>3</v>
      </c>
      <c r="B47" s="1">
        <v>0.36353571428571452</v>
      </c>
      <c r="C47" s="1">
        <v>-8.3535714285714491E-2</v>
      </c>
      <c r="D47" s="1">
        <f>ABS(C47/B4)</f>
        <v>0.29834183673469455</v>
      </c>
    </row>
    <row r="48" spans="1:9" x14ac:dyDescent="0.35">
      <c r="A48" s="1">
        <v>4</v>
      </c>
      <c r="B48" s="1">
        <v>0.42642857142857171</v>
      </c>
      <c r="C48" s="1">
        <v>2.3571428571428299E-2</v>
      </c>
      <c r="D48" s="1">
        <f>ABS(C48/B5)</f>
        <v>5.2380952380951772E-2</v>
      </c>
    </row>
    <row r="49" spans="1:5" x14ac:dyDescent="0.35">
      <c r="A49" s="1">
        <v>5</v>
      </c>
      <c r="B49" s="1">
        <v>0.48932142857142891</v>
      </c>
      <c r="C49" s="1">
        <v>4.067857142857112E-2</v>
      </c>
      <c r="D49" s="1">
        <f>ABS(C49/B6)</f>
        <v>7.6752021563341738E-2</v>
      </c>
    </row>
    <row r="50" spans="1:5" x14ac:dyDescent="0.35">
      <c r="A50" s="1">
        <v>6</v>
      </c>
      <c r="B50" s="1">
        <v>0.55221428571428599</v>
      </c>
      <c r="C50" s="1">
        <v>8.7785714285714023E-2</v>
      </c>
      <c r="D50" s="1">
        <f>ABS(C50/B7)</f>
        <v>0.13716517857142815</v>
      </c>
    </row>
    <row r="51" spans="1:5" x14ac:dyDescent="0.35">
      <c r="A51" s="1">
        <v>7</v>
      </c>
      <c r="B51" s="1">
        <v>0.61510714285714307</v>
      </c>
      <c r="C51" s="1">
        <v>8.4892857142856881E-2</v>
      </c>
      <c r="D51" s="1">
        <f>ABS(C51/B8)</f>
        <v>0.12127551020408127</v>
      </c>
    </row>
    <row r="52" spans="1:5" x14ac:dyDescent="0.35">
      <c r="A52" s="1">
        <v>8</v>
      </c>
      <c r="B52" s="1">
        <v>0.67800000000000016</v>
      </c>
      <c r="C52" s="1">
        <v>9.199999999999986E-2</v>
      </c>
      <c r="D52" s="1">
        <f>ABS(C52/B9)</f>
        <v>0.1194805194805193</v>
      </c>
    </row>
    <row r="53" spans="1:5" x14ac:dyDescent="0.35">
      <c r="A53" s="1">
        <v>9</v>
      </c>
      <c r="B53" s="1">
        <v>0.74089285714285746</v>
      </c>
      <c r="C53" s="1">
        <v>7.9107142857142487E-2</v>
      </c>
      <c r="D53" s="1">
        <f>ABS(C53/B10)</f>
        <v>9.6472125435539624E-2</v>
      </c>
    </row>
    <row r="54" spans="1:5" x14ac:dyDescent="0.35">
      <c r="A54" s="1">
        <v>10</v>
      </c>
      <c r="B54" s="1">
        <v>0.80378571428571455</v>
      </c>
      <c r="C54" s="1">
        <v>6.6214285714285448E-2</v>
      </c>
      <c r="D54" s="1">
        <f>ABS(C54/B11)</f>
        <v>7.6108374384236149E-2</v>
      </c>
    </row>
    <row r="55" spans="1:5" x14ac:dyDescent="0.35">
      <c r="A55" s="1">
        <v>11</v>
      </c>
      <c r="B55" s="1">
        <v>0.86667857142857163</v>
      </c>
      <c r="C55" s="1">
        <v>3.3321428571428391E-2</v>
      </c>
      <c r="D55" s="1">
        <f>ABS(C55/B12)</f>
        <v>3.702380952380932E-2</v>
      </c>
    </row>
    <row r="56" spans="1:5" x14ac:dyDescent="0.35">
      <c r="A56" s="1">
        <v>12</v>
      </c>
      <c r="B56" s="1">
        <v>0.92957142857142894</v>
      </c>
      <c r="C56" s="1">
        <v>2.0428571428571018E-2</v>
      </c>
      <c r="D56" s="1">
        <f>ABS(C56/B13)</f>
        <v>2.150375939849581E-2</v>
      </c>
    </row>
    <row r="57" spans="1:5" x14ac:dyDescent="0.35">
      <c r="A57" s="1">
        <v>13</v>
      </c>
      <c r="B57" s="1">
        <v>0.99246428571428602</v>
      </c>
      <c r="C57" s="1">
        <v>-1.2464285714286039E-2</v>
      </c>
      <c r="D57" s="1">
        <f>ABS(C57/B14)</f>
        <v>1.2718658892128611E-2</v>
      </c>
    </row>
    <row r="58" spans="1:5" x14ac:dyDescent="0.35">
      <c r="A58" s="1">
        <v>14</v>
      </c>
      <c r="B58" s="1">
        <v>1.0553571428571431</v>
      </c>
      <c r="C58" s="1">
        <v>-9.535714285714314E-2</v>
      </c>
      <c r="D58" s="1">
        <f>ABS(C58/B15)</f>
        <v>9.9330357142857442E-2</v>
      </c>
    </row>
    <row r="59" spans="1:5" ht="15" thickBot="1" x14ac:dyDescent="0.4">
      <c r="A59" s="187">
        <v>15</v>
      </c>
      <c r="B59" s="187">
        <v>1.1182500000000002</v>
      </c>
      <c r="C59" s="187">
        <v>-0.13825000000000021</v>
      </c>
      <c r="D59" s="187">
        <f>ABS(C59/B16)</f>
        <v>0.14107142857142879</v>
      </c>
      <c r="E59" s="187"/>
    </row>
    <row r="62" spans="1:5" ht="16.5" x14ac:dyDescent="0.45">
      <c r="A62" s="195" t="s">
        <v>205</v>
      </c>
      <c r="B62" s="195"/>
      <c r="C62" s="195"/>
      <c r="D62" s="195"/>
    </row>
    <row r="63" spans="1:5" ht="16.5" x14ac:dyDescent="0.45">
      <c r="A63" s="195" t="s">
        <v>204</v>
      </c>
      <c r="B63" s="195"/>
      <c r="C63" s="195"/>
      <c r="D63" s="195"/>
    </row>
    <row r="64" spans="1:5" ht="16.5" x14ac:dyDescent="0.45">
      <c r="A64" s="195" t="s">
        <v>203</v>
      </c>
      <c r="B64" s="195"/>
      <c r="C64" s="195"/>
      <c r="D64" s="195"/>
    </row>
    <row r="65" spans="1:4" ht="16.5" x14ac:dyDescent="0.45">
      <c r="A65" s="195" t="s">
        <v>202</v>
      </c>
      <c r="B65" s="195"/>
      <c r="C65" s="195"/>
      <c r="D65" s="195"/>
    </row>
    <row r="66" spans="1:4" ht="17.5" x14ac:dyDescent="0.45">
      <c r="A66" s="195" t="s">
        <v>201</v>
      </c>
      <c r="B66" s="195"/>
      <c r="C66" s="195"/>
      <c r="D66" s="195"/>
    </row>
    <row r="67" spans="1:4" ht="17.5" x14ac:dyDescent="0.45">
      <c r="A67" s="195" t="s">
        <v>200</v>
      </c>
      <c r="B67" s="195"/>
      <c r="C67" s="195"/>
      <c r="D67" s="195"/>
    </row>
    <row r="68" spans="1:4" ht="17.5" x14ac:dyDescent="0.45">
      <c r="A68" s="195" t="s">
        <v>199</v>
      </c>
      <c r="B68" s="195"/>
      <c r="C68" s="195"/>
      <c r="D68" s="195"/>
    </row>
    <row r="69" spans="1:4" ht="16.5" x14ac:dyDescent="0.45">
      <c r="A69" s="195" t="s">
        <v>198</v>
      </c>
      <c r="B69" s="195"/>
      <c r="C69" s="195"/>
      <c r="D69" s="195"/>
    </row>
    <row r="71" spans="1:4" x14ac:dyDescent="0.35">
      <c r="A71" s="3" t="s">
        <v>112</v>
      </c>
      <c r="B71" s="3" t="s">
        <v>116</v>
      </c>
      <c r="C71" s="3" t="s">
        <v>112</v>
      </c>
      <c r="D71" s="3" t="s">
        <v>197</v>
      </c>
    </row>
    <row r="72" spans="1:4" x14ac:dyDescent="0.35">
      <c r="A72" s="1">
        <v>11</v>
      </c>
      <c r="B72" s="1">
        <v>0.16</v>
      </c>
      <c r="C72" s="1">
        <v>11</v>
      </c>
      <c r="D72" s="1">
        <f>LN(1/B72 -1)</f>
        <v>1.6582280766035324</v>
      </c>
    </row>
    <row r="73" spans="1:4" x14ac:dyDescent="0.35">
      <c r="A73" s="1">
        <v>12</v>
      </c>
      <c r="B73" s="1">
        <v>0.18</v>
      </c>
      <c r="C73" s="1">
        <v>12</v>
      </c>
      <c r="D73" s="1">
        <f>LN(1/B73 -1)</f>
        <v>1.5163474893680884</v>
      </c>
    </row>
    <row r="74" spans="1:4" x14ac:dyDescent="0.35">
      <c r="A74" s="1">
        <v>13</v>
      </c>
      <c r="B74" s="1">
        <v>0.28000000000000003</v>
      </c>
      <c r="C74" s="1">
        <v>13</v>
      </c>
      <c r="D74" s="1">
        <f>LN(1/B74 -1)</f>
        <v>0.94446160884085129</v>
      </c>
    </row>
    <row r="75" spans="1:4" x14ac:dyDescent="0.35">
      <c r="A75" s="1">
        <v>14</v>
      </c>
      <c r="B75" s="1">
        <v>0.45</v>
      </c>
      <c r="C75" s="1">
        <v>14</v>
      </c>
      <c r="D75" s="1">
        <f>LN(1/B75 -1)</f>
        <v>0.20067069546215124</v>
      </c>
    </row>
    <row r="76" spans="1:4" x14ac:dyDescent="0.35">
      <c r="A76" s="1">
        <v>15</v>
      </c>
      <c r="B76" s="1">
        <v>0.53</v>
      </c>
      <c r="C76" s="1">
        <v>15</v>
      </c>
      <c r="D76" s="1">
        <f>LN(1/B76 -1)</f>
        <v>-0.12014431184206346</v>
      </c>
    </row>
    <row r="77" spans="1:4" x14ac:dyDescent="0.35">
      <c r="A77" s="1">
        <v>16</v>
      </c>
      <c r="B77" s="1">
        <v>0.64</v>
      </c>
      <c r="C77" s="1">
        <v>16</v>
      </c>
      <c r="D77" s="1">
        <f>LN(1/B77 -1)</f>
        <v>-0.5753641449035618</v>
      </c>
    </row>
    <row r="78" spans="1:4" x14ac:dyDescent="0.35">
      <c r="A78" s="1">
        <v>17</v>
      </c>
      <c r="B78" s="1">
        <v>0.7</v>
      </c>
      <c r="C78" s="1">
        <v>17</v>
      </c>
      <c r="D78" s="1">
        <f>LN(1/B78 -1)</f>
        <v>-0.84729786038720356</v>
      </c>
    </row>
    <row r="79" spans="1:4" x14ac:dyDescent="0.35">
      <c r="A79" s="1">
        <v>18</v>
      </c>
      <c r="B79" s="1">
        <v>0.77</v>
      </c>
      <c r="C79" s="1">
        <v>18</v>
      </c>
      <c r="D79" s="1">
        <f>LN(1/B79 -1)</f>
        <v>-1.2083112059245342</v>
      </c>
    </row>
    <row r="80" spans="1:4" x14ac:dyDescent="0.35">
      <c r="A80" s="1">
        <v>19</v>
      </c>
      <c r="B80" s="1">
        <v>0.82</v>
      </c>
      <c r="C80" s="1">
        <v>19</v>
      </c>
      <c r="D80" s="1">
        <f>LN(1/B80 -1)</f>
        <v>-1.5163474893680886</v>
      </c>
    </row>
    <row r="81" spans="1:4" x14ac:dyDescent="0.35">
      <c r="A81" s="1">
        <v>20</v>
      </c>
      <c r="B81" s="1">
        <v>0.87</v>
      </c>
      <c r="C81" s="1">
        <v>20</v>
      </c>
      <c r="D81" s="1">
        <f>LN(1/B81 -1)</f>
        <v>-1.9009587611930474</v>
      </c>
    </row>
    <row r="82" spans="1:4" x14ac:dyDescent="0.35">
      <c r="A82" s="1">
        <v>21</v>
      </c>
      <c r="B82" s="1">
        <v>0.9</v>
      </c>
      <c r="C82" s="1">
        <v>21</v>
      </c>
      <c r="D82" s="1">
        <f>LN(1/B82 -1)</f>
        <v>-2.1972245773362191</v>
      </c>
    </row>
    <row r="83" spans="1:4" x14ac:dyDescent="0.35">
      <c r="A83" s="1">
        <v>22</v>
      </c>
      <c r="B83" s="1">
        <v>0.95</v>
      </c>
      <c r="C83" s="1">
        <v>22</v>
      </c>
      <c r="D83" s="1">
        <f>LN(1/B83 -1)</f>
        <v>-2.9444389791664416</v>
      </c>
    </row>
    <row r="84" spans="1:4" x14ac:dyDescent="0.35">
      <c r="A84" s="1">
        <v>23</v>
      </c>
      <c r="B84" s="1">
        <v>0.98</v>
      </c>
      <c r="C84" s="1">
        <v>23</v>
      </c>
      <c r="D84" s="1">
        <f>LN(1/B84 -1)</f>
        <v>-3.8918202981106256</v>
      </c>
    </row>
    <row r="85" spans="1:4" x14ac:dyDescent="0.35">
      <c r="A85" s="1">
        <v>24</v>
      </c>
      <c r="B85" s="1">
        <v>0.96</v>
      </c>
      <c r="C85" s="1">
        <v>24</v>
      </c>
      <c r="D85" s="1">
        <f>LN(1/B85 -1)</f>
        <v>-3.178053830347944</v>
      </c>
    </row>
    <row r="86" spans="1:4" x14ac:dyDescent="0.35">
      <c r="A86" s="1">
        <v>25</v>
      </c>
      <c r="B86" s="1">
        <v>0.98</v>
      </c>
      <c r="C86" s="1">
        <v>25</v>
      </c>
      <c r="D86" s="1">
        <f>LN(1/B86 -1)</f>
        <v>-3.8918202981106256</v>
      </c>
    </row>
    <row r="87" spans="1:4" x14ac:dyDescent="0.35">
      <c r="A87" s="1" t="s">
        <v>62</v>
      </c>
      <c r="B87" s="1">
        <f>AVERAGE(B72:B86)</f>
        <v>0.67800000000000016</v>
      </c>
    </row>
    <row r="89" spans="1:4" x14ac:dyDescent="0.35">
      <c r="A89" s="1" t="s">
        <v>102</v>
      </c>
    </row>
    <row r="90" spans="1:4" ht="15" thickBot="1" x14ac:dyDescent="0.4"/>
    <row r="91" spans="1:4" x14ac:dyDescent="0.35">
      <c r="A91" s="194" t="s">
        <v>101</v>
      </c>
      <c r="B91" s="194"/>
    </row>
    <row r="92" spans="1:4" x14ac:dyDescent="0.35">
      <c r="A92" s="1" t="s">
        <v>100</v>
      </c>
      <c r="B92" s="1">
        <v>0.98977924316835375</v>
      </c>
    </row>
    <row r="93" spans="1:4" x14ac:dyDescent="0.35">
      <c r="A93" s="1" t="s">
        <v>99</v>
      </c>
      <c r="B93" s="1">
        <v>0.97966295020691918</v>
      </c>
    </row>
    <row r="94" spans="1:4" x14ac:dyDescent="0.35">
      <c r="A94" s="1" t="s">
        <v>98</v>
      </c>
      <c r="B94" s="1">
        <v>0.97809856176129761</v>
      </c>
    </row>
    <row r="95" spans="1:4" x14ac:dyDescent="0.35">
      <c r="A95" s="1" t="s">
        <v>93</v>
      </c>
      <c r="B95" s="1">
        <v>0.27064506734817012</v>
      </c>
    </row>
    <row r="96" spans="1:4" ht="15" thickBot="1" x14ac:dyDescent="0.4">
      <c r="A96" s="187" t="s">
        <v>74</v>
      </c>
      <c r="B96" s="187">
        <v>15</v>
      </c>
    </row>
    <row r="98" spans="1:10" ht="15" thickBot="1" x14ac:dyDescent="0.4">
      <c r="A98" s="1" t="s">
        <v>56</v>
      </c>
    </row>
    <row r="99" spans="1:10" x14ac:dyDescent="0.35">
      <c r="A99" s="38"/>
      <c r="B99" s="38" t="s">
        <v>53</v>
      </c>
      <c r="C99" s="38" t="s">
        <v>54</v>
      </c>
      <c r="D99" s="38" t="s">
        <v>52</v>
      </c>
      <c r="E99" s="38" t="s">
        <v>51</v>
      </c>
      <c r="F99" s="38" t="s">
        <v>97</v>
      </c>
    </row>
    <row r="100" spans="1:10" x14ac:dyDescent="0.35">
      <c r="A100" s="1" t="s">
        <v>96</v>
      </c>
      <c r="B100" s="1">
        <v>1</v>
      </c>
      <c r="C100" s="1">
        <v>45.870377753217078</v>
      </c>
      <c r="D100" s="1">
        <v>45.870377753217078</v>
      </c>
      <c r="E100" s="1">
        <v>626.22742640984961</v>
      </c>
      <c r="F100" s="1">
        <v>2.2098298138168053E-12</v>
      </c>
    </row>
    <row r="101" spans="1:10" x14ac:dyDescent="0.35">
      <c r="A101" s="1" t="s">
        <v>95</v>
      </c>
      <c r="B101" s="1">
        <v>13</v>
      </c>
      <c r="C101" s="1">
        <v>0.95223378223864208</v>
      </c>
      <c r="D101" s="1">
        <v>7.324875247989554E-2</v>
      </c>
    </row>
    <row r="102" spans="1:10" ht="15" thickBot="1" x14ac:dyDescent="0.4">
      <c r="A102" s="187" t="s">
        <v>46</v>
      </c>
      <c r="B102" s="187">
        <v>14</v>
      </c>
      <c r="C102" s="187">
        <v>46.822611535455721</v>
      </c>
      <c r="D102" s="187"/>
      <c r="E102" s="187"/>
      <c r="F102" s="187"/>
    </row>
    <row r="103" spans="1:10" ht="15" thickBot="1" x14ac:dyDescent="0.4"/>
    <row r="104" spans="1:10" x14ac:dyDescent="0.35">
      <c r="A104" s="38"/>
      <c r="B104" s="38" t="s">
        <v>94</v>
      </c>
      <c r="C104" s="38" t="s">
        <v>93</v>
      </c>
      <c r="D104" s="38" t="s">
        <v>84</v>
      </c>
      <c r="E104" s="38" t="s">
        <v>50</v>
      </c>
      <c r="F104" s="38" t="s">
        <v>92</v>
      </c>
      <c r="G104" s="38" t="s">
        <v>91</v>
      </c>
      <c r="H104" s="38" t="s">
        <v>90</v>
      </c>
      <c r="I104" s="38" t="s">
        <v>89</v>
      </c>
    </row>
    <row r="105" spans="1:10" x14ac:dyDescent="0.35">
      <c r="A105" s="1" t="s">
        <v>88</v>
      </c>
      <c r="B105" s="1">
        <v>6.0886998591924133</v>
      </c>
      <c r="C105" s="1">
        <v>0.2994036086824316</v>
      </c>
      <c r="D105" s="1">
        <v>20.336093763153382</v>
      </c>
      <c r="E105" s="1">
        <v>3.0776715751496688E-11</v>
      </c>
      <c r="F105" s="1">
        <v>5.4418776873630366</v>
      </c>
      <c r="G105" s="1">
        <v>6.73552203102179</v>
      </c>
      <c r="H105" s="1">
        <v>5.4418776873630366</v>
      </c>
      <c r="I105" s="1">
        <v>6.73552203102179</v>
      </c>
    </row>
    <row r="106" spans="1:10" ht="15" thickBot="1" x14ac:dyDescent="0.4">
      <c r="A106" s="187" t="s">
        <v>112</v>
      </c>
      <c r="B106" s="187">
        <v>-0.40475026583074786</v>
      </c>
      <c r="C106" s="187">
        <v>1.6174136373488333E-2</v>
      </c>
      <c r="D106" s="187">
        <v>-25.024536487412711</v>
      </c>
      <c r="E106" s="187">
        <v>2.2098298138167895E-12</v>
      </c>
      <c r="F106" s="187">
        <v>-0.43969236309738685</v>
      </c>
      <c r="G106" s="187">
        <v>-0.36980816856410886</v>
      </c>
      <c r="H106" s="187">
        <v>-0.43969236309738685</v>
      </c>
      <c r="I106" s="187">
        <v>-0.36980816856410886</v>
      </c>
    </row>
    <row r="110" spans="1:10" x14ac:dyDescent="0.35">
      <c r="A110" s="1" t="s">
        <v>87</v>
      </c>
    </row>
    <row r="111" spans="1:10" ht="15" thickBot="1" x14ac:dyDescent="0.4"/>
    <row r="112" spans="1:10" ht="16.5" x14ac:dyDescent="0.35">
      <c r="A112" s="38" t="s">
        <v>86</v>
      </c>
      <c r="B112" s="38" t="s">
        <v>196</v>
      </c>
      <c r="C112" s="38" t="s">
        <v>195</v>
      </c>
      <c r="D112" s="38" t="s">
        <v>194</v>
      </c>
      <c r="E112" s="38" t="s">
        <v>108</v>
      </c>
      <c r="F112" s="38" t="s">
        <v>193</v>
      </c>
      <c r="G112" s="38" t="s">
        <v>192</v>
      </c>
      <c r="H112" s="38" t="s">
        <v>187</v>
      </c>
      <c r="I112" s="38" t="s">
        <v>191</v>
      </c>
      <c r="J112" s="38" t="s">
        <v>190</v>
      </c>
    </row>
    <row r="113" spans="1:10" x14ac:dyDescent="0.35">
      <c r="A113" s="1">
        <v>1</v>
      </c>
      <c r="B113" s="1">
        <v>1.6364469350541873</v>
      </c>
      <c r="C113" s="1">
        <v>2.1781141549345184E-2</v>
      </c>
      <c r="D113" s="1">
        <f>1/(1+EXP(B113))</f>
        <v>0.16294910871710094</v>
      </c>
      <c r="E113" s="1">
        <f>B72-D113</f>
        <v>-2.94910871710094E-3</v>
      </c>
      <c r="F113" s="1">
        <f>ABS(E113/B72)</f>
        <v>1.8431929481880875E-2</v>
      </c>
      <c r="G113" s="1">
        <f>AVERAGE(F113:F127)*100</f>
        <v>4.8281350833223202</v>
      </c>
      <c r="H113" s="1">
        <f>D113-$B$87</f>
        <v>-0.51505089128289927</v>
      </c>
      <c r="I113" s="1">
        <f>B72-$B$87</f>
        <v>-0.51800000000000013</v>
      </c>
      <c r="J113" s="1">
        <f>SUMSQ(H113:H127)/SUMSQ(I113:I127)</f>
        <v>0.99152122861824032</v>
      </c>
    </row>
    <row r="114" spans="1:10" x14ac:dyDescent="0.35">
      <c r="A114" s="1">
        <v>2</v>
      </c>
      <c r="B114" s="1">
        <v>1.2316966692234388</v>
      </c>
      <c r="C114" s="1">
        <v>0.2846508201446496</v>
      </c>
      <c r="D114" s="1">
        <f>1/(1+EXP(B114))</f>
        <v>0.22588460690125284</v>
      </c>
      <c r="E114" s="1">
        <f>B73-D114</f>
        <v>-4.5884606901252845E-2</v>
      </c>
      <c r="F114" s="1">
        <f>ABS(E114/B73)</f>
        <v>0.25491448278473805</v>
      </c>
      <c r="H114" s="1">
        <f>D114-$B$87</f>
        <v>-0.45211539309874732</v>
      </c>
      <c r="I114" s="1">
        <f>B73-$B$87</f>
        <v>-0.49800000000000016</v>
      </c>
    </row>
    <row r="115" spans="1:10" x14ac:dyDescent="0.35">
      <c r="A115" s="1">
        <v>3</v>
      </c>
      <c r="B115" s="1">
        <v>0.82694640339269121</v>
      </c>
      <c r="C115" s="1">
        <v>0.11751520544816008</v>
      </c>
      <c r="D115" s="1">
        <f>1/(1+EXP(B115))</f>
        <v>0.30429112398613367</v>
      </c>
      <c r="E115" s="1">
        <f>B74-D115</f>
        <v>-2.4291123986133645E-2</v>
      </c>
      <c r="F115" s="1">
        <f>ABS(E115/B74)</f>
        <v>8.6754014236191584E-2</v>
      </c>
      <c r="H115" s="1">
        <f>D115-$B$87</f>
        <v>-0.37370887601386649</v>
      </c>
      <c r="I115" s="1">
        <f>B74-$B$87</f>
        <v>-0.39800000000000013</v>
      </c>
    </row>
    <row r="116" spans="1:10" x14ac:dyDescent="0.35">
      <c r="A116" s="1">
        <v>4</v>
      </c>
      <c r="B116" s="1">
        <v>0.42219613756194363</v>
      </c>
      <c r="C116" s="1">
        <v>-0.22152544209979239</v>
      </c>
      <c r="D116" s="1">
        <f>1/(1+EXP(B116))</f>
        <v>0.39599135332004293</v>
      </c>
      <c r="E116" s="1">
        <f>B75-D116</f>
        <v>5.4008646679957084E-2</v>
      </c>
      <c r="F116" s="1">
        <f>ABS(E116/B75)</f>
        <v>0.12001921484434908</v>
      </c>
      <c r="H116" s="1">
        <f>D116-$B$87</f>
        <v>-0.28200864667995723</v>
      </c>
      <c r="I116" s="1">
        <f>B75-$B$87</f>
        <v>-0.22800000000000015</v>
      </c>
    </row>
    <row r="117" spans="1:10" x14ac:dyDescent="0.35">
      <c r="A117" s="1">
        <v>5</v>
      </c>
      <c r="B117" s="1">
        <v>1.7445871731195162E-2</v>
      </c>
      <c r="C117" s="1">
        <v>-0.13759018357325864</v>
      </c>
      <c r="D117" s="1">
        <f>1/(1+EXP(B117))</f>
        <v>0.49563864268463265</v>
      </c>
      <c r="E117" s="1">
        <f>B76-D117</f>
        <v>3.436135731536738E-2</v>
      </c>
      <c r="F117" s="1">
        <f>ABS(E117/B76)</f>
        <v>6.4832749651636559E-2</v>
      </c>
      <c r="H117" s="1">
        <f>D117-$B$87</f>
        <v>-0.18236135731536751</v>
      </c>
      <c r="I117" s="1">
        <f>B76-$B$87</f>
        <v>-0.14800000000000013</v>
      </c>
    </row>
    <row r="118" spans="1:10" x14ac:dyDescent="0.35">
      <c r="A118" s="1">
        <v>6</v>
      </c>
      <c r="B118" s="1">
        <v>-0.38730439409955242</v>
      </c>
      <c r="C118" s="1">
        <v>-0.18805975080400938</v>
      </c>
      <c r="D118" s="1">
        <f>1/(1+EXP(B118))</f>
        <v>0.59563361898448741</v>
      </c>
      <c r="E118" s="1">
        <f>B77-D118</f>
        <v>4.4366381015512601E-2</v>
      </c>
      <c r="F118" s="1">
        <f>ABS(E118/B77)</f>
        <v>6.932247033673844E-2</v>
      </c>
      <c r="H118" s="1">
        <f>D118-$B$87</f>
        <v>-8.2366381015512746E-2</v>
      </c>
      <c r="I118" s="1">
        <f>B77-$B$87</f>
        <v>-3.8000000000000145E-2</v>
      </c>
    </row>
    <row r="119" spans="1:10" x14ac:dyDescent="0.35">
      <c r="A119" s="1">
        <v>7</v>
      </c>
      <c r="B119" s="1">
        <v>-0.7920546599303</v>
      </c>
      <c r="C119" s="1">
        <v>-5.5243200456903563E-2</v>
      </c>
      <c r="D119" s="1">
        <f>1/(1+EXP(B119))</f>
        <v>0.68827233556032241</v>
      </c>
      <c r="E119" s="1">
        <f>B78-D119</f>
        <v>1.1727664439677543E-2</v>
      </c>
      <c r="F119" s="1">
        <f>ABS(E119/B78)</f>
        <v>1.6753806342396493E-2</v>
      </c>
      <c r="H119" s="1">
        <f>D119-$B$87</f>
        <v>1.0272335560322254E-2</v>
      </c>
      <c r="I119" s="1">
        <f>B78-$B$87</f>
        <v>2.1999999999999797E-2</v>
      </c>
    </row>
    <row r="120" spans="1:10" x14ac:dyDescent="0.35">
      <c r="A120" s="1">
        <v>8</v>
      </c>
      <c r="B120" s="1">
        <v>-1.1968049257610485</v>
      </c>
      <c r="C120" s="1">
        <v>-1.150628016348576E-2</v>
      </c>
      <c r="D120" s="1">
        <f>1/(1+EXP(B120))</f>
        <v>0.76795590996959018</v>
      </c>
      <c r="E120" s="1">
        <f>B79-D120</f>
        <v>2.0440900304098397E-3</v>
      </c>
      <c r="F120" s="1">
        <f>ABS(E120/B79)</f>
        <v>2.6546623771556361E-3</v>
      </c>
      <c r="H120" s="1">
        <f>D120-$B$87</f>
        <v>8.995590996959002E-2</v>
      </c>
      <c r="I120" s="1">
        <f>B79-$B$87</f>
        <v>9.199999999999986E-2</v>
      </c>
    </row>
    <row r="121" spans="1:10" x14ac:dyDescent="0.35">
      <c r="A121" s="1">
        <v>9</v>
      </c>
      <c r="B121" s="1">
        <v>-1.601555191591796</v>
      </c>
      <c r="C121" s="1">
        <v>8.5207702223707438E-2</v>
      </c>
      <c r="D121" s="1">
        <f>1/(1+EXP(B121))</f>
        <v>0.83223563238809195</v>
      </c>
      <c r="E121" s="1">
        <f>B80-D121</f>
        <v>-1.2235632388091999E-2</v>
      </c>
      <c r="F121" s="1">
        <f>ABS(E121/B80)</f>
        <v>1.4921502912307318E-2</v>
      </c>
      <c r="H121" s="1">
        <f>D121-$B$87</f>
        <v>0.15423563238809179</v>
      </c>
      <c r="I121" s="1">
        <f>B80-$B$87</f>
        <v>0.14199999999999979</v>
      </c>
    </row>
    <row r="122" spans="1:10" x14ac:dyDescent="0.35">
      <c r="A122" s="1">
        <v>10</v>
      </c>
      <c r="B122" s="1">
        <v>-2.0063054574225436</v>
      </c>
      <c r="C122" s="1">
        <v>0.10534669622949622</v>
      </c>
      <c r="D122" s="1">
        <f>1/(1+EXP(B122))</f>
        <v>0.88145752257870547</v>
      </c>
      <c r="E122" s="1">
        <f>B81-D122</f>
        <v>-1.145752257870547E-2</v>
      </c>
      <c r="F122" s="1">
        <f>ABS(E122/B81)</f>
        <v>1.3169566182420081E-2</v>
      </c>
      <c r="H122" s="1">
        <f>D122-$B$87</f>
        <v>0.20345752257870531</v>
      </c>
      <c r="I122" s="1">
        <f>B81-$B$87</f>
        <v>0.19199999999999984</v>
      </c>
    </row>
    <row r="123" spans="1:10" x14ac:dyDescent="0.35">
      <c r="A123" s="1">
        <v>11</v>
      </c>
      <c r="B123" s="1">
        <v>-2.4110557232532912</v>
      </c>
      <c r="C123" s="1">
        <v>0.21383114591707209</v>
      </c>
      <c r="D123" s="1">
        <f>1/(1+EXP(B123))</f>
        <v>0.91766648191584432</v>
      </c>
      <c r="E123" s="1">
        <f>B82-D123</f>
        <v>-1.7666481915844301E-2</v>
      </c>
      <c r="F123" s="1">
        <f>ABS(E123/B82)</f>
        <v>1.9629424350938111E-2</v>
      </c>
      <c r="H123" s="1">
        <f>D123-$B$87</f>
        <v>0.23966648191584417</v>
      </c>
      <c r="I123" s="1">
        <f>B82-$B$87</f>
        <v>0.22199999999999986</v>
      </c>
    </row>
    <row r="124" spans="1:10" x14ac:dyDescent="0.35">
      <c r="A124" s="1">
        <v>12</v>
      </c>
      <c r="B124" s="1">
        <v>-2.8158059890840388</v>
      </c>
      <c r="C124" s="1">
        <v>-0.12863299008240281</v>
      </c>
      <c r="D124" s="1">
        <f>1/(1+EXP(B124))</f>
        <v>0.94352399768440076</v>
      </c>
      <c r="E124" s="1">
        <f>B83-D124</f>
        <v>6.4760023155991941E-3</v>
      </c>
      <c r="F124" s="1">
        <f>ABS(E124/B83)</f>
        <v>6.816844542735994E-3</v>
      </c>
      <c r="H124" s="1">
        <f>D124-$B$87</f>
        <v>0.2655239976844006</v>
      </c>
      <c r="I124" s="1">
        <f>B83-$B$87</f>
        <v>0.2719999999999998</v>
      </c>
    </row>
    <row r="125" spans="1:10" x14ac:dyDescent="0.35">
      <c r="A125" s="1">
        <v>13</v>
      </c>
      <c r="B125" s="1">
        <v>-3.2205562549147881</v>
      </c>
      <c r="C125" s="1">
        <v>-0.67126404319583743</v>
      </c>
      <c r="D125" s="1">
        <f>1/(1+EXP(B125))</f>
        <v>0.96160055944336764</v>
      </c>
      <c r="E125" s="1">
        <f>B84-D125</f>
        <v>1.839944055663234E-2</v>
      </c>
      <c r="F125" s="1">
        <f>ABS(E125/B84)</f>
        <v>1.8774939343502387E-2</v>
      </c>
      <c r="H125" s="1">
        <f>D125-$B$87</f>
        <v>0.28360055944336748</v>
      </c>
      <c r="I125" s="1">
        <f>B84-$B$87</f>
        <v>0.30199999999999982</v>
      </c>
    </row>
    <row r="126" spans="1:10" x14ac:dyDescent="0.35">
      <c r="A126" s="1">
        <v>14</v>
      </c>
      <c r="B126" s="1">
        <v>-3.6253065207455357</v>
      </c>
      <c r="C126" s="1">
        <v>0.44725269039759175</v>
      </c>
      <c r="D126" s="1">
        <f>1/(1+EXP(B126))</f>
        <v>0.97405039161579565</v>
      </c>
      <c r="E126" s="1">
        <f>B85-D126</f>
        <v>-1.4050391615795688E-2</v>
      </c>
      <c r="F126" s="1">
        <f>ABS(E126/B85)</f>
        <v>1.4635824599787175E-2</v>
      </c>
      <c r="H126" s="1">
        <f>D126-$B$87</f>
        <v>0.29605039161579549</v>
      </c>
      <c r="I126" s="1">
        <f>B85-$B$87</f>
        <v>0.28199999999999981</v>
      </c>
    </row>
    <row r="127" spans="1:10" ht="15" thickBot="1" x14ac:dyDescent="0.4">
      <c r="A127" s="187">
        <v>15</v>
      </c>
      <c r="B127" s="187">
        <v>-4.0300567865762833</v>
      </c>
      <c r="C127" s="187">
        <v>0.13823648846565773</v>
      </c>
      <c r="D127" s="187">
        <f>1/(1+EXP(B127))</f>
        <v>0.98253705390133894</v>
      </c>
      <c r="E127" s="187">
        <f>B86-D127</f>
        <v>-2.5370539013389592E-3</v>
      </c>
      <c r="F127" s="187">
        <f>ABS(E127/B86)</f>
        <v>2.5888305115703667E-3</v>
      </c>
      <c r="G127" s="187"/>
      <c r="H127" s="187">
        <f>D127-$B$87</f>
        <v>0.30453705390133878</v>
      </c>
      <c r="I127" s="187">
        <f>B86-$B$87</f>
        <v>0.30199999999999982</v>
      </c>
      <c r="J127" s="187"/>
    </row>
  </sheetData>
  <mergeCells count="10">
    <mergeCell ref="A66:D66"/>
    <mergeCell ref="A67:D67"/>
    <mergeCell ref="A68:D68"/>
    <mergeCell ref="A69:D69"/>
    <mergeCell ref="A19:D19"/>
    <mergeCell ref="A20:D20"/>
    <mergeCell ref="A62:D62"/>
    <mergeCell ref="A63:D63"/>
    <mergeCell ref="A64:D64"/>
    <mergeCell ref="A65:D65"/>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7D660-760E-4ADE-9623-5B7D4E49B4B6}">
  <dimension ref="A1:AM71"/>
  <sheetViews>
    <sheetView tabSelected="1" zoomScale="80" zoomScaleNormal="80" workbookViewId="0">
      <selection activeCell="I37" sqref="I37"/>
    </sheetView>
  </sheetViews>
  <sheetFormatPr defaultRowHeight="14.5" x14ac:dyDescent="0.35"/>
  <cols>
    <col min="1" max="1" width="26.26953125" style="1" bestFit="1" customWidth="1"/>
    <col min="2" max="2" width="17.453125" style="1" bestFit="1" customWidth="1"/>
    <col min="3" max="3" width="23.26953125" style="1" bestFit="1" customWidth="1"/>
    <col min="4" max="4" width="17.81640625" style="1" bestFit="1" customWidth="1"/>
    <col min="5" max="5" width="15" style="1" bestFit="1" customWidth="1"/>
    <col min="6" max="6" width="16.26953125" style="1" bestFit="1" customWidth="1"/>
    <col min="7" max="7" width="13.54296875" style="1" bestFit="1" customWidth="1"/>
    <col min="8" max="9" width="15.26953125" style="1" bestFit="1" customWidth="1"/>
    <col min="10" max="10" width="8.7265625" style="1"/>
    <col min="11" max="11" width="17.1796875" style="1" bestFit="1" customWidth="1"/>
    <col min="12" max="12" width="19.81640625" style="1" bestFit="1" customWidth="1"/>
    <col min="13" max="19" width="8.7265625" style="1"/>
    <col min="20" max="20" width="9.26953125" style="1" bestFit="1" customWidth="1"/>
    <col min="21" max="21" width="13.1796875" style="1" bestFit="1" customWidth="1"/>
    <col min="22" max="22" width="9.26953125" style="1" bestFit="1" customWidth="1"/>
    <col min="23" max="23" width="13.7265625" style="1" bestFit="1" customWidth="1"/>
    <col min="24" max="24" width="8.7265625" style="1"/>
    <col min="25" max="25" width="12.453125" style="1" bestFit="1" customWidth="1"/>
    <col min="26" max="16384" width="8.7265625" style="1"/>
  </cols>
  <sheetData>
    <row r="1" spans="1:39" ht="17.5" x14ac:dyDescent="0.45">
      <c r="A1" s="3" t="s">
        <v>116</v>
      </c>
      <c r="B1" s="3" t="s">
        <v>215</v>
      </c>
      <c r="C1" s="3" t="s">
        <v>214</v>
      </c>
      <c r="D1" s="3" t="s">
        <v>213</v>
      </c>
      <c r="F1" s="198" t="s">
        <v>228</v>
      </c>
      <c r="G1" s="198" t="s">
        <v>227</v>
      </c>
      <c r="H1" s="198" t="s">
        <v>226</v>
      </c>
      <c r="I1" s="198" t="s">
        <v>225</v>
      </c>
      <c r="J1" s="198"/>
      <c r="K1" s="198" t="s">
        <v>109</v>
      </c>
      <c r="L1" s="198" t="s">
        <v>189</v>
      </c>
      <c r="M1" s="198" t="s">
        <v>188</v>
      </c>
      <c r="O1" s="196" t="s">
        <v>224</v>
      </c>
      <c r="P1" s="196"/>
      <c r="Q1" s="196"/>
      <c r="R1" s="196"/>
      <c r="T1" s="196" t="s">
        <v>223</v>
      </c>
      <c r="U1" s="196"/>
      <c r="V1" s="196"/>
      <c r="W1" s="196"/>
      <c r="X1" s="196"/>
      <c r="Y1" s="196"/>
      <c r="Z1" s="196"/>
      <c r="AA1" s="196"/>
      <c r="AB1" s="196"/>
      <c r="AC1" s="196"/>
      <c r="AD1" s="196"/>
      <c r="AE1" s="196"/>
      <c r="AF1" s="196"/>
      <c r="AG1" s="196"/>
      <c r="AH1" s="196"/>
      <c r="AI1" s="196"/>
      <c r="AJ1" s="196"/>
      <c r="AK1" s="196"/>
      <c r="AL1" s="196"/>
      <c r="AM1" s="196"/>
    </row>
    <row r="2" spans="1:39" x14ac:dyDescent="0.35">
      <c r="A2" s="1">
        <v>6.6</v>
      </c>
      <c r="B2" s="1">
        <v>6.9</v>
      </c>
      <c r="C2" s="1">
        <v>83.6</v>
      </c>
      <c r="D2" s="1">
        <v>222</v>
      </c>
      <c r="F2" s="1">
        <v>1.5897153958820747</v>
      </c>
      <c r="G2" s="1">
        <v>6.3137375599456626E-3</v>
      </c>
      <c r="H2" s="1">
        <v>6.9655964640873855E-2</v>
      </c>
      <c r="I2" s="1">
        <v>-2.8314580102591184E-3</v>
      </c>
      <c r="K2" s="1">
        <f>$F$2+$G$2*P2+$H$2*Q2+$I$2*R2</f>
        <v>6.8279351507452297</v>
      </c>
      <c r="L2" s="1">
        <f>A2-K2</f>
        <v>-0.22793515074523008</v>
      </c>
      <c r="M2" s="1">
        <f>SUMSQ(L2:L21)</f>
        <v>26.03031328894145</v>
      </c>
      <c r="O2" s="1">
        <v>1</v>
      </c>
      <c r="P2" s="1">
        <v>6.9</v>
      </c>
      <c r="Q2" s="1">
        <v>83.6</v>
      </c>
      <c r="R2" s="1">
        <v>222</v>
      </c>
      <c r="T2" s="1">
        <v>1</v>
      </c>
      <c r="U2" s="1">
        <v>1</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row>
    <row r="3" spans="1:39" x14ac:dyDescent="0.35">
      <c r="A3" s="1">
        <v>3</v>
      </c>
      <c r="B3" s="1">
        <v>18</v>
      </c>
      <c r="C3" s="1">
        <v>6.5</v>
      </c>
      <c r="D3" s="1">
        <v>32</v>
      </c>
      <c r="K3" s="1">
        <f>$F$2+$G$2*P3+$H$2*Q3+$I$2*R3</f>
        <v>2.0655197857984846</v>
      </c>
      <c r="L3" s="1">
        <f>A3-K3</f>
        <v>0.93448021420151539</v>
      </c>
      <c r="O3" s="1">
        <v>1</v>
      </c>
      <c r="P3" s="1">
        <v>18</v>
      </c>
      <c r="Q3" s="1">
        <v>6.5</v>
      </c>
      <c r="R3" s="1">
        <v>32</v>
      </c>
      <c r="T3" s="1">
        <v>6.9</v>
      </c>
      <c r="U3" s="1">
        <v>18</v>
      </c>
      <c r="V3" s="1">
        <v>107.9</v>
      </c>
      <c r="W3" s="1">
        <v>16.7</v>
      </c>
      <c r="X3" s="1">
        <v>79.599999999999994</v>
      </c>
      <c r="Y3" s="1">
        <v>16.2</v>
      </c>
      <c r="Z3" s="1">
        <v>5.9</v>
      </c>
      <c r="AA3" s="1">
        <v>53.1</v>
      </c>
      <c r="AB3" s="1">
        <v>18.8</v>
      </c>
      <c r="AC3" s="1">
        <v>35.299999999999997</v>
      </c>
      <c r="AD3" s="1">
        <v>71.900000000000006</v>
      </c>
      <c r="AE3" s="1">
        <v>93.6</v>
      </c>
      <c r="AF3" s="1">
        <v>10</v>
      </c>
      <c r="AG3" s="1">
        <v>31.5</v>
      </c>
      <c r="AH3" s="1">
        <v>36.700000000000003</v>
      </c>
      <c r="AI3" s="1">
        <v>13.8</v>
      </c>
      <c r="AJ3" s="1">
        <v>64.8</v>
      </c>
      <c r="AK3" s="1">
        <v>30.4</v>
      </c>
      <c r="AL3" s="1">
        <v>12.1</v>
      </c>
      <c r="AM3" s="1">
        <v>31.3</v>
      </c>
    </row>
    <row r="4" spans="1:39" ht="16.5" x14ac:dyDescent="0.35">
      <c r="A4" s="1">
        <v>6.5</v>
      </c>
      <c r="B4" s="1">
        <v>107.9</v>
      </c>
      <c r="C4" s="1">
        <v>50.4</v>
      </c>
      <c r="D4" s="1">
        <v>82</v>
      </c>
      <c r="F4" s="190" t="s">
        <v>222</v>
      </c>
      <c r="K4" s="1">
        <f>$F$2+$G$2*P4+$H$2*Q4+$I$2*R4</f>
        <v>5.549448739659006</v>
      </c>
      <c r="L4" s="1">
        <f>A4-K4</f>
        <v>0.95055126034099402</v>
      </c>
      <c r="O4" s="1">
        <v>1</v>
      </c>
      <c r="P4" s="1">
        <v>107.9</v>
      </c>
      <c r="Q4" s="1">
        <v>50.4</v>
      </c>
      <c r="R4" s="1">
        <v>82</v>
      </c>
      <c r="T4" s="1">
        <v>83.6</v>
      </c>
      <c r="U4" s="1">
        <v>6.5</v>
      </c>
      <c r="V4" s="1">
        <v>50.4</v>
      </c>
      <c r="W4" s="1">
        <v>15.4</v>
      </c>
      <c r="X4" s="1">
        <v>29.6</v>
      </c>
      <c r="Y4" s="1">
        <v>13.3</v>
      </c>
      <c r="Z4" s="1">
        <v>5.9</v>
      </c>
      <c r="AA4" s="1">
        <v>27.1</v>
      </c>
      <c r="AB4" s="1">
        <v>11.2</v>
      </c>
      <c r="AC4" s="1">
        <v>16.399999999999999</v>
      </c>
      <c r="AD4" s="1">
        <v>32.5</v>
      </c>
      <c r="AE4" s="1">
        <v>25.4</v>
      </c>
      <c r="AF4" s="1">
        <v>6.4</v>
      </c>
      <c r="AG4" s="1">
        <v>12.5</v>
      </c>
      <c r="AH4" s="1">
        <v>14.3</v>
      </c>
      <c r="AI4" s="1">
        <v>6.5</v>
      </c>
      <c r="AJ4" s="1">
        <v>22.7</v>
      </c>
      <c r="AK4" s="1">
        <v>15.8</v>
      </c>
      <c r="AL4" s="1">
        <v>9.3000000000000007</v>
      </c>
      <c r="AM4" s="1">
        <v>18.899999999999999</v>
      </c>
    </row>
    <row r="5" spans="1:39" x14ac:dyDescent="0.35">
      <c r="A5" s="1">
        <v>3.3</v>
      </c>
      <c r="B5" s="1">
        <v>16.7</v>
      </c>
      <c r="C5" s="1">
        <v>15.4</v>
      </c>
      <c r="D5" s="1">
        <v>45.2</v>
      </c>
      <c r="K5" s="1">
        <f>$F$2+$G$2*P5+$H$2*Q5+$I$2*R5</f>
        <v>2.6398747665389126</v>
      </c>
      <c r="L5" s="1">
        <f>A5-K5</f>
        <v>0.6601252334610872</v>
      </c>
      <c r="O5" s="1">
        <v>1</v>
      </c>
      <c r="P5" s="1">
        <v>16.7</v>
      </c>
      <c r="Q5" s="1">
        <v>15.4</v>
      </c>
      <c r="R5" s="1">
        <v>45.2</v>
      </c>
      <c r="T5" s="1">
        <v>222</v>
      </c>
      <c r="U5" s="1">
        <v>32</v>
      </c>
      <c r="V5" s="1">
        <v>82</v>
      </c>
      <c r="W5" s="1">
        <v>45.2</v>
      </c>
      <c r="X5" s="1">
        <v>299.3</v>
      </c>
      <c r="Y5" s="1">
        <v>41.6</v>
      </c>
      <c r="Z5" s="1">
        <v>17.8</v>
      </c>
      <c r="AA5" s="1">
        <v>151</v>
      </c>
      <c r="AB5" s="1">
        <v>82.3</v>
      </c>
      <c r="AC5" s="1">
        <v>103</v>
      </c>
      <c r="AD5" s="1">
        <v>225.4</v>
      </c>
      <c r="AE5" s="1">
        <v>675</v>
      </c>
      <c r="AF5" s="1">
        <v>43.8</v>
      </c>
      <c r="AG5" s="1">
        <v>102.3</v>
      </c>
      <c r="AH5" s="1">
        <v>105</v>
      </c>
      <c r="AI5" s="1">
        <v>49.1</v>
      </c>
      <c r="AJ5" s="1">
        <v>50.4</v>
      </c>
      <c r="AK5" s="1">
        <v>480</v>
      </c>
      <c r="AL5" s="1">
        <v>71</v>
      </c>
      <c r="AM5" s="1">
        <v>43</v>
      </c>
    </row>
    <row r="6" spans="1:39" x14ac:dyDescent="0.35">
      <c r="A6" s="1">
        <v>0.1</v>
      </c>
      <c r="B6" s="1">
        <v>79.599999999999994</v>
      </c>
      <c r="C6" s="1">
        <v>29.6</v>
      </c>
      <c r="D6" s="1">
        <v>299.3</v>
      </c>
      <c r="K6" s="1">
        <f>$F$2+$G$2*P6+$H$2*Q6+$I$2*R6</f>
        <v>3.3066500765530611</v>
      </c>
      <c r="L6" s="1">
        <f>A6-K6</f>
        <v>-3.206650076553061</v>
      </c>
      <c r="O6" s="1">
        <v>1</v>
      </c>
      <c r="P6" s="1">
        <v>79.599999999999994</v>
      </c>
      <c r="Q6" s="1">
        <v>29.6</v>
      </c>
      <c r="R6" s="1">
        <v>299.3</v>
      </c>
    </row>
    <row r="7" spans="1:39" ht="16.5" x14ac:dyDescent="0.35">
      <c r="A7" s="1">
        <v>3.6</v>
      </c>
      <c r="B7" s="1">
        <v>16.2</v>
      </c>
      <c r="C7" s="1">
        <v>13.3</v>
      </c>
      <c r="D7" s="1">
        <v>41.6</v>
      </c>
      <c r="K7" s="1">
        <f>$F$2+$G$2*P7+$H$2*Q7+$I$2*R7</f>
        <v>2.5006336208500377</v>
      </c>
      <c r="L7" s="1">
        <f>A7-K7</f>
        <v>1.0993663791499624</v>
      </c>
      <c r="O7" s="1">
        <v>1</v>
      </c>
      <c r="P7" s="1">
        <v>16.2</v>
      </c>
      <c r="Q7" s="1">
        <v>13.3</v>
      </c>
      <c r="R7" s="1">
        <v>41.6</v>
      </c>
      <c r="T7" s="196" t="s">
        <v>221</v>
      </c>
      <c r="U7" s="196"/>
      <c r="V7" s="196"/>
      <c r="W7" s="196"/>
      <c r="Y7" s="1" t="s">
        <v>220</v>
      </c>
    </row>
    <row r="8" spans="1:39" x14ac:dyDescent="0.35">
      <c r="A8" s="1">
        <v>1.5</v>
      </c>
      <c r="B8" s="1">
        <v>5.9</v>
      </c>
      <c r="C8" s="1">
        <v>5.9</v>
      </c>
      <c r="D8" s="1">
        <v>17.8</v>
      </c>
      <c r="K8" s="1">
        <f>$F$2+$G$2*P8+$H$2*Q8+$I$2*R8</f>
        <v>1.9875366862842976</v>
      </c>
      <c r="L8" s="1">
        <f>A8-K8</f>
        <v>-0.48753668628429758</v>
      </c>
      <c r="O8" s="1">
        <v>1</v>
      </c>
      <c r="P8" s="1">
        <v>5.9</v>
      </c>
      <c r="Q8" s="1">
        <v>5.9</v>
      </c>
      <c r="R8" s="1">
        <v>17.8</v>
      </c>
      <c r="T8" s="1">
        <f t="array" ref="T8:W11">MMULT(T2:AM5,O2:R21)</f>
        <v>20</v>
      </c>
      <c r="U8" s="1">
        <v>754.5</v>
      </c>
      <c r="V8" s="1">
        <v>423.69999999999993</v>
      </c>
      <c r="W8" s="1">
        <v>2921.2</v>
      </c>
      <c r="Y8" s="1">
        <f t="array" ref="Y8:Y11">MMULT(T2:AM5,A2:A21)</f>
        <v>57.800000000000004</v>
      </c>
    </row>
    <row r="9" spans="1:39" x14ac:dyDescent="0.35">
      <c r="A9" s="1">
        <v>5.5</v>
      </c>
      <c r="B9" s="1">
        <v>53.1</v>
      </c>
      <c r="C9" s="1">
        <v>27.1</v>
      </c>
      <c r="D9" s="1">
        <v>151</v>
      </c>
      <c r="K9" s="1">
        <f>$F$2+$G$2*P9+$H$2*Q9+$I$2*R9</f>
        <v>3.3851013425337442</v>
      </c>
      <c r="L9" s="1">
        <f>A9-K9</f>
        <v>2.1148986574662558</v>
      </c>
      <c r="O9" s="1">
        <v>1</v>
      </c>
      <c r="P9" s="1">
        <v>53.1</v>
      </c>
      <c r="Q9" s="1">
        <v>27.1</v>
      </c>
      <c r="R9" s="1">
        <v>151</v>
      </c>
      <c r="T9" s="1">
        <v>754.5</v>
      </c>
      <c r="U9" s="1">
        <v>46154.910000000011</v>
      </c>
      <c r="V9" s="1">
        <v>19665.929999999997</v>
      </c>
      <c r="W9" s="1">
        <v>157155.61000000002</v>
      </c>
      <c r="Y9" s="1">
        <v>2415.7200000000003</v>
      </c>
    </row>
    <row r="10" spans="1:39" x14ac:dyDescent="0.35">
      <c r="A10" s="1">
        <v>2.4</v>
      </c>
      <c r="B10" s="1">
        <v>18.8</v>
      </c>
      <c r="C10" s="1">
        <v>11.2</v>
      </c>
      <c r="D10" s="1">
        <v>82.3</v>
      </c>
      <c r="K10" s="1">
        <f>$F$2+$G$2*P10+$H$2*Q10+$I$2*R10</f>
        <v>2.2555314717425148</v>
      </c>
      <c r="L10" s="1">
        <f>A10-K10</f>
        <v>0.14446852825748513</v>
      </c>
      <c r="O10" s="1">
        <v>1</v>
      </c>
      <c r="P10" s="1">
        <v>18.8</v>
      </c>
      <c r="Q10" s="1">
        <v>11.2</v>
      </c>
      <c r="R10" s="1">
        <v>82.3</v>
      </c>
      <c r="T10" s="1">
        <v>423.69999999999993</v>
      </c>
      <c r="U10" s="1">
        <v>19665.929999999997</v>
      </c>
      <c r="V10" s="1">
        <v>15379.189999999993</v>
      </c>
      <c r="W10" s="1">
        <v>77868.01999999999</v>
      </c>
      <c r="Y10" s="1">
        <v>1648.5000000000002</v>
      </c>
    </row>
    <row r="11" spans="1:39" x14ac:dyDescent="0.35">
      <c r="A11" s="1">
        <v>3</v>
      </c>
      <c r="B11" s="1">
        <v>35.299999999999997</v>
      </c>
      <c r="C11" s="1">
        <v>16.399999999999999</v>
      </c>
      <c r="D11" s="1">
        <v>103</v>
      </c>
      <c r="K11" s="1">
        <f>$F$2+$G$2*P11+$H$2*Q11+$I$2*R11</f>
        <v>2.6633079768017982</v>
      </c>
      <c r="L11" s="1">
        <f>A11-K11</f>
        <v>0.3366920231982018</v>
      </c>
      <c r="O11" s="1">
        <v>1</v>
      </c>
      <c r="P11" s="1">
        <v>35.299999999999997</v>
      </c>
      <c r="Q11" s="1">
        <v>16.399999999999999</v>
      </c>
      <c r="R11" s="1">
        <v>103</v>
      </c>
      <c r="T11" s="1">
        <v>2921.2</v>
      </c>
      <c r="U11" s="1">
        <v>157155.61000000002</v>
      </c>
      <c r="V11" s="1">
        <v>77868.01999999999</v>
      </c>
      <c r="W11" s="1">
        <v>962966.08000000007</v>
      </c>
      <c r="Y11" s="1">
        <v>8333.49</v>
      </c>
    </row>
    <row r="12" spans="1:39" x14ac:dyDescent="0.35">
      <c r="A12" s="1">
        <v>4.2</v>
      </c>
      <c r="B12" s="1">
        <v>71.900000000000006</v>
      </c>
      <c r="C12" s="1">
        <v>32.5</v>
      </c>
      <c r="D12" s="1">
        <v>225.4</v>
      </c>
      <c r="K12" s="1">
        <f>$F$2+$G$2*P12+$H$2*Q12+$I$2*R12</f>
        <v>3.6692813417581629</v>
      </c>
      <c r="L12" s="1">
        <f>A12-K12</f>
        <v>0.53071865824183728</v>
      </c>
      <c r="O12" s="1">
        <v>1</v>
      </c>
      <c r="P12" s="1">
        <v>71.900000000000006</v>
      </c>
      <c r="Q12" s="1">
        <v>32.5</v>
      </c>
      <c r="R12" s="1">
        <v>225.4</v>
      </c>
      <c r="T12" s="196" t="s">
        <v>219</v>
      </c>
      <c r="U12" s="196"/>
      <c r="V12" s="196"/>
      <c r="W12" s="196"/>
    </row>
    <row r="13" spans="1:39" x14ac:dyDescent="0.35">
      <c r="A13" s="1">
        <v>2.7</v>
      </c>
      <c r="B13" s="1">
        <v>93.6</v>
      </c>
      <c r="C13" s="1">
        <v>25.4</v>
      </c>
      <c r="D13" s="1">
        <v>675</v>
      </c>
      <c r="K13" s="1">
        <f>$F$2+$G$2*P13+$H$2*Q13+$I$2*R13</f>
        <v>2.0387085764462793</v>
      </c>
      <c r="L13" s="1">
        <f>A13-K13</f>
        <v>0.66129142355372084</v>
      </c>
      <c r="O13" s="1">
        <v>1</v>
      </c>
      <c r="P13" s="1">
        <v>93.6</v>
      </c>
      <c r="Q13" s="1">
        <v>25.4</v>
      </c>
      <c r="R13" s="1">
        <v>675</v>
      </c>
    </row>
    <row r="14" spans="1:39" ht="16.5" x14ac:dyDescent="0.35">
      <c r="A14" s="1">
        <v>1.6</v>
      </c>
      <c r="B14" s="1">
        <v>10</v>
      </c>
      <c r="C14" s="1">
        <v>6.4</v>
      </c>
      <c r="D14" s="1">
        <v>43.8</v>
      </c>
      <c r="K14" s="1">
        <f>$F$2+$G$2*P14+$H$2*Q14+$I$2*R14</f>
        <v>1.9746330843337745</v>
      </c>
      <c r="L14" s="1">
        <f>A14-K14</f>
        <v>-0.3746330843337744</v>
      </c>
      <c r="O14" s="1">
        <v>1</v>
      </c>
      <c r="P14" s="1">
        <v>10</v>
      </c>
      <c r="Q14" s="1">
        <v>6.4</v>
      </c>
      <c r="R14" s="1">
        <v>43.8</v>
      </c>
      <c r="T14" s="196" t="s">
        <v>218</v>
      </c>
      <c r="U14" s="196"/>
      <c r="V14" s="196"/>
      <c r="W14" s="196"/>
      <c r="Y14" s="198" t="s">
        <v>41</v>
      </c>
    </row>
    <row r="15" spans="1:39" x14ac:dyDescent="0.35">
      <c r="A15" s="1">
        <v>2.4</v>
      </c>
      <c r="B15" s="1">
        <v>31.5</v>
      </c>
      <c r="C15" s="1">
        <v>12.5</v>
      </c>
      <c r="D15" s="1">
        <v>102.3</v>
      </c>
      <c r="K15" s="1">
        <f>$F$2+$G$2*P15+$H$2*Q15+$I$2*R15</f>
        <v>2.3696395325817781</v>
      </c>
      <c r="L15" s="1">
        <f>A15-K15</f>
        <v>3.0360467418221848E-2</v>
      </c>
      <c r="O15" s="1">
        <v>1</v>
      </c>
      <c r="P15" s="1">
        <v>31.5</v>
      </c>
      <c r="Q15" s="1">
        <v>12.5</v>
      </c>
      <c r="R15" s="1">
        <v>102.3</v>
      </c>
      <c r="T15" s="1">
        <f t="array" ref="T15:W18">MINVERSE(T8:W11)</f>
        <v>0.16439701643476387</v>
      </c>
      <c r="U15" s="1">
        <v>-1.4529582767101735E-3</v>
      </c>
      <c r="V15" s="1">
        <v>-2.2804388340177083E-3</v>
      </c>
      <c r="W15" s="1">
        <v>-7.7181081385783277E-5</v>
      </c>
      <c r="Y15" s="1">
        <f t="array" ref="Y15:Y18">MMULT(T15:W18,Y8:Y11)</f>
        <v>1.5897159939192487</v>
      </c>
    </row>
    <row r="16" spans="1:39" x14ac:dyDescent="0.35">
      <c r="A16" s="1">
        <v>3.3</v>
      </c>
      <c r="B16" s="1">
        <v>36.700000000000003</v>
      </c>
      <c r="C16" s="1">
        <v>14.3</v>
      </c>
      <c r="D16" s="1">
        <v>105</v>
      </c>
      <c r="K16" s="1">
        <f>$F$2+$G$2*P16+$H$2*Q16+$I$2*R16</f>
        <v>2.5202067676193693</v>
      </c>
      <c r="L16" s="1">
        <f>A16-K16</f>
        <v>0.77979323238063047</v>
      </c>
      <c r="O16" s="1">
        <v>1</v>
      </c>
      <c r="P16" s="1">
        <v>36.700000000000003</v>
      </c>
      <c r="Q16" s="1">
        <v>14.3</v>
      </c>
      <c r="R16" s="1">
        <v>105</v>
      </c>
      <c r="T16" s="1">
        <v>-1.452958276710169E-3</v>
      </c>
      <c r="U16" s="1">
        <v>7.8730873490583981E-5</v>
      </c>
      <c r="V16" s="1">
        <v>-3.032132775583885E-5</v>
      </c>
      <c r="W16" s="1">
        <v>-5.9893646255967742E-6</v>
      </c>
      <c r="Y16" s="1">
        <v>6.3137382955609847E-3</v>
      </c>
    </row>
    <row r="17" spans="1:25" x14ac:dyDescent="0.35">
      <c r="A17" s="1">
        <v>1.8</v>
      </c>
      <c r="B17" s="1">
        <v>13.8</v>
      </c>
      <c r="C17" s="1">
        <v>6.5</v>
      </c>
      <c r="D17" s="1">
        <v>49.1</v>
      </c>
      <c r="K17" s="1">
        <f>$F$2+$G$2*P17+$H$2*Q17+$I$2*R17</f>
        <v>1.9905841560712823</v>
      </c>
      <c r="L17" s="1">
        <f>A17-K17</f>
        <v>-0.19058415607128221</v>
      </c>
      <c r="O17" s="1">
        <v>1</v>
      </c>
      <c r="P17" s="1">
        <v>13.8</v>
      </c>
      <c r="Q17" s="1">
        <v>6.5</v>
      </c>
      <c r="R17" s="1">
        <v>49.1</v>
      </c>
      <c r="T17" s="1">
        <v>-2.2804388340177096E-3</v>
      </c>
      <c r="U17" s="1">
        <v>-3.0321327755838769E-5</v>
      </c>
      <c r="V17" s="1">
        <v>1.8040246705970599E-4</v>
      </c>
      <c r="W17" s="1">
        <v>-2.7215893540541077E-6</v>
      </c>
      <c r="Y17" s="1">
        <v>6.9655926789250547E-2</v>
      </c>
    </row>
    <row r="18" spans="1:25" x14ac:dyDescent="0.35">
      <c r="A18" s="1">
        <v>2.4</v>
      </c>
      <c r="B18" s="1">
        <v>64.8</v>
      </c>
      <c r="C18" s="1">
        <v>22.7</v>
      </c>
      <c r="D18" s="1">
        <v>50.4</v>
      </c>
      <c r="K18" s="1">
        <f>$F$2+$G$2*P18+$H$2*Q18+$I$2*R18</f>
        <v>3.4373305033973303</v>
      </c>
      <c r="L18" s="1">
        <f>A18-K18</f>
        <v>-1.0373305033973304</v>
      </c>
      <c r="O18" s="1">
        <v>1</v>
      </c>
      <c r="P18" s="1">
        <v>64.8</v>
      </c>
      <c r="Q18" s="1">
        <v>22.7</v>
      </c>
      <c r="R18" s="1">
        <v>50.4</v>
      </c>
      <c r="T18" s="1">
        <v>-7.7181081385783724E-5</v>
      </c>
      <c r="U18" s="1">
        <v>-5.98936462559677E-6</v>
      </c>
      <c r="V18" s="1">
        <v>-2.7215893540541005E-6</v>
      </c>
      <c r="W18" s="1">
        <v>2.4701268817750104E-6</v>
      </c>
      <c r="Y18" s="1">
        <v>-2.8314567995998859E-3</v>
      </c>
    </row>
    <row r="19" spans="1:25" x14ac:dyDescent="0.35">
      <c r="A19" s="1">
        <v>1.6</v>
      </c>
      <c r="B19" s="1">
        <v>30.4</v>
      </c>
      <c r="C19" s="1">
        <v>15.8</v>
      </c>
      <c r="D19" s="1">
        <v>480</v>
      </c>
      <c r="K19" s="1">
        <f>$F$2+$G$2*P19+$H$2*Q19+$I$2*R19</f>
        <v>1.5231174141058532</v>
      </c>
      <c r="L19" s="1">
        <f>A19-K19</f>
        <v>7.6882585894146871E-2</v>
      </c>
      <c r="O19" s="1">
        <v>1</v>
      </c>
      <c r="P19" s="1">
        <v>30.4</v>
      </c>
      <c r="Q19" s="1">
        <v>15.8</v>
      </c>
      <c r="R19" s="1">
        <v>480</v>
      </c>
    </row>
    <row r="20" spans="1:25" x14ac:dyDescent="0.35">
      <c r="A20" s="1">
        <v>1.4</v>
      </c>
      <c r="B20" s="1">
        <v>12.1</v>
      </c>
      <c r="C20" s="1">
        <v>9.3000000000000007</v>
      </c>
      <c r="D20" s="1">
        <v>71</v>
      </c>
      <c r="K20" s="1">
        <f>$F$2+$G$2*P20+$H$2*Q20+$I$2*R20</f>
        <v>2.1128785727891466</v>
      </c>
      <c r="L20" s="1">
        <f>A20-K20</f>
        <v>-0.71287857278914668</v>
      </c>
      <c r="O20" s="1">
        <v>1</v>
      </c>
      <c r="P20" s="1">
        <v>12.1</v>
      </c>
      <c r="Q20" s="1">
        <v>9.3000000000000007</v>
      </c>
      <c r="R20" s="1">
        <v>71</v>
      </c>
    </row>
    <row r="21" spans="1:25" x14ac:dyDescent="0.35">
      <c r="A21" s="1">
        <v>0.9</v>
      </c>
      <c r="B21" s="1">
        <v>31.3</v>
      </c>
      <c r="C21" s="1">
        <v>18.899999999999999</v>
      </c>
      <c r="D21" s="1">
        <v>43</v>
      </c>
      <c r="K21" s="1">
        <f>$F$2+$G$2*P21+$H$2*Q21+$I$2*R21</f>
        <v>2.9820804187797472</v>
      </c>
      <c r="L21" s="1">
        <f>A21-K21</f>
        <v>-2.0820804187797473</v>
      </c>
      <c r="O21" s="1">
        <v>1</v>
      </c>
      <c r="P21" s="1">
        <v>31.3</v>
      </c>
      <c r="Q21" s="1">
        <v>18.899999999999999</v>
      </c>
      <c r="R21" s="1">
        <v>43</v>
      </c>
    </row>
    <row r="24" spans="1:25" ht="16.5" x14ac:dyDescent="0.45">
      <c r="A24" s="195" t="s">
        <v>217</v>
      </c>
      <c r="B24" s="195"/>
      <c r="C24" s="195"/>
      <c r="D24" s="195"/>
    </row>
    <row r="25" spans="1:25" x14ac:dyDescent="0.35">
      <c r="K25" s="190"/>
    </row>
    <row r="26" spans="1:25" x14ac:dyDescent="0.35">
      <c r="A26" s="1" t="s">
        <v>102</v>
      </c>
    </row>
    <row r="27" spans="1:25" ht="15" thickBot="1" x14ac:dyDescent="0.4"/>
    <row r="28" spans="1:25" x14ac:dyDescent="0.35">
      <c r="A28" s="194" t="s">
        <v>101</v>
      </c>
      <c r="B28" s="194"/>
    </row>
    <row r="29" spans="1:25" ht="16.5" x14ac:dyDescent="0.45">
      <c r="A29" s="1" t="s">
        <v>100</v>
      </c>
      <c r="B29" s="1">
        <v>0.73903867062810491</v>
      </c>
      <c r="D29" s="198" t="s">
        <v>216</v>
      </c>
    </row>
    <row r="30" spans="1:25" ht="15" thickBot="1" x14ac:dyDescent="0.4">
      <c r="A30" s="1" t="s">
        <v>99</v>
      </c>
      <c r="B30" s="1">
        <v>0.54617815668375658</v>
      </c>
    </row>
    <row r="31" spans="1:25" ht="16.5" x14ac:dyDescent="0.45">
      <c r="A31" s="1" t="s">
        <v>98</v>
      </c>
      <c r="B31" s="1">
        <v>0.46108656106196089</v>
      </c>
      <c r="D31" s="38" t="s">
        <v>216</v>
      </c>
      <c r="E31" s="38" t="s">
        <v>97</v>
      </c>
      <c r="F31" s="38" t="s">
        <v>168</v>
      </c>
    </row>
    <row r="32" spans="1:25" x14ac:dyDescent="0.35">
      <c r="A32" s="1" t="s">
        <v>93</v>
      </c>
      <c r="B32" s="1">
        <v>1.2754977775591447</v>
      </c>
      <c r="E32" s="1">
        <v>4.6363602737869497E-3</v>
      </c>
      <c r="F32" s="199" t="s">
        <v>208</v>
      </c>
    </row>
    <row r="33" spans="1:9" ht="15" thickBot="1" x14ac:dyDescent="0.4">
      <c r="A33" s="187" t="s">
        <v>74</v>
      </c>
      <c r="B33" s="187">
        <v>20</v>
      </c>
    </row>
    <row r="35" spans="1:9" ht="15" thickBot="1" x14ac:dyDescent="0.4">
      <c r="A35" s="1" t="s">
        <v>56</v>
      </c>
    </row>
    <row r="36" spans="1:9" x14ac:dyDescent="0.35">
      <c r="A36" s="38"/>
      <c r="B36" s="38" t="s">
        <v>53</v>
      </c>
      <c r="C36" s="38" t="s">
        <v>54</v>
      </c>
      <c r="D36" s="38" t="s">
        <v>52</v>
      </c>
      <c r="E36" s="38" t="s">
        <v>51</v>
      </c>
      <c r="F36" s="38" t="s">
        <v>97</v>
      </c>
    </row>
    <row r="37" spans="1:9" x14ac:dyDescent="0.35">
      <c r="A37" s="1" t="s">
        <v>96</v>
      </c>
      <c r="B37" s="1">
        <v>3</v>
      </c>
      <c r="C37" s="1">
        <v>31.327686711066903</v>
      </c>
      <c r="D37" s="1">
        <v>10.442562237022301</v>
      </c>
      <c r="E37" s="1">
        <v>6.4187086009215326</v>
      </c>
      <c r="F37" s="1">
        <v>4.6363602737869453E-3</v>
      </c>
    </row>
    <row r="38" spans="1:9" x14ac:dyDescent="0.35">
      <c r="A38" s="1" t="s">
        <v>95</v>
      </c>
      <c r="B38" s="1">
        <v>16</v>
      </c>
      <c r="C38" s="1">
        <v>26.03031328893308</v>
      </c>
      <c r="D38" s="1">
        <v>1.6268945805583175</v>
      </c>
    </row>
    <row r="39" spans="1:9" ht="15" thickBot="1" x14ac:dyDescent="0.4">
      <c r="A39" s="187" t="s">
        <v>46</v>
      </c>
      <c r="B39" s="187">
        <v>19</v>
      </c>
      <c r="C39" s="187">
        <v>57.357999999999983</v>
      </c>
      <c r="D39" s="187"/>
      <c r="E39" s="187"/>
      <c r="F39" s="187"/>
    </row>
    <row r="40" spans="1:9" ht="15" thickBot="1" x14ac:dyDescent="0.4"/>
    <row r="41" spans="1:9" x14ac:dyDescent="0.35">
      <c r="A41" s="38"/>
      <c r="B41" s="38" t="s">
        <v>94</v>
      </c>
      <c r="C41" s="38" t="s">
        <v>93</v>
      </c>
      <c r="D41" s="38" t="s">
        <v>84</v>
      </c>
      <c r="E41" s="38" t="s">
        <v>50</v>
      </c>
      <c r="F41" s="38" t="s">
        <v>92</v>
      </c>
      <c r="G41" s="38" t="s">
        <v>91</v>
      </c>
      <c r="H41" s="38" t="s">
        <v>90</v>
      </c>
      <c r="I41" s="38" t="s">
        <v>89</v>
      </c>
    </row>
    <row r="42" spans="1:9" x14ac:dyDescent="0.35">
      <c r="A42" s="1" t="s">
        <v>88</v>
      </c>
      <c r="B42" s="1">
        <v>1.5897159939192551</v>
      </c>
      <c r="C42" s="1">
        <v>0.51716207817054227</v>
      </c>
      <c r="D42" s="1">
        <v>3.073922201610114</v>
      </c>
      <c r="E42" s="1">
        <v>7.2659487553895074E-3</v>
      </c>
      <c r="F42" s="1">
        <v>0.49338136384924569</v>
      </c>
      <c r="G42" s="1">
        <v>2.6860506239892645</v>
      </c>
      <c r="H42" s="1">
        <v>0.49338136384924569</v>
      </c>
      <c r="I42" s="1">
        <v>2.6860506239892645</v>
      </c>
    </row>
    <row r="43" spans="1:9" x14ac:dyDescent="0.35">
      <c r="A43" s="1" t="s">
        <v>215</v>
      </c>
      <c r="B43" s="1">
        <v>6.3137382955609301E-3</v>
      </c>
      <c r="C43" s="1">
        <v>1.1317545290585479E-2</v>
      </c>
      <c r="D43" s="1">
        <v>0.55787170569690803</v>
      </c>
      <c r="E43" s="1">
        <v>0.58465400757311037</v>
      </c>
      <c r="F43" s="1">
        <v>-1.7678385940127786E-2</v>
      </c>
      <c r="G43" s="1">
        <v>3.0305862531249644E-2</v>
      </c>
      <c r="H43" s="1">
        <v>-1.7678385940127786E-2</v>
      </c>
      <c r="I43" s="1">
        <v>3.0305862531249644E-2</v>
      </c>
    </row>
    <row r="44" spans="1:9" x14ac:dyDescent="0.35">
      <c r="A44" s="1" t="s">
        <v>214</v>
      </c>
      <c r="B44" s="1">
        <v>6.9655926789250325E-2</v>
      </c>
      <c r="C44" s="1">
        <v>1.7131719002446477E-2</v>
      </c>
      <c r="D44" s="1">
        <v>4.0659041150104773</v>
      </c>
      <c r="E44" s="1">
        <v>8.9859253084337374E-4</v>
      </c>
      <c r="F44" s="1">
        <v>3.3338304891194562E-2</v>
      </c>
      <c r="G44" s="1">
        <v>0.10597354868730609</v>
      </c>
      <c r="H44" s="1">
        <v>3.3338304891194562E-2</v>
      </c>
      <c r="I44" s="1">
        <v>0.10597354868730609</v>
      </c>
    </row>
    <row r="45" spans="1:9" ht="15" thickBot="1" x14ac:dyDescent="0.4">
      <c r="A45" s="187" t="s">
        <v>213</v>
      </c>
      <c r="B45" s="187">
        <v>-2.8314567995998828E-3</v>
      </c>
      <c r="C45" s="187">
        <v>2.0046535953254317E-3</v>
      </c>
      <c r="D45" s="187">
        <v>-1.4124419332110241</v>
      </c>
      <c r="E45" s="187">
        <v>0.17697517180855199</v>
      </c>
      <c r="F45" s="187">
        <v>-7.0811325794332067E-3</v>
      </c>
      <c r="G45" s="187">
        <v>1.4182189802334415E-3</v>
      </c>
      <c r="H45" s="187">
        <v>-7.0811325794332067E-3</v>
      </c>
      <c r="I45" s="187">
        <v>1.4182189802334415E-3</v>
      </c>
    </row>
    <row r="47" spans="1:9" ht="15" thickBot="1" x14ac:dyDescent="0.4"/>
    <row r="48" spans="1:9" ht="16.5" x14ac:dyDescent="0.45">
      <c r="E48" s="38" t="s">
        <v>212</v>
      </c>
      <c r="F48" s="38" t="s">
        <v>50</v>
      </c>
      <c r="G48" s="38" t="s">
        <v>168</v>
      </c>
    </row>
    <row r="49" spans="1:7" x14ac:dyDescent="0.35">
      <c r="A49" s="1" t="s">
        <v>87</v>
      </c>
      <c r="F49" s="1">
        <v>7.2659487553895074E-3</v>
      </c>
      <c r="G49" s="199" t="s">
        <v>208</v>
      </c>
    </row>
    <row r="50" spans="1:7" ht="15" thickBot="1" x14ac:dyDescent="0.4"/>
    <row r="51" spans="1:7" ht="16.5" x14ac:dyDescent="0.45">
      <c r="A51" s="38" t="s">
        <v>86</v>
      </c>
      <c r="B51" s="38" t="s">
        <v>109</v>
      </c>
      <c r="C51" s="38" t="s">
        <v>85</v>
      </c>
      <c r="E51" s="38" t="s">
        <v>211</v>
      </c>
      <c r="F51" s="38" t="s">
        <v>50</v>
      </c>
      <c r="G51" s="38" t="s">
        <v>168</v>
      </c>
    </row>
    <row r="52" spans="1:7" x14ac:dyDescent="0.35">
      <c r="A52" s="1">
        <v>1</v>
      </c>
      <c r="B52" s="1">
        <v>6.8279328582287784</v>
      </c>
      <c r="C52" s="1">
        <v>-0.22793285822877873</v>
      </c>
      <c r="E52" s="199" t="s">
        <v>208</v>
      </c>
      <c r="F52" s="1">
        <v>0.58465400757311037</v>
      </c>
      <c r="G52" s="199"/>
    </row>
    <row r="53" spans="1:7" ht="15" thickBot="1" x14ac:dyDescent="0.4">
      <c r="A53" s="1">
        <v>2</v>
      </c>
      <c r="B53" s="1">
        <v>2.065520189782283</v>
      </c>
      <c r="C53" s="1">
        <v>0.93447981021771698</v>
      </c>
    </row>
    <row r="54" spans="1:7" ht="16.5" x14ac:dyDescent="0.45">
      <c r="A54" s="1">
        <v>3</v>
      </c>
      <c r="B54" s="1">
        <v>5.5494476086213043</v>
      </c>
      <c r="C54" s="1">
        <v>0.95055239137869574</v>
      </c>
      <c r="E54" s="38" t="s">
        <v>210</v>
      </c>
      <c r="F54" s="38" t="s">
        <v>50</v>
      </c>
      <c r="G54" s="38" t="s">
        <v>168</v>
      </c>
    </row>
    <row r="55" spans="1:7" x14ac:dyDescent="0.35">
      <c r="A55" s="1">
        <v>4</v>
      </c>
      <c r="B55" s="1">
        <v>2.6398748486676635</v>
      </c>
      <c r="C55" s="1">
        <v>0.66012515133233629</v>
      </c>
      <c r="F55" s="1">
        <v>8.9859253084337374E-4</v>
      </c>
      <c r="G55" s="199" t="s">
        <v>208</v>
      </c>
    </row>
    <row r="56" spans="1:7" ht="15" thickBot="1" x14ac:dyDescent="0.4">
      <c r="A56" s="1">
        <v>5</v>
      </c>
      <c r="B56" s="1">
        <v>3.3066499750874696</v>
      </c>
      <c r="C56" s="1">
        <v>-3.2066499750874695</v>
      </c>
    </row>
    <row r="57" spans="1:7" ht="16.5" x14ac:dyDescent="0.45">
      <c r="A57" s="1">
        <v>6</v>
      </c>
      <c r="B57" s="1">
        <v>2.5006337777410161</v>
      </c>
      <c r="C57" s="1">
        <v>1.0993662222589839</v>
      </c>
      <c r="E57" s="38" t="s">
        <v>209</v>
      </c>
      <c r="F57" s="38" t="s">
        <v>50</v>
      </c>
      <c r="G57" s="38" t="s">
        <v>168</v>
      </c>
    </row>
    <row r="58" spans="1:7" x14ac:dyDescent="0.35">
      <c r="A58" s="1">
        <v>7</v>
      </c>
      <c r="B58" s="1">
        <v>1.9875370868867637</v>
      </c>
      <c r="C58" s="1">
        <v>-0.48753708688676367</v>
      </c>
      <c r="E58" s="199" t="s">
        <v>208</v>
      </c>
      <c r="F58" s="1">
        <v>0.17697517180855199</v>
      </c>
    </row>
    <row r="59" spans="1:7" x14ac:dyDescent="0.35">
      <c r="A59" s="1">
        <v>8</v>
      </c>
      <c r="B59" s="1">
        <v>3.3851011366626418</v>
      </c>
      <c r="C59" s="1">
        <v>2.1148988633373582</v>
      </c>
    </row>
    <row r="60" spans="1:7" x14ac:dyDescent="0.35">
      <c r="A60" s="1">
        <v>9</v>
      </c>
      <c r="B60" s="1">
        <v>2.2555317593083339</v>
      </c>
      <c r="C60" s="1">
        <v>0.14446824069166597</v>
      </c>
    </row>
    <row r="61" spans="1:7" x14ac:dyDescent="0.35">
      <c r="A61" s="1">
        <v>10</v>
      </c>
      <c r="B61" s="1">
        <v>2.6633081047374731</v>
      </c>
      <c r="C61" s="1">
        <v>0.33669189526252685</v>
      </c>
    </row>
    <row r="62" spans="1:7" x14ac:dyDescent="0.35">
      <c r="A62" s="1">
        <v>11</v>
      </c>
      <c r="B62" s="1">
        <v>3.6692810353909082</v>
      </c>
      <c r="C62" s="1">
        <v>0.53071896460909196</v>
      </c>
    </row>
    <row r="63" spans="1:7" x14ac:dyDescent="0.35">
      <c r="A63" s="1">
        <v>12</v>
      </c>
      <c r="B63" s="1">
        <v>2.0387090991007959</v>
      </c>
      <c r="C63" s="1">
        <v>0.66129090089920428</v>
      </c>
    </row>
    <row r="64" spans="1:7" x14ac:dyDescent="0.35">
      <c r="A64" s="1">
        <v>13</v>
      </c>
      <c r="B64" s="1">
        <v>1.9746335005035913</v>
      </c>
      <c r="C64" s="1">
        <v>-0.37463350050359123</v>
      </c>
    </row>
    <row r="65" spans="1:3" x14ac:dyDescent="0.35">
      <c r="A65" s="1">
        <v>14</v>
      </c>
      <c r="B65" s="1">
        <v>2.3696398044959857</v>
      </c>
      <c r="C65" s="1">
        <v>3.0360195504014253E-2</v>
      </c>
    </row>
    <row r="66" spans="1:3" x14ac:dyDescent="0.35">
      <c r="A66" s="1">
        <v>15</v>
      </c>
      <c r="B66" s="1">
        <v>2.5202069784946333</v>
      </c>
      <c r="C66" s="1">
        <v>0.77979302150536656</v>
      </c>
    </row>
    <row r="67" spans="1:3" x14ac:dyDescent="0.35">
      <c r="A67" s="1">
        <v>16</v>
      </c>
      <c r="B67" s="1">
        <v>1.9905845776677689</v>
      </c>
      <c r="C67" s="1">
        <v>-0.19058457766776882</v>
      </c>
    </row>
    <row r="68" spans="1:3" x14ac:dyDescent="0.35">
      <c r="A68" s="1">
        <v>17</v>
      </c>
      <c r="B68" s="1">
        <v>3.4373303508877515</v>
      </c>
      <c r="C68" s="1">
        <v>-1.0373303508877516</v>
      </c>
    </row>
    <row r="69" spans="1:3" x14ac:dyDescent="0.35">
      <c r="A69" s="1">
        <v>18</v>
      </c>
      <c r="B69" s="1">
        <v>1.5231180175665184</v>
      </c>
      <c r="C69" s="1">
        <v>7.6881982433481655E-2</v>
      </c>
    </row>
    <row r="70" spans="1:3" x14ac:dyDescent="0.35">
      <c r="A70" s="1">
        <v>19</v>
      </c>
      <c r="B70" s="1">
        <v>2.112878913663979</v>
      </c>
      <c r="C70" s="1">
        <v>-0.71287891366397904</v>
      </c>
    </row>
    <row r="71" spans="1:3" ht="15" thickBot="1" x14ac:dyDescent="0.4">
      <c r="A71" s="187">
        <v>20</v>
      </c>
      <c r="B71" s="187">
        <v>2.9820803765043484</v>
      </c>
      <c r="C71" s="187">
        <v>-2.0820803765043485</v>
      </c>
    </row>
  </sheetData>
  <mergeCells count="6">
    <mergeCell ref="A24:D24"/>
    <mergeCell ref="O1:R1"/>
    <mergeCell ref="T1:AM1"/>
    <mergeCell ref="T7:W7"/>
    <mergeCell ref="T12:W12"/>
    <mergeCell ref="T14:W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ЛР1-1</vt:lpstr>
      <vt:lpstr>ЛР1-2</vt:lpstr>
      <vt:lpstr>ЛР1-3</vt:lpstr>
      <vt:lpstr>ЛР3</vt:lpstr>
      <vt:lpstr>ЛР4</vt:lpstr>
      <vt:lpstr>ЛР5</vt:lpstr>
      <vt:lpstr>ЛР7</vt:lpstr>
      <vt:lpstr>ЛР8</vt:lpstr>
      <vt:lpstr>ЛР8 чоу</vt:lpstr>
      <vt:lpstr>Диаграмма расеинивания</vt:lpstr>
      <vt:lpstr>Диагр рас</vt:lpstr>
      <vt:lpstr>недоконца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 оглоблин</dc:creator>
  <cp:lastModifiedBy>иван оглоблин</cp:lastModifiedBy>
  <dcterms:created xsi:type="dcterms:W3CDTF">2015-06-05T18:19:34Z</dcterms:created>
  <dcterms:modified xsi:type="dcterms:W3CDTF">2023-05-05T02:31:31Z</dcterms:modified>
</cp:coreProperties>
</file>