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" sheetId="1" r:id="rId4"/>
    <sheet state="visible" name="Projects" sheetId="2" r:id="rId5"/>
    <sheet state="visible" name="Exams" sheetId="3" r:id="rId6"/>
  </sheets>
  <definedNames/>
  <calcPr/>
</workbook>
</file>

<file path=xl/sharedStrings.xml><?xml version="1.0" encoding="utf-8"?>
<sst xmlns="http://schemas.openxmlformats.org/spreadsheetml/2006/main" count="171" uniqueCount="64">
  <si>
    <t>Student</t>
  </si>
  <si>
    <t>Team</t>
  </si>
  <si>
    <t>Not so tiny tasks</t>
  </si>
  <si>
    <t>Summ</t>
  </si>
  <si>
    <t>Exam</t>
  </si>
  <si>
    <t>Project</t>
  </si>
  <si>
    <t>Final Points</t>
  </si>
  <si>
    <t>Mark</t>
  </si>
  <si>
    <t>Vasko Maria</t>
  </si>
  <si>
    <t>Volkov Kirill</t>
  </si>
  <si>
    <t>review</t>
  </si>
  <si>
    <t>recieved</t>
  </si>
  <si>
    <t>0</t>
  </si>
  <si>
    <t>Elkin Maxim</t>
  </si>
  <si>
    <t>???</t>
  </si>
  <si>
    <t>Kareba Yuri</t>
  </si>
  <si>
    <t>Kashintseva Taisiya</t>
  </si>
  <si>
    <t>Kolbasova Lubov</t>
  </si>
  <si>
    <t>Malyarenko Artyom</t>
  </si>
  <si>
    <t>Novikov Sergey</t>
  </si>
  <si>
    <t>Ovchinnikov Maxim</t>
  </si>
  <si>
    <t>Oleinikov Danil</t>
  </si>
  <si>
    <t>Parshukov Daniil</t>
  </si>
  <si>
    <t>Petruneva Taisiya</t>
  </si>
  <si>
    <t>Pyanzin Bogdan</t>
  </si>
  <si>
    <t>Salimov Rustam</t>
  </si>
  <si>
    <t>Tarasov Vladislav</t>
  </si>
  <si>
    <t>Lasarev  Andrew</t>
  </si>
  <si>
    <t>Andreev Egor</t>
  </si>
  <si>
    <t>Stepanichev Stepan</t>
  </si>
  <si>
    <t>Natalia Reshetnikova</t>
  </si>
  <si>
    <t>Vladimir Zhakulin</t>
  </si>
  <si>
    <t>Alexander Volk</t>
  </si>
  <si>
    <t>Max points for the task</t>
  </si>
  <si>
    <t>Team number</t>
  </si>
  <si>
    <t>Topic</t>
  </si>
  <si>
    <t>Team members</t>
  </si>
  <si>
    <t>Milestontes</t>
  </si>
  <si>
    <t>RISC-V emulator</t>
  </si>
  <si>
    <t>File System</t>
  </si>
  <si>
    <t>Tensorflow (GPU)</t>
  </si>
  <si>
    <t>Tracing GC for Python</t>
  </si>
  <si>
    <t>missed</t>
  </si>
  <si>
    <t>Landscape generator</t>
  </si>
  <si>
    <t>Archiver</t>
  </si>
  <si>
    <t xml:space="preserve"> JVM on C++</t>
  </si>
  <si>
    <t>yadbg</t>
  </si>
  <si>
    <t>5</t>
  </si>
  <si>
    <t>Max number of points</t>
  </si>
  <si>
    <t>Day</t>
  </si>
  <si>
    <t>Time slot</t>
  </si>
  <si>
    <t>Main question</t>
  </si>
  <si>
    <t>Additional question 1</t>
  </si>
  <si>
    <t>Additional question 2</t>
  </si>
  <si>
    <t>17-00 - 19-00</t>
  </si>
  <si>
    <t>9-00 - 11-00</t>
  </si>
  <si>
    <t>10-00 - 12-00</t>
  </si>
  <si>
    <t>11-00 - 13-00</t>
  </si>
  <si>
    <t>16-00 - 18-00</t>
  </si>
  <si>
    <t>18 -00 - 20-00</t>
  </si>
  <si>
    <t>11-00 -13-00</t>
  </si>
  <si>
    <t>12-00 - 14-00</t>
  </si>
  <si>
    <t>13-00 - 15-00</t>
  </si>
  <si>
    <t>Lazarev Andrew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</si>
</sst>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9.0"/>
      <color rgb="FF000000"/>
      <name val="&quot;Google Sans Mono&quot;"/>
    </font>
    <font>
      <sz val="12.0"/>
      <color rgb="FF272727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6" fillId="2" fontId="1" numFmtId="164" xfId="0" applyAlignment="1" applyBorder="1" applyFill="1" applyFont="1" applyNumberFormat="1">
      <alignment horizontal="center" readingOrder="0" vertical="bottom"/>
    </xf>
    <xf borderId="7" fillId="2" fontId="1" numFmtId="164" xfId="0" applyAlignment="1" applyBorder="1" applyFont="1" applyNumberFormat="1">
      <alignment horizontal="center" readingOrder="0" vertical="bottom"/>
    </xf>
    <xf borderId="6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6" fillId="3" fontId="1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7" fillId="0" fontId="3" numFmtId="0" xfId="0" applyBorder="1" applyFont="1"/>
    <xf borderId="6" fillId="0" fontId="1" numFmtId="0" xfId="0" applyAlignment="1" applyBorder="1" applyFont="1">
      <alignment horizontal="center" readingOrder="0" vertical="center"/>
    </xf>
    <xf borderId="10" fillId="3" fontId="5" numFmtId="0" xfId="0" applyAlignment="1" applyBorder="1" applyFont="1">
      <alignment horizontal="center"/>
    </xf>
    <xf borderId="9" fillId="3" fontId="1" numFmtId="0" xfId="0" applyAlignment="1" applyBorder="1" applyFont="1">
      <alignment readingOrder="0" vertical="bottom"/>
    </xf>
    <xf borderId="7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readingOrder="0" vertical="bottom"/>
    </xf>
    <xf borderId="6" fillId="4" fontId="1" numFmtId="0" xfId="0" applyAlignment="1" applyBorder="1" applyFill="1" applyFont="1">
      <alignment horizontal="center" readingOrder="0"/>
    </xf>
    <xf borderId="11" fillId="4" fontId="1" numFmtId="0" xfId="0" applyAlignment="1" applyBorder="1" applyFont="1">
      <alignment horizontal="center" readingOrder="0"/>
    </xf>
    <xf borderId="11" fillId="5" fontId="1" numFmtId="0" xfId="0" applyAlignment="1" applyBorder="1" applyFill="1" applyFont="1">
      <alignment horizontal="center" readingOrder="0"/>
    </xf>
    <xf borderId="12" fillId="4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6" fillId="6" fontId="1" numFmtId="0" xfId="0" applyAlignment="1" applyBorder="1" applyFill="1" applyFont="1">
      <alignment horizontal="center" readingOrder="0"/>
    </xf>
    <xf quotePrefix="1" borderId="6" fillId="2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8" fillId="0" fontId="4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12" fillId="6" fontId="1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left" readingOrder="0"/>
    </xf>
    <xf quotePrefix="1" borderId="11" fillId="2" fontId="1" numFmtId="0" xfId="0" applyAlignment="1" applyBorder="1" applyFont="1">
      <alignment horizontal="center" readingOrder="0"/>
    </xf>
    <xf borderId="0" fillId="3" fontId="4" numFmtId="0" xfId="0" applyFont="1"/>
    <xf borderId="12" fillId="0" fontId="1" numFmtId="0" xfId="0" applyAlignment="1" applyBorder="1" applyFont="1">
      <alignment horizontal="center" vertical="bottom"/>
    </xf>
    <xf borderId="12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vertical="bottom"/>
    </xf>
    <xf borderId="10" fillId="3" fontId="5" numFmtId="0" xfId="0" applyAlignment="1" applyBorder="1" applyFont="1">
      <alignment horizontal="center" readingOrder="0"/>
    </xf>
    <xf borderId="12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4" fillId="5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12" fillId="3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14" fillId="3" fontId="1" numFmtId="0" xfId="0" applyAlignment="1" applyBorder="1" applyFont="1">
      <alignment horizontal="center" readingOrder="0"/>
    </xf>
    <xf borderId="14" fillId="3" fontId="5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bottom"/>
    </xf>
    <xf borderId="10" fillId="0" fontId="4" numFmtId="0" xfId="0" applyBorder="1" applyFont="1"/>
    <xf borderId="8" fillId="0" fontId="4" numFmtId="0" xfId="0" applyBorder="1" applyFont="1"/>
    <xf borderId="15" fillId="0" fontId="4" numFmtId="0" xfId="0" applyAlignment="1" applyBorder="1" applyFont="1">
      <alignment readingOrder="0"/>
    </xf>
    <xf borderId="11" fillId="0" fontId="3" numFmtId="0" xfId="0" applyBorder="1" applyFont="1"/>
    <xf borderId="15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2" fillId="2" fontId="4" numFmtId="165" xfId="0" applyAlignment="1" applyBorder="1" applyFont="1" applyNumberFormat="1">
      <alignment horizontal="center" readingOrder="0"/>
    </xf>
    <xf borderId="13" fillId="0" fontId="4" numFmtId="0" xfId="0" applyAlignment="1" applyBorder="1" applyFont="1">
      <alignment shrinkToFit="0" wrapText="0"/>
    </xf>
    <xf borderId="1" fillId="4" fontId="4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/>
    </xf>
    <xf borderId="10" fillId="4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0" fillId="3" fontId="5" numFmtId="0" xfId="0" applyFont="1"/>
    <xf borderId="6" fillId="0" fontId="4" numFmtId="0" xfId="0" applyBorder="1" applyFont="1"/>
    <xf borderId="7" fillId="4" fontId="4" numFmtId="0" xfId="0" applyAlignment="1" applyBorder="1" applyFont="1">
      <alignment horizontal="center" readingOrder="0"/>
    </xf>
    <xf borderId="14" fillId="4" fontId="4" numFmtId="0" xfId="0" applyAlignment="1" applyBorder="1" applyFont="1">
      <alignment horizontal="center" readingOrder="0"/>
    </xf>
    <xf borderId="1" fillId="0" fontId="4" numFmtId="0" xfId="0" applyBorder="1" applyFont="1"/>
    <xf borderId="3" fillId="0" fontId="4" numFmtId="0" xfId="0" applyBorder="1" applyFont="1"/>
    <xf borderId="9" fillId="0" fontId="4" numFmtId="0" xfId="0" applyBorder="1" applyFont="1"/>
    <xf borderId="1" fillId="3" fontId="5" numFmtId="0" xfId="0" applyBorder="1" applyFont="1"/>
    <xf borderId="2" fillId="4" fontId="4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readingOrder="0"/>
    </xf>
    <xf borderId="13" fillId="4" fontId="4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1" fillId="4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3" fillId="5" fontId="4" numFmtId="0" xfId="0" applyAlignment="1" applyBorder="1" applyFont="1">
      <alignment horizontal="center" readingOrder="0" vertical="center"/>
    </xf>
    <xf borderId="10" fillId="0" fontId="3" numFmtId="0" xfId="0" applyBorder="1" applyFont="1"/>
    <xf borderId="14" fillId="0" fontId="3" numFmtId="0" xfId="0" applyBorder="1" applyFont="1"/>
    <xf borderId="5" fillId="4" fontId="4" numFmtId="0" xfId="0" applyAlignment="1" applyBorder="1" applyFont="1">
      <alignment horizontal="center" readingOrder="0"/>
    </xf>
    <xf borderId="12" fillId="5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/>
    </xf>
    <xf quotePrefix="1" borderId="12" fillId="4" fontId="4" numFmtId="0" xfId="0" applyAlignment="1" applyBorder="1" applyFont="1">
      <alignment horizontal="center" readingOrder="0" shrinkToFit="0" vertical="center" wrapText="1"/>
    </xf>
    <xf borderId="12" fillId="7" fontId="4" numFmtId="0" xfId="0" applyAlignment="1" applyBorder="1" applyFill="1" applyFont="1">
      <alignment horizontal="center" readingOrder="0"/>
    </xf>
    <xf borderId="12" fillId="0" fontId="4" numFmtId="0" xfId="0" applyBorder="1" applyFont="1"/>
    <xf borderId="1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 vertical="bottom"/>
    </xf>
    <xf borderId="0" fillId="8" fontId="4" numFmtId="0" xfId="0" applyFill="1" applyFont="1"/>
    <xf borderId="0" fillId="0" fontId="4" numFmtId="165" xfId="0" applyAlignment="1" applyFont="1" applyNumberFormat="1">
      <alignment horizontal="center" readingOrder="0" vertical="center"/>
    </xf>
    <xf borderId="0" fillId="3" fontId="1" numFmtId="0" xfId="0" applyAlignment="1" applyFont="1">
      <alignment horizontal="left" readingOrder="0" vertical="bottom"/>
    </xf>
    <xf borderId="0" fillId="0" fontId="4" numFmtId="0" xfId="0" applyFont="1"/>
    <xf borderId="0" fillId="3" fontId="1" numFmtId="0" xfId="0" applyAlignment="1" applyFont="1">
      <alignment readingOrder="0" vertical="bottom"/>
    </xf>
    <xf borderId="0" fillId="8" fontId="4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7.88"/>
    <col customWidth="1" min="12" max="12" width="8.0"/>
    <col customWidth="1" min="13" max="13" width="7.25"/>
    <col customWidth="1" min="14" max="18" width="12.5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>
      <c r="A2" s="7"/>
      <c r="C2" s="3"/>
      <c r="D2" s="8">
        <v>45348.0</v>
      </c>
      <c r="E2" s="8">
        <v>45348.0</v>
      </c>
      <c r="F2" s="8">
        <v>45355.0</v>
      </c>
      <c r="G2" s="8">
        <v>45369.0</v>
      </c>
      <c r="H2" s="8">
        <v>45376.0</v>
      </c>
      <c r="I2" s="8">
        <v>45383.0</v>
      </c>
      <c r="J2" s="8">
        <v>45390.0</v>
      </c>
      <c r="K2" s="8">
        <v>45406.0</v>
      </c>
      <c r="L2" s="9">
        <v>45411.0</v>
      </c>
      <c r="M2" s="10"/>
      <c r="N2" s="8">
        <v>45418.0</v>
      </c>
      <c r="O2" s="8">
        <v>45425.0</v>
      </c>
      <c r="P2" s="8">
        <v>45432.0</v>
      </c>
      <c r="Q2" s="9">
        <v>45439.0</v>
      </c>
      <c r="R2" s="10"/>
      <c r="S2" s="11" t="s">
        <v>3</v>
      </c>
      <c r="U2" s="12" t="s">
        <v>4</v>
      </c>
      <c r="V2" s="12" t="s">
        <v>5</v>
      </c>
      <c r="W2" s="12" t="s">
        <v>6</v>
      </c>
      <c r="X2" s="12" t="s">
        <v>7</v>
      </c>
    </row>
    <row r="3">
      <c r="A3" s="7"/>
      <c r="C3" s="3"/>
      <c r="D3" s="11">
        <v>1.0</v>
      </c>
      <c r="E3" s="11">
        <v>2.0</v>
      </c>
      <c r="F3" s="11">
        <v>3.0</v>
      </c>
      <c r="G3" s="13">
        <v>4.0</v>
      </c>
      <c r="H3" s="13">
        <v>5.0</v>
      </c>
      <c r="I3" s="13">
        <v>6.0</v>
      </c>
      <c r="J3" s="13">
        <v>7.0</v>
      </c>
      <c r="K3" s="13">
        <v>8.0</v>
      </c>
      <c r="L3" s="13">
        <v>9.0</v>
      </c>
      <c r="M3" s="13">
        <v>10.0</v>
      </c>
      <c r="N3" s="13">
        <v>11.0</v>
      </c>
      <c r="O3" s="13">
        <v>12.0</v>
      </c>
      <c r="P3" s="13">
        <v>13.0</v>
      </c>
      <c r="Q3" s="13">
        <v>14.0</v>
      </c>
      <c r="R3" s="13">
        <v>15.0</v>
      </c>
      <c r="S3" s="14"/>
      <c r="U3" s="15"/>
      <c r="V3" s="15"/>
      <c r="W3" s="15"/>
      <c r="X3" s="15"/>
    </row>
    <row r="4" ht="1.5" customHeight="1">
      <c r="A4" s="15"/>
      <c r="B4" s="16"/>
      <c r="C4" s="3"/>
      <c r="D4" s="10"/>
      <c r="E4" s="10"/>
      <c r="F4" s="1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0"/>
      <c r="U4" s="18" t="str">
        <f>IFERROR(__xludf.DUMMYFUNCTION("IFERROR(SUM(FILTER(#REF!, A4=#REF!), 0))"),"")</f>
        <v/>
      </c>
    </row>
    <row r="5">
      <c r="A5" s="19" t="s">
        <v>8</v>
      </c>
      <c r="B5" s="20">
        <v>2.0</v>
      </c>
      <c r="C5" s="21"/>
      <c r="D5" s="22">
        <v>2.0</v>
      </c>
      <c r="E5" s="23">
        <v>1.0</v>
      </c>
      <c r="F5" s="23">
        <v>1.0</v>
      </c>
      <c r="G5" s="23">
        <v>1.0</v>
      </c>
      <c r="H5" s="23">
        <v>1.0</v>
      </c>
      <c r="I5" s="23">
        <v>3.0</v>
      </c>
      <c r="J5" s="22">
        <v>2.0</v>
      </c>
      <c r="K5" s="24">
        <v>2.0</v>
      </c>
      <c r="L5" s="23">
        <v>1.0</v>
      </c>
      <c r="M5" s="23">
        <v>1.0</v>
      </c>
      <c r="N5" s="23">
        <v>1.0</v>
      </c>
      <c r="O5" s="25">
        <v>1.0</v>
      </c>
      <c r="P5" s="25">
        <v>1.0</v>
      </c>
      <c r="Q5" s="25">
        <v>1.0</v>
      </c>
      <c r="R5" s="25">
        <v>1.0</v>
      </c>
      <c r="S5" s="26">
        <f t="shared" ref="S5:S19" si="1">SUM(D5:R5)</f>
        <v>20</v>
      </c>
      <c r="U5" s="18">
        <f>IFERROR(__xludf.DUMMYFUNCTION("IFERROR(SUM(FILTER(Exams!$D$2:$F$79, A5=Exams!$C$2:$C$79), 0))"),15.0)</f>
        <v>15</v>
      </c>
      <c r="V5" s="27">
        <f>IFERROR(__xludf.DUMMYFUNCTION("SUM(FILTER(Projects!E$3:H$24, A5=Projects!C$3:C$24))"),40.0)</f>
        <v>40</v>
      </c>
      <c r="W5" s="27">
        <f t="shared" ref="W5:W26" si="2">IF(S5+V5&gt;=60,S5+V5+10,S5+V5)+U5</f>
        <v>85</v>
      </c>
      <c r="X5" s="28" t="str">
        <f t="shared" ref="X5:X26" si="3">if(W5&gt;=85, "A", if(W5&gt;=70,"B", if(W5&gt;=55, "C", "-")))</f>
        <v>A</v>
      </c>
    </row>
    <row r="6">
      <c r="A6" s="19" t="s">
        <v>9</v>
      </c>
      <c r="B6" s="20">
        <v>3.0</v>
      </c>
      <c r="C6" s="21"/>
      <c r="D6" s="22">
        <v>2.0</v>
      </c>
      <c r="E6" s="29" t="s">
        <v>10</v>
      </c>
      <c r="F6" s="23">
        <v>1.0</v>
      </c>
      <c r="G6" s="23">
        <v>1.0</v>
      </c>
      <c r="H6" s="24" t="s">
        <v>11</v>
      </c>
      <c r="I6" s="24" t="s">
        <v>11</v>
      </c>
      <c r="J6" s="30" t="s">
        <v>12</v>
      </c>
      <c r="K6" s="30" t="s">
        <v>12</v>
      </c>
      <c r="L6" s="30" t="s">
        <v>12</v>
      </c>
      <c r="M6" s="30" t="s">
        <v>12</v>
      </c>
      <c r="N6" s="24" t="s">
        <v>11</v>
      </c>
      <c r="O6" s="30" t="s">
        <v>12</v>
      </c>
      <c r="P6" s="31" t="s">
        <v>11</v>
      </c>
      <c r="Q6" s="30" t="s">
        <v>12</v>
      </c>
      <c r="R6" s="30" t="s">
        <v>12</v>
      </c>
      <c r="S6" s="26">
        <f t="shared" si="1"/>
        <v>4</v>
      </c>
      <c r="U6" s="18">
        <f>IFERROR(__xludf.DUMMYFUNCTION("IFERROR(SUM(FILTER(Exams!$D$2:$F$79, A6=Exams!$C$2:$C$79), 0))"),22.0)</f>
        <v>22</v>
      </c>
      <c r="V6" s="32">
        <f>IFERROR(__xludf.DUMMYFUNCTION("SUM(FILTER(Projects!E$3:H$24, A6=Projects!C$3:C$24))"),29.0)</f>
        <v>29</v>
      </c>
      <c r="W6" s="32">
        <f t="shared" si="2"/>
        <v>55</v>
      </c>
      <c r="X6" s="33" t="str">
        <f t="shared" si="3"/>
        <v>C</v>
      </c>
    </row>
    <row r="7">
      <c r="A7" s="19" t="s">
        <v>13</v>
      </c>
      <c r="B7" s="20">
        <v>3.0</v>
      </c>
      <c r="C7" s="21"/>
      <c r="D7" s="22">
        <v>2.0</v>
      </c>
      <c r="E7" s="23">
        <v>1.0</v>
      </c>
      <c r="F7" s="34" t="s">
        <v>14</v>
      </c>
      <c r="G7" s="34" t="s">
        <v>14</v>
      </c>
      <c r="H7" s="23">
        <v>1.0</v>
      </c>
      <c r="I7" s="23">
        <v>3.0</v>
      </c>
      <c r="J7" s="29" t="s">
        <v>10</v>
      </c>
      <c r="K7" s="29" t="s">
        <v>10</v>
      </c>
      <c r="L7" s="30" t="s">
        <v>12</v>
      </c>
      <c r="M7" s="30" t="s">
        <v>12</v>
      </c>
      <c r="N7" s="30" t="s">
        <v>12</v>
      </c>
      <c r="O7" s="25">
        <v>1.0</v>
      </c>
      <c r="P7" s="35" t="s">
        <v>10</v>
      </c>
      <c r="Q7" s="30" t="s">
        <v>12</v>
      </c>
      <c r="R7" s="30" t="s">
        <v>12</v>
      </c>
      <c r="S7" s="26">
        <f t="shared" si="1"/>
        <v>8</v>
      </c>
      <c r="U7" s="18">
        <f>IFERROR(__xludf.DUMMYFUNCTION("IFERROR(SUM(FILTER(Exams!$D$2:$F$79, A7=Exams!$C$2:$C$79), 0))"),31.0)</f>
        <v>31</v>
      </c>
      <c r="V7" s="32">
        <f>IFERROR(__xludf.DUMMYFUNCTION("SUM(FILTER(Projects!E$3:H$24, A7=Projects!C$3:C$24))"),29.0)</f>
        <v>29</v>
      </c>
      <c r="W7" s="32">
        <f t="shared" si="2"/>
        <v>68</v>
      </c>
      <c r="X7" s="33" t="str">
        <f t="shared" si="3"/>
        <v>C</v>
      </c>
    </row>
    <row r="8">
      <c r="A8" s="19" t="s">
        <v>15</v>
      </c>
      <c r="B8" s="20">
        <v>4.0</v>
      </c>
      <c r="C8" s="21"/>
      <c r="D8" s="22">
        <v>2.0</v>
      </c>
      <c r="E8" s="23">
        <v>1.0</v>
      </c>
      <c r="F8" s="23">
        <v>1.0</v>
      </c>
      <c r="G8" s="23">
        <v>1.0</v>
      </c>
      <c r="H8" s="30" t="s">
        <v>12</v>
      </c>
      <c r="I8" s="23">
        <v>3.0</v>
      </c>
      <c r="J8" s="29" t="s">
        <v>10</v>
      </c>
      <c r="K8" s="29" t="s">
        <v>10</v>
      </c>
      <c r="L8" s="23">
        <v>1.0</v>
      </c>
      <c r="M8" s="23">
        <v>1.0</v>
      </c>
      <c r="N8" s="23">
        <v>1.0</v>
      </c>
      <c r="O8" s="25">
        <v>1.0</v>
      </c>
      <c r="P8" s="25">
        <v>1.0</v>
      </c>
      <c r="Q8" s="30" t="s">
        <v>12</v>
      </c>
      <c r="R8" s="30" t="s">
        <v>12</v>
      </c>
      <c r="S8" s="26">
        <f t="shared" si="1"/>
        <v>13</v>
      </c>
      <c r="U8" s="18">
        <f>IFERROR(__xludf.DUMMYFUNCTION("IFERROR(SUM(FILTER(Exams!$D$2:$F$79, A8=Exams!$C$2:$C$79), 0))"),40.0)</f>
        <v>40</v>
      </c>
      <c r="V8" s="32">
        <f>IFERROR(__xludf.DUMMYFUNCTION("SUM(FILTER(Projects!E$3:H$24, A8=Projects!C$3:C$24))"),36.0)</f>
        <v>36</v>
      </c>
      <c r="W8" s="32">
        <f t="shared" si="2"/>
        <v>89</v>
      </c>
      <c r="X8" s="33" t="str">
        <f t="shared" si="3"/>
        <v>A</v>
      </c>
    </row>
    <row r="9">
      <c r="A9" s="19" t="s">
        <v>16</v>
      </c>
      <c r="B9" s="20">
        <v>2.0</v>
      </c>
      <c r="C9" s="21"/>
      <c r="D9" s="22">
        <v>2.0</v>
      </c>
      <c r="E9" s="23">
        <v>1.0</v>
      </c>
      <c r="F9" s="23">
        <v>1.0</v>
      </c>
      <c r="G9" s="23">
        <v>1.0</v>
      </c>
      <c r="H9" s="23">
        <v>1.0</v>
      </c>
      <c r="I9" s="23">
        <v>3.0</v>
      </c>
      <c r="J9" s="22">
        <v>2.0</v>
      </c>
      <c r="K9" s="22">
        <v>2.0</v>
      </c>
      <c r="L9" s="23">
        <v>1.0</v>
      </c>
      <c r="M9" s="23">
        <v>1.0</v>
      </c>
      <c r="N9" s="23">
        <v>1.0</v>
      </c>
      <c r="O9" s="25">
        <v>1.0</v>
      </c>
      <c r="P9" s="25">
        <v>1.0</v>
      </c>
      <c r="Q9" s="25">
        <v>1.0</v>
      </c>
      <c r="R9" s="25">
        <v>1.0</v>
      </c>
      <c r="S9" s="26">
        <f t="shared" si="1"/>
        <v>20</v>
      </c>
      <c r="U9" s="18">
        <f>IFERROR(__xludf.DUMMYFUNCTION("IFERROR(SUM(FILTER(Exams!$D$2:$F$79, A9=Exams!$C$2:$C$79), 0))"),17.0)</f>
        <v>17</v>
      </c>
      <c r="V9" s="32">
        <f>IFERROR(__xludf.DUMMYFUNCTION("SUM(FILTER(Projects!E$3:H$24, A9=Projects!C$3:C$24))"),40.0)</f>
        <v>40</v>
      </c>
      <c r="W9" s="32">
        <f t="shared" si="2"/>
        <v>87</v>
      </c>
      <c r="X9" s="33" t="str">
        <f t="shared" si="3"/>
        <v>A</v>
      </c>
    </row>
    <row r="10">
      <c r="A10" s="19" t="s">
        <v>17</v>
      </c>
      <c r="B10" s="20">
        <v>1.0</v>
      </c>
      <c r="C10" s="21"/>
      <c r="D10" s="22">
        <v>2.0</v>
      </c>
      <c r="E10" s="23">
        <v>1.0</v>
      </c>
      <c r="F10" s="23">
        <v>1.0</v>
      </c>
      <c r="G10" s="23">
        <v>1.0</v>
      </c>
      <c r="H10" s="23">
        <v>1.0</v>
      </c>
      <c r="I10" s="23">
        <v>3.0</v>
      </c>
      <c r="J10" s="22">
        <v>2.0</v>
      </c>
      <c r="K10" s="22">
        <v>3.0</v>
      </c>
      <c r="L10" s="23">
        <v>1.0</v>
      </c>
      <c r="M10" s="23">
        <v>1.0</v>
      </c>
      <c r="N10" s="23">
        <v>1.0</v>
      </c>
      <c r="O10" s="23">
        <v>1.0</v>
      </c>
      <c r="P10" s="25">
        <v>1.0</v>
      </c>
      <c r="Q10" s="25">
        <v>1.0</v>
      </c>
      <c r="R10" s="25">
        <v>1.0</v>
      </c>
      <c r="S10" s="26">
        <f t="shared" si="1"/>
        <v>21</v>
      </c>
      <c r="U10" s="18">
        <f>IFERROR(__xludf.DUMMYFUNCTION("IFERROR(SUM(FILTER(Exams!$D$2:$F$79, A10=Exams!$C$2:$C$79), 0))"),20.0)</f>
        <v>20</v>
      </c>
      <c r="V10" s="32">
        <f>IFERROR(__xludf.DUMMYFUNCTION("SUM(FILTER(Projects!E$3:H$24, A10=Projects!C$3:C$24))"),40.0)</f>
        <v>40</v>
      </c>
      <c r="W10" s="32">
        <f t="shared" si="2"/>
        <v>91</v>
      </c>
      <c r="X10" s="33" t="str">
        <f t="shared" si="3"/>
        <v>A</v>
      </c>
    </row>
    <row r="11">
      <c r="A11" s="19" t="s">
        <v>18</v>
      </c>
      <c r="B11" s="20">
        <v>1.0</v>
      </c>
      <c r="C11" s="21"/>
      <c r="D11" s="22">
        <v>2.0</v>
      </c>
      <c r="E11" s="23">
        <v>1.0</v>
      </c>
      <c r="F11" s="23">
        <v>1.0</v>
      </c>
      <c r="G11" s="23">
        <v>1.0</v>
      </c>
      <c r="H11" s="23">
        <v>1.0</v>
      </c>
      <c r="I11" s="23">
        <v>3.0</v>
      </c>
      <c r="J11" s="22">
        <v>2.0</v>
      </c>
      <c r="K11" s="24">
        <v>2.0</v>
      </c>
      <c r="L11" s="23">
        <v>1.0</v>
      </c>
      <c r="M11" s="23">
        <v>1.0</v>
      </c>
      <c r="N11" s="23">
        <v>1.0</v>
      </c>
      <c r="O11" s="23">
        <v>1.0</v>
      </c>
      <c r="P11" s="25">
        <v>1.0</v>
      </c>
      <c r="Q11" s="25">
        <v>1.0</v>
      </c>
      <c r="R11" s="25">
        <v>1.0</v>
      </c>
      <c r="S11" s="26">
        <f t="shared" si="1"/>
        <v>20</v>
      </c>
      <c r="U11" s="18">
        <f>IFERROR(__xludf.DUMMYFUNCTION("IFERROR(SUM(FILTER(Exams!$D$2:$F$79, A11=Exams!$C$2:$C$79), 0))"),15.0)</f>
        <v>15</v>
      </c>
      <c r="V11" s="32">
        <f>IFERROR(__xludf.DUMMYFUNCTION("SUM(FILTER(Projects!E$3:H$24, A11=Projects!C$3:C$24))"),40.0)</f>
        <v>40</v>
      </c>
      <c r="W11" s="32">
        <f t="shared" si="2"/>
        <v>85</v>
      </c>
      <c r="X11" s="33" t="str">
        <f t="shared" si="3"/>
        <v>A</v>
      </c>
    </row>
    <row r="12">
      <c r="A12" s="19" t="s">
        <v>19</v>
      </c>
      <c r="B12" s="20">
        <v>3.0</v>
      </c>
      <c r="C12" s="21"/>
      <c r="D12" s="22">
        <v>2.0</v>
      </c>
      <c r="E12" s="23">
        <v>1.0</v>
      </c>
      <c r="F12" s="23">
        <v>1.0</v>
      </c>
      <c r="G12" s="23">
        <v>1.0</v>
      </c>
      <c r="H12" s="23">
        <v>1.0</v>
      </c>
      <c r="I12" s="23">
        <v>3.0</v>
      </c>
      <c r="J12" s="22">
        <v>2.0</v>
      </c>
      <c r="K12" s="24" t="s">
        <v>11</v>
      </c>
      <c r="L12" s="23">
        <v>1.0</v>
      </c>
      <c r="M12" s="23">
        <v>1.0</v>
      </c>
      <c r="N12" s="23">
        <v>1.0</v>
      </c>
      <c r="O12" s="29" t="s">
        <v>10</v>
      </c>
      <c r="P12" s="25">
        <v>1.0</v>
      </c>
      <c r="Q12" s="29" t="s">
        <v>10</v>
      </c>
      <c r="R12" s="29" t="s">
        <v>10</v>
      </c>
      <c r="S12" s="26">
        <f t="shared" si="1"/>
        <v>15</v>
      </c>
      <c r="U12" s="18">
        <f>IFERROR(__xludf.DUMMYFUNCTION("IFERROR(SUM(FILTER(Exams!$D$2:$F$79, A12=Exams!$C$2:$C$79), 0))"),29.0)</f>
        <v>29</v>
      </c>
      <c r="V12" s="32">
        <f>IFERROR(__xludf.DUMMYFUNCTION("SUM(FILTER(Projects!E$3:H$24, A12=Projects!C$3:C$24))"),34.0)</f>
        <v>34</v>
      </c>
      <c r="W12" s="32">
        <f t="shared" si="2"/>
        <v>78</v>
      </c>
      <c r="X12" s="33" t="str">
        <f t="shared" si="3"/>
        <v>B</v>
      </c>
    </row>
    <row r="13">
      <c r="A13" s="19" t="s">
        <v>20</v>
      </c>
      <c r="B13" s="20">
        <v>3.0</v>
      </c>
      <c r="C13" s="21"/>
      <c r="D13" s="22">
        <v>2.0</v>
      </c>
      <c r="E13" s="23">
        <v>1.0</v>
      </c>
      <c r="F13" s="23">
        <v>1.0</v>
      </c>
      <c r="G13" s="29" t="s">
        <v>10</v>
      </c>
      <c r="H13" s="23">
        <v>1.0</v>
      </c>
      <c r="I13" s="23">
        <v>2.0</v>
      </c>
      <c r="J13" s="29" t="s">
        <v>10</v>
      </c>
      <c r="K13" s="22">
        <v>2.0</v>
      </c>
      <c r="L13" s="23">
        <v>1.0</v>
      </c>
      <c r="M13" s="29" t="s">
        <v>10</v>
      </c>
      <c r="N13" s="23">
        <v>1.0</v>
      </c>
      <c r="O13" s="29" t="s">
        <v>10</v>
      </c>
      <c r="P13" s="25">
        <v>1.0</v>
      </c>
      <c r="Q13" s="31" t="s">
        <v>11</v>
      </c>
      <c r="R13" s="31" t="s">
        <v>11</v>
      </c>
      <c r="S13" s="26">
        <f t="shared" si="1"/>
        <v>12</v>
      </c>
      <c r="U13" s="18">
        <f>IFERROR(__xludf.DUMMYFUNCTION("IFERROR(SUM(FILTER(Exams!$D$2:$F$79, A13=Exams!$C$2:$C$79), 0))"),14.0)</f>
        <v>14</v>
      </c>
      <c r="V13" s="32">
        <f>IFERROR(__xludf.DUMMYFUNCTION("SUM(FILTER(Projects!E$3:H$24, A13=Projects!C$3:C$24))"),34.0)</f>
        <v>34</v>
      </c>
      <c r="W13" s="32">
        <f t="shared" si="2"/>
        <v>60</v>
      </c>
      <c r="X13" s="33" t="str">
        <f t="shared" si="3"/>
        <v>C</v>
      </c>
    </row>
    <row r="14">
      <c r="A14" s="19" t="s">
        <v>21</v>
      </c>
      <c r="B14" s="20">
        <v>6.0</v>
      </c>
      <c r="C14" s="36"/>
      <c r="D14" s="22">
        <v>2.0</v>
      </c>
      <c r="E14" s="23">
        <v>1.0</v>
      </c>
      <c r="F14" s="23">
        <v>1.0</v>
      </c>
      <c r="G14" s="29" t="s">
        <v>10</v>
      </c>
      <c r="H14" s="23">
        <v>1.0</v>
      </c>
      <c r="I14" s="23">
        <v>3.0</v>
      </c>
      <c r="J14" s="22">
        <v>2.0</v>
      </c>
      <c r="K14" s="37" t="s">
        <v>12</v>
      </c>
      <c r="L14" s="23">
        <v>1.0</v>
      </c>
      <c r="M14" s="23">
        <v>1.0</v>
      </c>
      <c r="N14" s="23">
        <v>1.0</v>
      </c>
      <c r="O14" s="23">
        <v>1.0</v>
      </c>
      <c r="P14" s="37" t="s">
        <v>12</v>
      </c>
      <c r="Q14" s="30" t="s">
        <v>12</v>
      </c>
      <c r="R14" s="30" t="s">
        <v>12</v>
      </c>
      <c r="S14" s="26">
        <f t="shared" si="1"/>
        <v>14</v>
      </c>
      <c r="U14" s="18">
        <f>IFERROR(__xludf.DUMMYFUNCTION("IFERROR(SUM(FILTER(Exams!$D$2:$F$79, A14=Exams!$C$2:$C$79), 0))"),14.0)</f>
        <v>14</v>
      </c>
      <c r="V14" s="32">
        <f>IFERROR(__xludf.DUMMYFUNCTION("SUM(FILTER(Projects!E$3:H$24, A14=Projects!C$3:C$24))"),33.0)</f>
        <v>33</v>
      </c>
      <c r="W14" s="32">
        <f t="shared" si="2"/>
        <v>61</v>
      </c>
      <c r="X14" s="33" t="str">
        <f t="shared" si="3"/>
        <v>C</v>
      </c>
    </row>
    <row r="15">
      <c r="A15" s="19" t="s">
        <v>22</v>
      </c>
      <c r="B15" s="20">
        <v>6.0</v>
      </c>
      <c r="C15" s="21"/>
      <c r="D15" s="22">
        <v>2.0</v>
      </c>
      <c r="E15" s="23">
        <v>1.0</v>
      </c>
      <c r="F15" s="23">
        <v>1.0</v>
      </c>
      <c r="G15" s="23">
        <v>1.0</v>
      </c>
      <c r="H15" s="23">
        <v>1.0</v>
      </c>
      <c r="I15" s="23">
        <v>2.0</v>
      </c>
      <c r="J15" s="22">
        <v>2.0</v>
      </c>
      <c r="K15" s="29" t="s">
        <v>10</v>
      </c>
      <c r="L15" s="23">
        <v>1.0</v>
      </c>
      <c r="M15" s="23">
        <v>1.0</v>
      </c>
      <c r="N15" s="23">
        <v>1.0</v>
      </c>
      <c r="O15" s="23">
        <v>1.0</v>
      </c>
      <c r="P15" s="29" t="s">
        <v>10</v>
      </c>
      <c r="Q15" s="30" t="s">
        <v>12</v>
      </c>
      <c r="R15" s="30" t="s">
        <v>12</v>
      </c>
      <c r="S15" s="26">
        <f t="shared" si="1"/>
        <v>14</v>
      </c>
      <c r="U15" s="18">
        <f>IFERROR(__xludf.DUMMYFUNCTION("IFERROR(SUM(FILTER(Exams!$D$2:$F$79, A15=Exams!$C$2:$C$79), 0))"),23.0)</f>
        <v>23</v>
      </c>
      <c r="V15" s="32">
        <f>IFERROR(__xludf.DUMMYFUNCTION("SUM(FILTER(Projects!E$3:H$24, A15=Projects!C$3:C$24))"),33.0)</f>
        <v>33</v>
      </c>
      <c r="W15" s="32">
        <f t="shared" si="2"/>
        <v>70</v>
      </c>
      <c r="X15" s="33" t="str">
        <f t="shared" si="3"/>
        <v>B</v>
      </c>
    </row>
    <row r="16">
      <c r="A16" s="19" t="s">
        <v>23</v>
      </c>
      <c r="B16" s="20">
        <v>2.0</v>
      </c>
      <c r="C16" s="21"/>
      <c r="D16" s="22">
        <v>2.0</v>
      </c>
      <c r="E16" s="23">
        <v>1.0</v>
      </c>
      <c r="F16" s="23">
        <v>1.0</v>
      </c>
      <c r="G16" s="23">
        <v>1.0</v>
      </c>
      <c r="H16" s="23">
        <v>1.0</v>
      </c>
      <c r="I16" s="23">
        <v>3.0</v>
      </c>
      <c r="J16" s="23">
        <v>2.0</v>
      </c>
      <c r="K16" s="24">
        <v>2.0</v>
      </c>
      <c r="L16" s="23">
        <v>1.0</v>
      </c>
      <c r="M16" s="23">
        <v>1.0</v>
      </c>
      <c r="N16" s="23">
        <v>1.0</v>
      </c>
      <c r="O16" s="23">
        <v>1.0</v>
      </c>
      <c r="P16" s="23">
        <v>1.0</v>
      </c>
      <c r="Q16" s="25">
        <v>1.0</v>
      </c>
      <c r="R16" s="25">
        <v>1.0</v>
      </c>
      <c r="S16" s="26">
        <f t="shared" si="1"/>
        <v>20</v>
      </c>
      <c r="U16" s="18">
        <f>IFERROR(__xludf.DUMMYFUNCTION("IFERROR(SUM(FILTER(Exams!$D$2:$F$79, A16=Exams!$C$2:$C$79), 0))"),15.0)</f>
        <v>15</v>
      </c>
      <c r="V16" s="32">
        <f>IFERROR(__xludf.DUMMYFUNCTION("SUM(FILTER(Projects!E$3:H$24, A16=Projects!C$3:C$24))"),40.0)</f>
        <v>40</v>
      </c>
      <c r="W16" s="32">
        <f t="shared" si="2"/>
        <v>85</v>
      </c>
      <c r="X16" s="33" t="str">
        <f t="shared" si="3"/>
        <v>A</v>
      </c>
    </row>
    <row r="17">
      <c r="A17" s="19" t="s">
        <v>24</v>
      </c>
      <c r="B17" s="20">
        <v>6.0</v>
      </c>
      <c r="C17" s="21"/>
      <c r="D17" s="22">
        <v>2.0</v>
      </c>
      <c r="E17" s="23">
        <v>1.0</v>
      </c>
      <c r="F17" s="23">
        <v>1.0</v>
      </c>
      <c r="G17" s="23">
        <v>1.0</v>
      </c>
      <c r="H17" s="23">
        <v>1.0</v>
      </c>
      <c r="I17" s="23">
        <v>3.0</v>
      </c>
      <c r="J17" s="23">
        <v>2.0</v>
      </c>
      <c r="K17" s="37" t="s">
        <v>12</v>
      </c>
      <c r="L17" s="23">
        <v>1.0</v>
      </c>
      <c r="M17" s="23">
        <v>1.0</v>
      </c>
      <c r="N17" s="23">
        <v>1.0</v>
      </c>
      <c r="O17" s="23">
        <v>1.0</v>
      </c>
      <c r="P17" s="29" t="s">
        <v>10</v>
      </c>
      <c r="Q17" s="29" t="s">
        <v>10</v>
      </c>
      <c r="R17" s="29" t="s">
        <v>10</v>
      </c>
      <c r="S17" s="26">
        <f t="shared" si="1"/>
        <v>15</v>
      </c>
      <c r="U17" s="18">
        <f>IFERROR(__xludf.DUMMYFUNCTION("IFERROR(SUM(FILTER(Exams!$D$2:$F$79, A17=Exams!$C$2:$C$79), 0))"),17.0)</f>
        <v>17</v>
      </c>
      <c r="V17" s="32">
        <f>IFERROR(__xludf.DUMMYFUNCTION("SUM(FILTER(Projects!E$3:H$24, A17=Projects!C$3:C$24))"),28.0)</f>
        <v>28</v>
      </c>
      <c r="W17" s="32">
        <f t="shared" si="2"/>
        <v>60</v>
      </c>
      <c r="X17" s="33" t="str">
        <f t="shared" si="3"/>
        <v>C</v>
      </c>
    </row>
    <row r="18">
      <c r="A18" s="19" t="s">
        <v>25</v>
      </c>
      <c r="B18" s="20">
        <v>1.0</v>
      </c>
      <c r="C18" s="21"/>
      <c r="D18" s="22">
        <v>2.0</v>
      </c>
      <c r="E18" s="23">
        <v>1.0</v>
      </c>
      <c r="F18" s="23">
        <v>1.0</v>
      </c>
      <c r="G18" s="23">
        <v>1.0</v>
      </c>
      <c r="H18" s="23">
        <v>1.0</v>
      </c>
      <c r="I18" s="23">
        <v>3.0</v>
      </c>
      <c r="J18" s="23">
        <v>2.0</v>
      </c>
      <c r="K18" s="23">
        <v>3.0</v>
      </c>
      <c r="L18" s="23">
        <v>1.0</v>
      </c>
      <c r="M18" s="23">
        <v>1.0</v>
      </c>
      <c r="N18" s="23">
        <v>1.0</v>
      </c>
      <c r="O18" s="23">
        <v>1.0</v>
      </c>
      <c r="P18" s="25">
        <v>1.0</v>
      </c>
      <c r="Q18" s="25">
        <v>1.0</v>
      </c>
      <c r="R18" s="25">
        <v>1.0</v>
      </c>
      <c r="S18" s="26">
        <f t="shared" si="1"/>
        <v>21</v>
      </c>
      <c r="U18" s="18" t="str">
        <f>IFERROR(__xludf.DUMMYFUNCTION("IFERROR(SUM(FILTER(Exams!$D$2:$F$79, A18=Exams!$C$2:$C$79), 0))"),"")</f>
        <v/>
      </c>
      <c r="V18" s="32">
        <f>IFERROR(__xludf.DUMMYFUNCTION("SUM(FILTER(Projects!E$3:H$24, A18=Projects!C$3:C$24))"),40.0)</f>
        <v>40</v>
      </c>
      <c r="W18" s="32">
        <f t="shared" si="2"/>
        <v>71</v>
      </c>
      <c r="X18" s="33" t="str">
        <f t="shared" si="3"/>
        <v>B</v>
      </c>
    </row>
    <row r="19">
      <c r="A19" s="19" t="s">
        <v>26</v>
      </c>
      <c r="B19" s="20">
        <v>4.0</v>
      </c>
      <c r="C19" s="21"/>
      <c r="D19" s="22">
        <v>2.0</v>
      </c>
      <c r="E19" s="23">
        <v>1.0</v>
      </c>
      <c r="F19" s="30" t="s">
        <v>12</v>
      </c>
      <c r="G19" s="23">
        <v>1.0</v>
      </c>
      <c r="H19" s="30" t="s">
        <v>12</v>
      </c>
      <c r="I19" s="23">
        <v>3.0</v>
      </c>
      <c r="J19" s="23">
        <v>2.0</v>
      </c>
      <c r="K19" s="24" t="s">
        <v>11</v>
      </c>
      <c r="L19" s="23">
        <v>1.0</v>
      </c>
      <c r="M19" s="23">
        <v>1.0</v>
      </c>
      <c r="N19" s="37" t="s">
        <v>12</v>
      </c>
      <c r="O19" s="30" t="s">
        <v>12</v>
      </c>
      <c r="P19" s="29" t="s">
        <v>10</v>
      </c>
      <c r="Q19" s="30" t="s">
        <v>12</v>
      </c>
      <c r="R19" s="30" t="s">
        <v>12</v>
      </c>
      <c r="S19" s="26">
        <f t="shared" si="1"/>
        <v>11</v>
      </c>
      <c r="U19" s="18">
        <f>IFERROR(__xludf.DUMMYFUNCTION("IFERROR(SUM(FILTER(Exams!$D$2:$F$79, A19=Exams!$C$2:$C$79), 0))"),36.0)</f>
        <v>36</v>
      </c>
      <c r="V19" s="32">
        <f>IFERROR(__xludf.DUMMYFUNCTION("SUM(FILTER(Projects!E$3:H$24, A19=Projects!C$3:C$24))"),26.0)</f>
        <v>26</v>
      </c>
      <c r="W19" s="32">
        <f t="shared" si="2"/>
        <v>73</v>
      </c>
      <c r="X19" s="33" t="str">
        <f t="shared" si="3"/>
        <v>B</v>
      </c>
    </row>
    <row r="20"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  <c r="U20" s="18">
        <f>IFERROR(__xludf.DUMMYFUNCTION("IFERROR(SUM(FILTER(Exams!$D$2:$F$79, A20=Exams!$C$2:$C$79), 0))"),0.0)</f>
        <v>0</v>
      </c>
      <c r="V20" s="32">
        <f>IFERROR(__xludf.DUMMYFUNCTION("SUM(FILTER(Projects!E$3:H$24, A20=Projects!C$3:C$24))"),0.0)</f>
        <v>0</v>
      </c>
      <c r="W20" s="32">
        <f t="shared" si="2"/>
        <v>0</v>
      </c>
      <c r="X20" s="33" t="str">
        <f t="shared" si="3"/>
        <v>-</v>
      </c>
    </row>
    <row r="21">
      <c r="A21" s="40" t="s">
        <v>27</v>
      </c>
      <c r="B21" s="41">
        <v>5.0</v>
      </c>
      <c r="C21" s="21"/>
      <c r="D21" s="23">
        <v>2.0</v>
      </c>
      <c r="E21" s="23">
        <v>1.0</v>
      </c>
      <c r="F21" s="23">
        <v>1.0</v>
      </c>
      <c r="G21" s="23">
        <v>1.0</v>
      </c>
      <c r="H21" s="23">
        <v>1.0</v>
      </c>
      <c r="I21" s="23">
        <v>3.0</v>
      </c>
      <c r="J21" s="23">
        <v>2.0</v>
      </c>
      <c r="K21" s="23">
        <v>3.0</v>
      </c>
      <c r="L21" s="23">
        <v>1.0</v>
      </c>
      <c r="M21" s="23">
        <v>1.0</v>
      </c>
      <c r="N21" s="23">
        <v>1.0</v>
      </c>
      <c r="O21" s="23">
        <v>1.0</v>
      </c>
      <c r="P21" s="23">
        <v>1.0</v>
      </c>
      <c r="Q21" s="23">
        <v>1.0</v>
      </c>
      <c r="R21" s="23">
        <v>1.0</v>
      </c>
      <c r="S21" s="42">
        <f t="shared" ref="S21:S26" si="4">SUM(D21:R21)</f>
        <v>21</v>
      </c>
      <c r="U21" s="43">
        <v>32.0</v>
      </c>
      <c r="V21" s="32">
        <f>IFERROR(__xludf.DUMMYFUNCTION("SUM(FILTER(Projects!E$3:H$24, A21=Projects!C$3:C$24))"),15.0)</f>
        <v>15</v>
      </c>
      <c r="W21" s="32">
        <f t="shared" si="2"/>
        <v>68</v>
      </c>
      <c r="X21" s="33" t="str">
        <f t="shared" si="3"/>
        <v>C</v>
      </c>
    </row>
    <row r="22">
      <c r="A22" s="44" t="s">
        <v>28</v>
      </c>
      <c r="B22" s="45">
        <v>5.0</v>
      </c>
      <c r="C22" s="46"/>
      <c r="D22" s="29" t="s">
        <v>10</v>
      </c>
      <c r="E22" s="29" t="s">
        <v>10</v>
      </c>
      <c r="F22" s="29" t="s">
        <v>10</v>
      </c>
      <c r="G22" s="29" t="s">
        <v>10</v>
      </c>
      <c r="H22" s="29" t="s">
        <v>10</v>
      </c>
      <c r="I22" s="29" t="s">
        <v>10</v>
      </c>
      <c r="J22" s="29" t="s">
        <v>10</v>
      </c>
      <c r="K22" s="24" t="s">
        <v>11</v>
      </c>
      <c r="L22" s="24" t="s">
        <v>11</v>
      </c>
      <c r="M22" s="47" t="s">
        <v>11</v>
      </c>
      <c r="N22" s="24" t="s">
        <v>11</v>
      </c>
      <c r="Q22" s="48"/>
      <c r="R22" s="48"/>
      <c r="S22" s="42">
        <f t="shared" si="4"/>
        <v>0</v>
      </c>
      <c r="U22" s="18">
        <f>IFERROR(__xludf.DUMMYFUNCTION("IFERROR(SUM(FILTER(Exams!$D$2:$F$79, A22=Exams!$C$2:$C$79), 0))"),18.0)</f>
        <v>18</v>
      </c>
      <c r="V22" s="32">
        <f>IFERROR(__xludf.DUMMYFUNCTION("SUM(FILTER(Projects!E$3:H$24, A22=Projects!C$3:C$24))"),15.0)</f>
        <v>15</v>
      </c>
      <c r="W22" s="32">
        <f t="shared" si="2"/>
        <v>33</v>
      </c>
      <c r="X22" s="33" t="str">
        <f t="shared" si="3"/>
        <v>-</v>
      </c>
    </row>
    <row r="23">
      <c r="A23" s="49" t="s">
        <v>29</v>
      </c>
      <c r="B23" s="20">
        <v>4.0</v>
      </c>
      <c r="C23" s="46"/>
      <c r="D23" s="22">
        <v>2.0</v>
      </c>
      <c r="E23" s="23">
        <v>1.0</v>
      </c>
      <c r="F23" s="23">
        <v>1.0</v>
      </c>
      <c r="G23" s="23">
        <v>1.0</v>
      </c>
      <c r="H23" s="23">
        <v>1.0</v>
      </c>
      <c r="I23" s="23">
        <v>3.0</v>
      </c>
      <c r="J23" s="23">
        <v>2.0</v>
      </c>
      <c r="K23" s="23">
        <v>2.0</v>
      </c>
      <c r="L23" s="23">
        <v>1.0</v>
      </c>
      <c r="M23" s="23">
        <v>1.0</v>
      </c>
      <c r="N23" s="48"/>
      <c r="O23" s="29" t="s">
        <v>10</v>
      </c>
      <c r="P23" s="29" t="s">
        <v>10</v>
      </c>
      <c r="Q23" s="23">
        <v>1.0</v>
      </c>
      <c r="R23" s="23">
        <v>1.0</v>
      </c>
      <c r="S23" s="42">
        <f t="shared" si="4"/>
        <v>17</v>
      </c>
      <c r="U23" s="18">
        <f>IFERROR(__xludf.DUMMYFUNCTION("IFERROR(SUM(FILTER(Exams!$D$2:$F$79, A23=Exams!$C$2:$C$79), 0))"),33.0)</f>
        <v>33</v>
      </c>
      <c r="V23" s="32">
        <f>IFERROR(__xludf.DUMMYFUNCTION("SUM(FILTER(Projects!E$3:H$24, A23=Projects!C$3:C$24))"),36.0)</f>
        <v>36</v>
      </c>
      <c r="W23" s="32">
        <f t="shared" si="2"/>
        <v>86</v>
      </c>
      <c r="X23" s="33" t="str">
        <f t="shared" si="3"/>
        <v>A</v>
      </c>
    </row>
    <row r="24">
      <c r="A24" s="44" t="s">
        <v>30</v>
      </c>
      <c r="B24" s="50">
        <v>5.0</v>
      </c>
      <c r="C24" s="51"/>
      <c r="D24" s="29" t="s">
        <v>10</v>
      </c>
      <c r="E24" s="29" t="s">
        <v>10</v>
      </c>
      <c r="F24" s="23">
        <v>1.0</v>
      </c>
      <c r="G24" s="23">
        <v>1.0</v>
      </c>
      <c r="H24" s="24" t="s">
        <v>11</v>
      </c>
      <c r="I24" s="24" t="s">
        <v>11</v>
      </c>
      <c r="J24" s="24" t="s">
        <v>11</v>
      </c>
      <c r="K24" s="24" t="s">
        <v>11</v>
      </c>
      <c r="L24" s="47" t="s">
        <v>11</v>
      </c>
      <c r="M24" s="47" t="s">
        <v>11</v>
      </c>
      <c r="N24" s="47" t="s">
        <v>11</v>
      </c>
      <c r="O24" s="24" t="s">
        <v>11</v>
      </c>
      <c r="P24" s="52"/>
      <c r="Q24" s="53"/>
      <c r="R24" s="48"/>
      <c r="S24" s="42">
        <f t="shared" si="4"/>
        <v>2</v>
      </c>
      <c r="U24" s="18" t="str">
        <f>IFERROR(__xludf.DUMMYFUNCTION("IFERROR(SUM(FILTER(Exams!$D$2:$F$79, A24=Exams!$C$2:$C$79), 0))"),"")</f>
        <v/>
      </c>
      <c r="V24" s="32">
        <f>IFERROR(__xludf.DUMMYFUNCTION("SUM(FILTER(Projects!E$3:H$24, A24=Projects!C$3:C$24))"),15.0)</f>
        <v>15</v>
      </c>
      <c r="W24" s="32">
        <f t="shared" si="2"/>
        <v>17</v>
      </c>
      <c r="X24" s="33" t="str">
        <f t="shared" si="3"/>
        <v>-</v>
      </c>
    </row>
    <row r="25">
      <c r="A25" s="44" t="s">
        <v>31</v>
      </c>
      <c r="B25" s="50">
        <v>7.0</v>
      </c>
      <c r="C25" s="51"/>
      <c r="D25" s="54" t="s">
        <v>11</v>
      </c>
      <c r="E25" s="24" t="s">
        <v>11</v>
      </c>
      <c r="F25" s="24" t="s">
        <v>11</v>
      </c>
      <c r="G25" s="24" t="s">
        <v>11</v>
      </c>
      <c r="H25" s="24" t="s">
        <v>11</v>
      </c>
      <c r="I25" s="55"/>
      <c r="J25" s="24" t="s">
        <v>11</v>
      </c>
      <c r="K25" s="56"/>
      <c r="L25" s="56"/>
      <c r="M25" s="56"/>
      <c r="N25" s="48"/>
      <c r="O25" s="55"/>
      <c r="P25" s="52"/>
      <c r="Q25" s="53"/>
      <c r="R25" s="48"/>
      <c r="S25" s="42">
        <f t="shared" si="4"/>
        <v>0</v>
      </c>
      <c r="U25" s="18" t="str">
        <f>IFERROR(__xludf.DUMMYFUNCTION("IFERROR(SUM(FILTER(Exams!$D$2:$F$79, A25=Exams!$C$2:$C$79), 0))"),"")</f>
        <v/>
      </c>
      <c r="V25" s="32">
        <f>IFERROR(__xludf.DUMMYFUNCTION("SUM(FILTER(Projects!E$3:H$24, A25=Projects!C$3:C$24))"),15.0)</f>
        <v>15</v>
      </c>
      <c r="W25" s="32">
        <f t="shared" si="2"/>
        <v>15</v>
      </c>
      <c r="X25" s="33" t="str">
        <f t="shared" si="3"/>
        <v>-</v>
      </c>
    </row>
    <row r="26">
      <c r="A26" s="44" t="s">
        <v>32</v>
      </c>
      <c r="B26" s="50">
        <v>8.0</v>
      </c>
      <c r="C26" s="51"/>
      <c r="D26" s="57"/>
      <c r="E26" s="57"/>
      <c r="F26" s="57"/>
      <c r="G26" s="57"/>
      <c r="H26" s="58"/>
      <c r="I26" s="58"/>
      <c r="J26" s="58"/>
      <c r="K26" s="58"/>
      <c r="L26" s="58"/>
      <c r="M26" s="58"/>
      <c r="N26" s="59"/>
      <c r="O26" s="58"/>
      <c r="P26" s="60"/>
      <c r="Q26" s="61"/>
      <c r="R26" s="59"/>
      <c r="S26" s="42">
        <f t="shared" si="4"/>
        <v>0</v>
      </c>
      <c r="U26" s="62" t="str">
        <f>IFERROR(__xludf.DUMMYFUNCTION("IFERROR(SUM(FILTER(Exams!$D$2:$F$79, A26=Exams!$C$2:$C$79), 0))"),"")</f>
        <v/>
      </c>
      <c r="V26" s="63">
        <f>IFERROR(__xludf.DUMMYFUNCTION("SUM(FILTER(Projects!E$3:H$24, A26=Projects!C$3:C$24))"),0.0)</f>
        <v>0</v>
      </c>
      <c r="W26" s="63">
        <f t="shared" si="2"/>
        <v>0</v>
      </c>
      <c r="X26" s="64" t="str">
        <f t="shared" si="3"/>
        <v>-</v>
      </c>
    </row>
    <row r="27">
      <c r="S27" s="65"/>
      <c r="U27" s="66"/>
      <c r="W27" s="32"/>
      <c r="X27" s="67"/>
    </row>
    <row r="28">
      <c r="A28" s="68" t="s">
        <v>33</v>
      </c>
      <c r="B28" s="69"/>
      <c r="C28" s="46"/>
      <c r="D28" s="45">
        <v>2.0</v>
      </c>
      <c r="E28" s="45">
        <v>1.0</v>
      </c>
      <c r="F28" s="45">
        <v>1.0</v>
      </c>
      <c r="G28" s="45">
        <v>1.0</v>
      </c>
      <c r="H28" s="45">
        <v>1.0</v>
      </c>
      <c r="I28" s="45">
        <v>3.0</v>
      </c>
      <c r="J28" s="45">
        <v>2.0</v>
      </c>
      <c r="K28" s="45">
        <v>3.0</v>
      </c>
      <c r="L28" s="45">
        <v>1.0</v>
      </c>
      <c r="M28" s="45">
        <v>1.0</v>
      </c>
      <c r="N28" s="45">
        <v>1.0</v>
      </c>
      <c r="O28" s="45">
        <v>1.0</v>
      </c>
      <c r="P28" s="45">
        <v>1.0</v>
      </c>
      <c r="Q28" s="45">
        <v>1.0</v>
      </c>
      <c r="R28" s="45">
        <v>1.0</v>
      </c>
      <c r="S28" s="39">
        <f>SUM(D28:R28)</f>
        <v>21</v>
      </c>
      <c r="U28" s="70">
        <v>40.0</v>
      </c>
      <c r="V28" s="45">
        <v>40.0</v>
      </c>
      <c r="W28" s="71">
        <f>IF(S28+V28&gt;=60,S28+V28+10,S28+V28)+U28</f>
        <v>111</v>
      </c>
      <c r="X28" s="72" t="str">
        <f>if(W28&gt;=85, "A", if(W28&gt;=70,"B", if(W28&gt;=55, "C", "-")))</f>
        <v>A</v>
      </c>
    </row>
  </sheetData>
  <mergeCells count="14">
    <mergeCell ref="V2:V3"/>
    <mergeCell ref="W2:W3"/>
    <mergeCell ref="X2:X3"/>
    <mergeCell ref="D3:D4"/>
    <mergeCell ref="E3:E4"/>
    <mergeCell ref="A28:B28"/>
    <mergeCell ref="A1:A4"/>
    <mergeCell ref="B1:B4"/>
    <mergeCell ref="D1:S1"/>
    <mergeCell ref="L2:M2"/>
    <mergeCell ref="Q2:R2"/>
    <mergeCell ref="S2:S4"/>
    <mergeCell ref="U2:U3"/>
    <mergeCell ref="F3:F4"/>
  </mergeCells>
  <conditionalFormatting sqref="X5:X28">
    <cfRule type="cellIs" dxfId="0" priority="1" operator="equal">
      <formula>"A"</formula>
    </cfRule>
  </conditionalFormatting>
  <conditionalFormatting sqref="X5:X28">
    <cfRule type="cellIs" dxfId="1" priority="2" operator="equal">
      <formula>"B"</formula>
    </cfRule>
  </conditionalFormatting>
  <conditionalFormatting sqref="X5:X28">
    <cfRule type="cellIs" dxfId="2" priority="3" operator="equal">
      <formula>"C"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7.5"/>
  </cols>
  <sheetData>
    <row r="1">
      <c r="A1" s="12" t="s">
        <v>34</v>
      </c>
      <c r="B1" s="12" t="s">
        <v>35</v>
      </c>
      <c r="C1" s="12" t="s">
        <v>36</v>
      </c>
      <c r="E1" s="70" t="s">
        <v>37</v>
      </c>
      <c r="F1" s="5"/>
      <c r="G1" s="5"/>
      <c r="H1" s="69"/>
    </row>
    <row r="2">
      <c r="A2" s="15"/>
      <c r="B2" s="15"/>
      <c r="C2" s="15"/>
      <c r="E2" s="73">
        <v>45355.0</v>
      </c>
      <c r="F2" s="73">
        <v>45383.0</v>
      </c>
      <c r="G2" s="73">
        <v>45411.0</v>
      </c>
      <c r="H2" s="73">
        <v>45439.0</v>
      </c>
    </row>
    <row r="3">
      <c r="A3" s="12">
        <v>1.0</v>
      </c>
      <c r="B3" s="12" t="s">
        <v>38</v>
      </c>
      <c r="C3" s="74" t="str">
        <f>IFERROR(__xludf.DUMMYFUNCTION("QUERY(Points!$A$5:$B$28,""select A where B = 1"")"),"Kolbasova Lubov")</f>
        <v>Kolbasova Lubov</v>
      </c>
      <c r="E3" s="75">
        <v>5.0</v>
      </c>
      <c r="F3" s="76">
        <v>10.0</v>
      </c>
      <c r="G3" s="77">
        <v>10.0</v>
      </c>
      <c r="H3" s="78">
        <v>15.0</v>
      </c>
      <c r="J3" s="79"/>
    </row>
    <row r="4">
      <c r="A4" s="7"/>
      <c r="B4" s="7"/>
      <c r="C4" s="67" t="str">
        <f>IFERROR(__xludf.DUMMYFUNCTION("""COMPUTED_VALUE"""),"Malyarenko Artyom")</f>
        <v>Malyarenko Artyom</v>
      </c>
      <c r="E4" s="75">
        <v>5.0</v>
      </c>
      <c r="F4" s="76">
        <v>10.0</v>
      </c>
      <c r="G4" s="77">
        <v>10.0</v>
      </c>
      <c r="H4" s="78">
        <v>15.0</v>
      </c>
    </row>
    <row r="5">
      <c r="A5" s="15"/>
      <c r="B5" s="15"/>
      <c r="C5" s="80" t="str">
        <f>IFERROR(__xludf.DUMMYFUNCTION("""COMPUTED_VALUE"""),"Salimov Rustam")</f>
        <v>Salimov Rustam</v>
      </c>
      <c r="E5" s="75">
        <v>5.0</v>
      </c>
      <c r="F5" s="81">
        <v>10.0</v>
      </c>
      <c r="G5" s="82">
        <v>10.0</v>
      </c>
      <c r="H5" s="78">
        <v>15.0</v>
      </c>
    </row>
    <row r="6">
      <c r="A6" s="12">
        <v>2.0</v>
      </c>
      <c r="B6" s="12" t="s">
        <v>39</v>
      </c>
      <c r="C6" s="83" t="str">
        <f>IFERROR(__xludf.DUMMYFUNCTION("QUERY(Points!$A$5:$B$28,""select A where B = 2"")"),"Vasko Maria")</f>
        <v>Vasko Maria</v>
      </c>
      <c r="E6" s="75">
        <v>5.0</v>
      </c>
      <c r="F6" s="76">
        <v>10.0</v>
      </c>
      <c r="G6" s="77">
        <v>10.0</v>
      </c>
      <c r="H6" s="78">
        <v>15.0</v>
      </c>
    </row>
    <row r="7">
      <c r="A7" s="7"/>
      <c r="B7" s="7"/>
      <c r="C7" s="84" t="str">
        <f>IFERROR(__xludf.DUMMYFUNCTION("""COMPUTED_VALUE"""),"Kashintseva Taisiya")</f>
        <v>Kashintseva Taisiya</v>
      </c>
      <c r="E7" s="75">
        <v>5.0</v>
      </c>
      <c r="F7" s="76">
        <v>10.0</v>
      </c>
      <c r="G7" s="77">
        <v>10.0</v>
      </c>
      <c r="H7" s="78">
        <v>15.0</v>
      </c>
    </row>
    <row r="8">
      <c r="A8" s="15"/>
      <c r="B8" s="15"/>
      <c r="C8" s="85" t="str">
        <f>IFERROR(__xludf.DUMMYFUNCTION("""COMPUTED_VALUE"""),"Petruneva Taisiya")</f>
        <v>Petruneva Taisiya</v>
      </c>
      <c r="E8" s="75">
        <v>5.0</v>
      </c>
      <c r="F8" s="76">
        <v>10.0</v>
      </c>
      <c r="G8" s="82">
        <v>10.0</v>
      </c>
      <c r="H8" s="78">
        <v>15.0</v>
      </c>
    </row>
    <row r="9">
      <c r="A9" s="12">
        <v>3.0</v>
      </c>
      <c r="B9" s="12" t="s">
        <v>40</v>
      </c>
      <c r="C9" s="86" t="str">
        <f>IFERROR(__xludf.DUMMYFUNCTION("QUERY(Points!$A$5:$B$28,""select A where B = 3"")"),"Volkov Kirill")</f>
        <v>Volkov Kirill</v>
      </c>
      <c r="E9" s="75">
        <v>5.0</v>
      </c>
      <c r="F9" s="87">
        <v>10.0</v>
      </c>
      <c r="G9" s="88">
        <v>5.0</v>
      </c>
      <c r="H9" s="89">
        <v>9.0</v>
      </c>
      <c r="J9" s="79"/>
    </row>
    <row r="10">
      <c r="A10" s="7"/>
      <c r="B10" s="7"/>
      <c r="C10" s="84" t="str">
        <f>IFERROR(__xludf.DUMMYFUNCTION("""COMPUTED_VALUE"""),"Elkin Maxim")</f>
        <v>Elkin Maxim</v>
      </c>
      <c r="E10" s="75">
        <v>5.0</v>
      </c>
      <c r="F10" s="76">
        <v>10.0</v>
      </c>
      <c r="G10" s="90">
        <v>5.0</v>
      </c>
      <c r="H10" s="78">
        <v>9.0</v>
      </c>
    </row>
    <row r="11">
      <c r="A11" s="7"/>
      <c r="B11" s="7"/>
      <c r="C11" s="84" t="str">
        <f>IFERROR(__xludf.DUMMYFUNCTION("""COMPUTED_VALUE"""),"Novikov Sergey")</f>
        <v>Novikov Sergey</v>
      </c>
      <c r="E11" s="75">
        <v>5.0</v>
      </c>
      <c r="F11" s="76">
        <v>10.0</v>
      </c>
      <c r="G11" s="77">
        <v>10.0</v>
      </c>
      <c r="H11" s="78">
        <v>9.0</v>
      </c>
    </row>
    <row r="12">
      <c r="A12" s="15"/>
      <c r="B12" s="15"/>
      <c r="C12" s="85" t="str">
        <f>IFERROR(__xludf.DUMMYFUNCTION("""COMPUTED_VALUE"""),"Ovchinnikov Maxim")</f>
        <v>Ovchinnikov Maxim</v>
      </c>
      <c r="E12" s="75">
        <v>5.0</v>
      </c>
      <c r="F12" s="76">
        <v>10.0</v>
      </c>
      <c r="G12" s="82">
        <v>10.0</v>
      </c>
      <c r="H12" s="78">
        <v>9.0</v>
      </c>
    </row>
    <row r="13">
      <c r="A13" s="12">
        <v>4.0</v>
      </c>
      <c r="B13" s="91" t="s">
        <v>41</v>
      </c>
      <c r="C13" s="86" t="str">
        <f>IFERROR(__xludf.DUMMYFUNCTION("QUERY(Points!$A$5:$B$28,""select A where B = 4"")"),"Kareba Yuri")</f>
        <v>Kareba Yuri</v>
      </c>
      <c r="E13" s="75">
        <v>5.0</v>
      </c>
      <c r="F13" s="87">
        <v>10.0</v>
      </c>
      <c r="G13" s="77">
        <v>10.0</v>
      </c>
      <c r="H13" s="92">
        <v>11.0</v>
      </c>
    </row>
    <row r="14">
      <c r="A14" s="7"/>
      <c r="C14" s="84" t="str">
        <f>IFERROR(__xludf.DUMMYFUNCTION("""COMPUTED_VALUE"""),"Tarasov Vladislav")</f>
        <v>Tarasov Vladislav</v>
      </c>
      <c r="E14" s="75">
        <v>5.0</v>
      </c>
      <c r="F14" s="93" t="s">
        <v>42</v>
      </c>
      <c r="G14" s="77">
        <v>10.0</v>
      </c>
      <c r="H14" s="78">
        <v>11.0</v>
      </c>
    </row>
    <row r="15">
      <c r="A15" s="15"/>
      <c r="B15" s="16"/>
      <c r="C15" s="84" t="str">
        <f>IFERROR(__xludf.DUMMYFUNCTION("""COMPUTED_VALUE"""),"Stepanichev Stepan")</f>
        <v>Stepanichev Stepan</v>
      </c>
      <c r="E15" s="75">
        <v>5.0</v>
      </c>
      <c r="F15" s="76">
        <v>10.0</v>
      </c>
      <c r="G15" s="82">
        <v>10.0</v>
      </c>
      <c r="H15" s="94">
        <v>11.0</v>
      </c>
    </row>
    <row r="16">
      <c r="A16" s="12">
        <v>5.0</v>
      </c>
      <c r="B16" s="95" t="s">
        <v>43</v>
      </c>
      <c r="C16" s="86" t="str">
        <f>IFERROR(__xludf.DUMMYFUNCTION("QUERY(Points!$A$5:$B$28,""select A where B = 5"")"),"Lasarev  Andrew")</f>
        <v>Lasarev  Andrew</v>
      </c>
      <c r="E16" s="75">
        <v>5.0</v>
      </c>
      <c r="F16" s="92">
        <v>10.0</v>
      </c>
      <c r="G16" s="96" t="s">
        <v>11</v>
      </c>
      <c r="H16" s="84"/>
    </row>
    <row r="17">
      <c r="A17" s="7"/>
      <c r="B17" s="97"/>
      <c r="C17" s="84" t="str">
        <f>IFERROR(__xludf.DUMMYFUNCTION("""COMPUTED_VALUE"""),"Andreev Egor")</f>
        <v>Andreev Egor</v>
      </c>
      <c r="E17" s="75">
        <v>5.0</v>
      </c>
      <c r="F17" s="78">
        <v>10.0</v>
      </c>
      <c r="G17" s="7"/>
      <c r="H17" s="7"/>
    </row>
    <row r="18">
      <c r="A18" s="15"/>
      <c r="B18" s="98"/>
      <c r="C18" s="85" t="str">
        <f>IFERROR(__xludf.DUMMYFUNCTION("""COMPUTED_VALUE"""),"Natalia Reshetnikova")</f>
        <v>Natalia Reshetnikova</v>
      </c>
      <c r="E18" s="75">
        <v>5.0</v>
      </c>
      <c r="F18" s="94">
        <v>10.0</v>
      </c>
      <c r="G18" s="7"/>
      <c r="H18" s="15"/>
    </row>
    <row r="19">
      <c r="A19" s="95">
        <v>6.0</v>
      </c>
      <c r="B19" s="12" t="s">
        <v>44</v>
      </c>
      <c r="C19" s="84" t="str">
        <f>IFERROR(__xludf.DUMMYFUNCTION("QUERY(Points!$A$5:$B$28,""select A where B = 6"")"),"Oleinikov Danil")</f>
        <v>Oleinikov Danil</v>
      </c>
      <c r="E19" s="75">
        <v>5.0</v>
      </c>
      <c r="F19" s="76">
        <v>10.0</v>
      </c>
      <c r="G19" s="99">
        <v>10.0</v>
      </c>
      <c r="H19" s="92">
        <v>8.0</v>
      </c>
    </row>
    <row r="20">
      <c r="A20" s="97"/>
      <c r="B20" s="7"/>
      <c r="C20" s="84" t="str">
        <f>IFERROR(__xludf.DUMMYFUNCTION("""COMPUTED_VALUE"""),"Parshukov Daniil")</f>
        <v>Parshukov Daniil</v>
      </c>
      <c r="E20" s="75">
        <v>5.0</v>
      </c>
      <c r="F20" s="76">
        <v>10.0</v>
      </c>
      <c r="G20" s="77">
        <v>10.0</v>
      </c>
      <c r="H20" s="78">
        <v>8.0</v>
      </c>
    </row>
    <row r="21">
      <c r="A21" s="98"/>
      <c r="B21" s="15"/>
      <c r="C21" s="85" t="str">
        <f>IFERROR(__xludf.DUMMYFUNCTION("""COMPUTED_VALUE"""),"Pyanzin Bogdan")</f>
        <v>Pyanzin Bogdan</v>
      </c>
      <c r="E21" s="75">
        <v>5.0</v>
      </c>
      <c r="F21" s="100">
        <v>5.0</v>
      </c>
      <c r="G21" s="82">
        <v>10.0</v>
      </c>
      <c r="H21" s="94">
        <v>8.0</v>
      </c>
    </row>
    <row r="22">
      <c r="A22" s="12">
        <v>7.0</v>
      </c>
      <c r="B22" s="12" t="s">
        <v>45</v>
      </c>
      <c r="C22" s="83" t="str">
        <f>IFERROR(__xludf.DUMMYFUNCTION("QUERY(Points!$A$5:$B$28,""select A where B = 7"")"),"Vladimir Zhakulin")</f>
        <v>Vladimir Zhakulin</v>
      </c>
      <c r="E22" s="75">
        <v>5.0</v>
      </c>
      <c r="F22" s="76">
        <v>10.0</v>
      </c>
      <c r="G22" s="83"/>
      <c r="H22" s="83"/>
    </row>
    <row r="23">
      <c r="A23" s="15"/>
      <c r="B23" s="15"/>
      <c r="C23" s="85"/>
      <c r="E23" s="101"/>
      <c r="F23" s="101"/>
      <c r="G23" s="85"/>
      <c r="H23" s="85"/>
    </row>
    <row r="24">
      <c r="A24" s="70">
        <v>8.0</v>
      </c>
      <c r="B24" s="102" t="s">
        <v>46</v>
      </c>
      <c r="C24" s="80" t="str">
        <f>IFERROR(__xludf.DUMMYFUNCTION("QUERY(Points!$A$5:$B$28,""select A where B = 8"")"),"Alexander Volk")</f>
        <v>Alexander Volk</v>
      </c>
      <c r="E24" s="103" t="s">
        <v>47</v>
      </c>
      <c r="F24" s="104" t="s">
        <v>42</v>
      </c>
      <c r="G24" s="105"/>
      <c r="H24" s="105"/>
    </row>
    <row r="26">
      <c r="C26" s="68" t="s">
        <v>48</v>
      </c>
      <c r="D26" s="84"/>
      <c r="E26" s="45">
        <v>5.0</v>
      </c>
      <c r="F26" s="45">
        <v>10.0</v>
      </c>
      <c r="G26" s="45">
        <v>10.0</v>
      </c>
      <c r="H26" s="106">
        <v>15.0</v>
      </c>
    </row>
  </sheetData>
  <mergeCells count="20">
    <mergeCell ref="A1:A2"/>
    <mergeCell ref="B1:B2"/>
    <mergeCell ref="C1:C2"/>
    <mergeCell ref="E1:H1"/>
    <mergeCell ref="A3:A5"/>
    <mergeCell ref="B3:B5"/>
    <mergeCell ref="B6:B8"/>
    <mergeCell ref="G16:G18"/>
    <mergeCell ref="H16:H18"/>
    <mergeCell ref="A19:A21"/>
    <mergeCell ref="B19:B21"/>
    <mergeCell ref="A22:A23"/>
    <mergeCell ref="B22:B23"/>
    <mergeCell ref="A6:A8"/>
    <mergeCell ref="A9:A12"/>
    <mergeCell ref="B9:B12"/>
    <mergeCell ref="A13:A15"/>
    <mergeCell ref="B13:B15"/>
    <mergeCell ref="A16:A18"/>
    <mergeCell ref="B16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3.5"/>
    <col customWidth="1" min="5" max="6" width="17.0"/>
  </cols>
  <sheetData>
    <row r="1">
      <c r="A1" s="107" t="s">
        <v>49</v>
      </c>
      <c r="B1" s="107" t="s">
        <v>50</v>
      </c>
      <c r="C1" s="107" t="s">
        <v>0</v>
      </c>
      <c r="D1" s="107" t="s">
        <v>51</v>
      </c>
      <c r="E1" s="107" t="s">
        <v>52</v>
      </c>
      <c r="F1" s="107" t="s">
        <v>53</v>
      </c>
    </row>
    <row r="2">
      <c r="A2" s="108">
        <v>45436.0</v>
      </c>
      <c r="B2" s="107" t="s">
        <v>54</v>
      </c>
      <c r="C2" s="109" t="s">
        <v>19</v>
      </c>
      <c r="D2" s="107">
        <v>15.0</v>
      </c>
      <c r="E2" s="107">
        <v>7.0</v>
      </c>
      <c r="F2" s="107">
        <v>7.0</v>
      </c>
    </row>
    <row r="3" ht="8.25" customHeight="1">
      <c r="A3" s="110"/>
      <c r="B3" s="110"/>
      <c r="C3" s="110"/>
      <c r="D3" s="110"/>
      <c r="E3" s="110"/>
      <c r="F3" s="110"/>
    </row>
    <row r="4">
      <c r="A4" s="111">
        <v>45442.0</v>
      </c>
      <c r="B4" s="107" t="s">
        <v>55</v>
      </c>
      <c r="C4" s="112" t="s">
        <v>15</v>
      </c>
      <c r="D4" s="107">
        <v>20.0</v>
      </c>
      <c r="E4" s="107">
        <v>10.0</v>
      </c>
      <c r="F4" s="107">
        <v>10.0</v>
      </c>
    </row>
    <row r="5">
      <c r="B5" s="107" t="s">
        <v>56</v>
      </c>
      <c r="C5" s="113" t="s">
        <v>13</v>
      </c>
      <c r="D5" s="107">
        <v>17.0</v>
      </c>
      <c r="E5" s="107">
        <v>7.0</v>
      </c>
      <c r="F5" s="107">
        <v>7.0</v>
      </c>
    </row>
    <row r="6">
      <c r="B6" s="107" t="s">
        <v>57</v>
      </c>
      <c r="C6" s="113" t="s">
        <v>21</v>
      </c>
      <c r="D6" s="107">
        <v>14.0</v>
      </c>
      <c r="E6" s="32"/>
      <c r="F6" s="32"/>
    </row>
    <row r="7">
      <c r="B7" s="91" t="s">
        <v>58</v>
      </c>
      <c r="C7" s="114" t="s">
        <v>22</v>
      </c>
      <c r="D7" s="107">
        <v>10.0</v>
      </c>
      <c r="E7" s="107">
        <v>5.0</v>
      </c>
      <c r="F7" s="107">
        <v>8.0</v>
      </c>
    </row>
    <row r="8">
      <c r="B8" s="91" t="s">
        <v>54</v>
      </c>
      <c r="C8" s="114" t="s">
        <v>24</v>
      </c>
      <c r="D8" s="107">
        <v>14.0</v>
      </c>
      <c r="E8" s="107">
        <v>3.0</v>
      </c>
      <c r="F8" s="32"/>
    </row>
    <row r="9">
      <c r="B9" s="51" t="s">
        <v>59</v>
      </c>
      <c r="C9" s="114" t="s">
        <v>28</v>
      </c>
      <c r="D9" s="107">
        <v>13.0</v>
      </c>
      <c r="E9" s="32"/>
      <c r="F9" s="107">
        <v>5.0</v>
      </c>
    </row>
    <row r="10" ht="8.25" customHeight="1">
      <c r="A10" s="110"/>
      <c r="B10" s="110"/>
      <c r="C10" s="110"/>
      <c r="D10" s="110"/>
      <c r="E10" s="115"/>
      <c r="F10" s="115"/>
    </row>
    <row r="11">
      <c r="A11" s="111">
        <v>45443.0</v>
      </c>
      <c r="B11" s="107" t="s">
        <v>55</v>
      </c>
      <c r="C11" s="112" t="s">
        <v>23</v>
      </c>
      <c r="D11" s="107">
        <v>10.0</v>
      </c>
      <c r="E11" s="107">
        <v>5.0</v>
      </c>
      <c r="F11" s="32"/>
    </row>
    <row r="12">
      <c r="B12" s="107" t="s">
        <v>56</v>
      </c>
      <c r="C12" s="112" t="s">
        <v>16</v>
      </c>
      <c r="D12" s="107">
        <v>17.0</v>
      </c>
      <c r="E12" s="32"/>
      <c r="F12" s="32"/>
    </row>
    <row r="13">
      <c r="B13" s="107" t="s">
        <v>60</v>
      </c>
      <c r="C13" s="112" t="s">
        <v>8</v>
      </c>
      <c r="D13" s="109">
        <v>12.0</v>
      </c>
      <c r="E13" s="107">
        <v>3.0</v>
      </c>
      <c r="F13" s="32"/>
    </row>
    <row r="14">
      <c r="B14" s="91" t="s">
        <v>61</v>
      </c>
      <c r="C14" s="112" t="s">
        <v>17</v>
      </c>
      <c r="D14" s="107">
        <v>10.0</v>
      </c>
      <c r="E14" s="107">
        <v>10.0</v>
      </c>
      <c r="F14" s="32"/>
    </row>
    <row r="15">
      <c r="C15" s="113" t="s">
        <v>9</v>
      </c>
      <c r="D15" s="107">
        <v>12.0</v>
      </c>
      <c r="E15" s="107">
        <v>5.0</v>
      </c>
      <c r="F15" s="107">
        <v>5.0</v>
      </c>
    </row>
    <row r="16">
      <c r="B16" s="91" t="s">
        <v>62</v>
      </c>
      <c r="C16" s="112" t="s">
        <v>18</v>
      </c>
      <c r="D16" s="107">
        <v>5.0</v>
      </c>
      <c r="E16" s="107">
        <v>10.0</v>
      </c>
    </row>
    <row r="17">
      <c r="C17" s="112" t="s">
        <v>26</v>
      </c>
      <c r="D17" s="107">
        <v>19.0</v>
      </c>
      <c r="E17" s="107">
        <v>8.0</v>
      </c>
      <c r="F17" s="107">
        <v>9.0</v>
      </c>
    </row>
    <row r="18" ht="8.25" customHeight="1">
      <c r="A18" s="110"/>
      <c r="B18" s="110"/>
      <c r="C18" s="110"/>
      <c r="D18" s="110"/>
      <c r="E18" s="110"/>
      <c r="F18" s="110"/>
    </row>
    <row r="19">
      <c r="A19" s="111">
        <v>45444.0</v>
      </c>
      <c r="B19" s="107" t="s">
        <v>56</v>
      </c>
      <c r="C19" s="107" t="s">
        <v>29</v>
      </c>
      <c r="D19" s="107">
        <v>17.0</v>
      </c>
      <c r="E19" s="107">
        <v>10.0</v>
      </c>
      <c r="F19" s="107">
        <v>6.0</v>
      </c>
    </row>
    <row r="20">
      <c r="B20" s="107" t="s">
        <v>57</v>
      </c>
      <c r="C20" s="109" t="s">
        <v>20</v>
      </c>
      <c r="D20" s="107">
        <v>14.0</v>
      </c>
      <c r="E20" s="107">
        <v>0.0</v>
      </c>
      <c r="F20" s="107">
        <v>0.0</v>
      </c>
    </row>
    <row r="21">
      <c r="A21" s="111"/>
    </row>
    <row r="22">
      <c r="A22" s="111"/>
      <c r="C22" s="51" t="s">
        <v>63</v>
      </c>
      <c r="D22" s="107">
        <v>18.0</v>
      </c>
      <c r="E22" s="107">
        <v>9.0</v>
      </c>
      <c r="F22" s="107">
        <v>5.0</v>
      </c>
    </row>
  </sheetData>
  <mergeCells count="5">
    <mergeCell ref="A4:A9"/>
    <mergeCell ref="A11:A17"/>
    <mergeCell ref="B14:B15"/>
    <mergeCell ref="B16:B17"/>
    <mergeCell ref="A19:A20"/>
  </mergeCells>
  <drawing r:id="rId1"/>
</worksheet>
</file>