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64" i="1" l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<sst xmlns="http://schemas.openxmlformats.org/spreadsheetml/2006/main" count="1" uniqueCount="1">
  <si>
    <t>#.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</si>
</sst>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4"/>
  <sheetViews>
    <sheetView tabSelected="1" workbookViewId="0">
      <selection activeCell="F6" sqref="F6"/>
    </sheetView>
  </sheetViews>
  <sheetFormatPr defaultRowHeight="15" x14ac:dyDescent="0.25"/>
  <cols>
    <col min="4" max="4" width="41.42578125" bestFit="1" customWidth="1"/>
    <col min="6" max="6" width="59.42578125" bestFit="1" customWidth="1"/>
  </cols>
  <sheetData>
    <row r="1" spans="1:52" x14ac:dyDescent="0.25">
      <c r="A1" s="1" t="s">
        <v>0</v>
      </c>
      <c r="B1" s="1" t="str">
        <f>"البريد الألكتروني"</f>
        <v>البريد الألكتروني</v>
      </c>
      <c r="C1" s="1" t="str">
        <f>"تاريخ التسجيل"</f>
        <v>تاريخ التسجيل</v>
      </c>
      <c r="D1" s="1" t="str">
        <f>"الأسم"</f>
        <v>الأسم</v>
      </c>
      <c r="E1" s="1" t="str">
        <f>"العمر"</f>
        <v>العمر</v>
      </c>
      <c r="F1" s="1" t="str">
        <f>"المسمى الوظيفي"</f>
        <v>المسمى الوظيفي</v>
      </c>
      <c r="G1" s="1" t="str">
        <f>"سنوات الخبرة"</f>
        <v>سنوات الخبرة</v>
      </c>
      <c r="H1" s="1" t="str">
        <f>"الجنس"</f>
        <v>الجنس</v>
      </c>
      <c r="I1" s="1" t="str">
        <f>"البلد"</f>
        <v>البلد</v>
      </c>
      <c r="J1" s="1" t="str">
        <f>"تاريخ الميلاد"</f>
        <v>تاريخ الميلاد</v>
      </c>
      <c r="K1" s="1" t="str">
        <f>"الدور الوظيفي"</f>
        <v>الدور الوظيفي</v>
      </c>
      <c r="L1" s="1" t="str">
        <f>"مصدر التقديم"</f>
        <v>مصدر التقديم</v>
      </c>
      <c r="M1" s="1" t="str">
        <f>"أحدث شركة عملت لديها"</f>
        <v>أحدث شركة عملت لديها</v>
      </c>
      <c r="N1" s="1" t="str">
        <f>"قطاع العمل"</f>
        <v>قطاع العمل</v>
      </c>
      <c r="O1" s="1" t="str">
        <f>"ملاحظات"</f>
        <v>ملاحظات</v>
      </c>
      <c r="P1" s="1" t="str">
        <f>"هل لديك تصريح ممارسة المهنة؟"</f>
        <v>هل لديك تصريح ممارسة المهنة؟</v>
      </c>
      <c r="Q1" s="1" t="str">
        <f>"هل لديك أي أقارب في مركز الحسين للسرطان؟"</f>
        <v>هل لديك أي أقارب في مركز الحسين للسرطان؟</v>
      </c>
      <c r="R1" s="1" t="str">
        <f>"هل أنت مدخن؟"</f>
        <v>هل أنت مدخن؟</v>
      </c>
      <c r="S1" s="1" t="str">
        <f>"هل أنت طبيب؟"</f>
        <v>هل أنت طبيب؟</v>
      </c>
      <c r="T1" s="1" t="str">
        <f>"الحالة الاجتماعية"</f>
        <v>الحالة الاجتماعية</v>
      </c>
      <c r="U1" s="1" t="str">
        <f>"هل أنت"</f>
        <v>هل أنت</v>
      </c>
      <c r="V1" s="1" t="str">
        <f>"الرقم الوطني"</f>
        <v>الرقم الوطني</v>
      </c>
      <c r="W1" s="1" t="str">
        <f>"رقم الهاتف"</f>
        <v>رقم الهاتف</v>
      </c>
      <c r="X1" s="1" t="str">
        <f>"المستوى التعليمي"</f>
        <v>المستوى التعليمي</v>
      </c>
      <c r="Y1" s="1" t="str">
        <f>"بلد التخرج الماجستير"</f>
        <v>بلد التخرج الماجستير</v>
      </c>
      <c r="Z1" s="1" t="str">
        <f>"إسم المؤسسة التعليمية للماجستير"</f>
        <v>إسم المؤسسة التعليمية للماجستير</v>
      </c>
      <c r="AA1" s="1" t="str">
        <f>"إسم المؤسسة التعليمية للماجستير"</f>
        <v>إسم المؤسسة التعليمية للماجستير</v>
      </c>
      <c r="AB1" s="1" t="str">
        <f>"التخصص الماجستير"</f>
        <v>التخصص الماجستير</v>
      </c>
      <c r="AC1" s="1" t="str">
        <f>"المعدل الماجستير"</f>
        <v>المعدل الماجستير</v>
      </c>
      <c r="AD1" s="1" t="str">
        <f>"المعدل التراكمي بالحروف الماجستير "</f>
        <v xml:space="preserve">المعدل التراكمي بالحروف الماجستير </v>
      </c>
      <c r="AE1" s="1" t="str">
        <f>"بلد التخرج البكالوريوس"</f>
        <v>بلد التخرج البكالوريوس</v>
      </c>
      <c r="AF1" s="1" t="str">
        <f>"إسم المؤسسة التعليمية للبكالوريوس"</f>
        <v>إسم المؤسسة التعليمية للبكالوريوس</v>
      </c>
      <c r="AG1" s="1" t="str">
        <f>"إسم المؤسسة التعليمية للبكالوريوس"</f>
        <v>إسم المؤسسة التعليمية للبكالوريوس</v>
      </c>
      <c r="AH1" s="1" t="str">
        <f>"التخصص البكالوريوس"</f>
        <v>التخصص البكالوريوس</v>
      </c>
      <c r="AI1" s="1" t="str">
        <f>"المعدل البكالوريوس"</f>
        <v>المعدل البكالوريوس</v>
      </c>
      <c r="AJ1" s="1" t="str">
        <f>"المعدل التراكمي بالحروف البكالوريوس"</f>
        <v>المعدل التراكمي بالحروف البكالوريوس</v>
      </c>
      <c r="AK1" s="1" t="str">
        <f>"بلد التخرج الدبلوم العالي"</f>
        <v>بلد التخرج الدبلوم العالي</v>
      </c>
      <c r="AL1" s="1" t="str">
        <f>"إسم المؤسسة التعليمية للدبلوم العالي"</f>
        <v>إسم المؤسسة التعليمية للدبلوم العالي</v>
      </c>
      <c r="AM1" s="1" t="str">
        <f>"إسم المؤسسة التعليمية للدبلوم العالي"</f>
        <v>إسم المؤسسة التعليمية للدبلوم العالي</v>
      </c>
      <c r="AN1" s="1" t="str">
        <f>"التخصص الدبلوم العالي"</f>
        <v>التخصص الدبلوم العالي</v>
      </c>
      <c r="AO1" s="1" t="str">
        <f>"المعدل الدبلوم العالي"</f>
        <v>المعدل الدبلوم العالي</v>
      </c>
      <c r="AP1" s="1" t="str">
        <f>"المعدل التراكمي بالحروف الدبلوم العالي"</f>
        <v>المعدل التراكمي بالحروف الدبلوم العالي</v>
      </c>
      <c r="AQ1" s="1" t="str">
        <f>"بلد التخرج الدبلوم "</f>
        <v xml:space="preserve">بلد التخرج الدبلوم </v>
      </c>
      <c r="AR1" s="1" t="str">
        <f>"إسم المؤسسة التعليمية للدبلوم "</f>
        <v xml:space="preserve">إسم المؤسسة التعليمية للدبلوم </v>
      </c>
      <c r="AS1" s="1" t="str">
        <f>"إسم المؤسسة التعليمية للدبلوم "</f>
        <v xml:space="preserve">إسم المؤسسة التعليمية للدبلوم </v>
      </c>
      <c r="AT1" s="1" t="str">
        <f>" التخصص الدبلوم "</f>
        <v xml:space="preserve"> التخصص الدبلوم </v>
      </c>
      <c r="AU1" s="1" t="str">
        <f>"المعدل الدبلوم "</f>
        <v xml:space="preserve">المعدل الدبلوم </v>
      </c>
      <c r="AV1" s="1" t="str">
        <f>"المعدل التراكمي بالحروف الدبلوم "</f>
        <v xml:space="preserve">المعدل التراكمي بالحروف الدبلوم </v>
      </c>
      <c r="AW1" s="1" t="str">
        <f>"اسم المدرسة"</f>
        <v>اسم المدرسة</v>
      </c>
      <c r="AX1" s="1" t="str">
        <f>"مستوى المدرسة"</f>
        <v>مستوى المدرسة</v>
      </c>
      <c r="AY1" s="1" t="str">
        <f>"بلد المدرسة"</f>
        <v>بلد المدرسة</v>
      </c>
      <c r="AZ1" s="1" t="str">
        <f>"المعدل المدرسة"</f>
        <v>المعدل المدرسة</v>
      </c>
    </row>
    <row r="2" spans="1:52" x14ac:dyDescent="0.25">
      <c r="A2" s="1">
        <v>1</v>
      </c>
      <c r="B2" s="1" t="str">
        <f>"khammash2001@hotmail.com"</f>
        <v>khammash2001@hotmail.com</v>
      </c>
      <c r="C2" s="1" t="str">
        <f>"2009-05-05 21:54:26 UTC"</f>
        <v>2009-05-05 21:54:26 UTC</v>
      </c>
      <c r="D2" s="1" t="str">
        <f>"Mohammad Samer Mohammad Alkhammash"</f>
        <v>Mohammad Samer Mohammad Alkhammash</v>
      </c>
      <c r="E2" s="1" t="str">
        <f>"39"</f>
        <v>39</v>
      </c>
      <c r="F2" s="1" t="str">
        <f>"Project Manager "</f>
        <v xml:space="preserve">Project Manager </v>
      </c>
      <c r="G2" s="1" t="str">
        <f>"13"</f>
        <v>13</v>
      </c>
      <c r="H2" s="1" t="str">
        <f>"ذكر"</f>
        <v>ذكر</v>
      </c>
      <c r="I2" s="1" t="str">
        <f>"الأردن;عمان;مواطن"</f>
        <v>الأردن;عمان;مواطن</v>
      </c>
      <c r="J2" s="1" t="str">
        <f>"13-08-1986"</f>
        <v>13-08-1986</v>
      </c>
      <c r="K2" s="1" t="str">
        <f>"ضبط الجودة أو مراقبة الجودة"</f>
        <v>ضبط الجودة أو مراقبة الجودة</v>
      </c>
      <c r="L2" s="1" t="str">
        <f t="shared" ref="L2:L64" si="0">"career_connect"</f>
        <v>career_connect</v>
      </c>
      <c r="M2" s="1" t="str">
        <f>"Project Manager  في Explorance"</f>
        <v>Project Manager  في Explorance</v>
      </c>
      <c r="N2" s="1" t="str">
        <f>"تكنولوجيا المعلومات و الحاسوب - البرمجيات و تطوير مواقع الإنترنت"</f>
        <v>تكنولوجيا المعلومات و الحاسوب - البرمجيات و تطوير مواقع الإنترنت</v>
      </c>
      <c r="O2" s="1" t="str">
        <f>"Note 0: course only"</f>
        <v>Note 0: course only</v>
      </c>
      <c r="P2" s="1" t="str">
        <f t="shared" ref="P2:S6" si="1">"لا"</f>
        <v>لا</v>
      </c>
      <c r="Q2" s="1" t="str">
        <f t="shared" si="1"/>
        <v>لا</v>
      </c>
      <c r="R2" s="1" t="str">
        <f t="shared" si="1"/>
        <v>لا</v>
      </c>
      <c r="S2" s="1" t="str">
        <f t="shared" si="1"/>
        <v>لا</v>
      </c>
      <c r="T2" s="1" t="str">
        <f>"اعزب"</f>
        <v>اعزب</v>
      </c>
      <c r="U2" s="1" t="str">
        <f t="shared" ref="U2:U44" si="2">"أردني"</f>
        <v>أردني</v>
      </c>
      <c r="V2" s="1" t="str">
        <f>"9861032517"</f>
        <v>9861032517</v>
      </c>
      <c r="W2" s="1" t="str">
        <f>"796863713"</f>
        <v>796863713</v>
      </c>
      <c r="X2" s="1" t="str">
        <f>"ماجستير"</f>
        <v>ماجستير</v>
      </c>
      <c r="Y2" s="1" t="str">
        <f>"الأردن"</f>
        <v>الأردن</v>
      </c>
      <c r="Z2" s="1" t="str">
        <f>"جامعة الاميرة سمية "</f>
        <v xml:space="preserve">جامعة الاميرة سمية </v>
      </c>
      <c r="AA2" s="1" t="str">
        <f>""</f>
        <v/>
      </c>
      <c r="AB2" s="1" t="str">
        <f>"Enterprise system engineer"</f>
        <v>Enterprise system engineer</v>
      </c>
      <c r="AC2" s="1" t="str">
        <f>"82"</f>
        <v>82</v>
      </c>
      <c r="AD2" s="1" t="str">
        <f>" جيد جدا  "</f>
        <v xml:space="preserve"> جيد جدا  </v>
      </c>
      <c r="AE2" s="1" t="str">
        <f t="shared" ref="AE2:AE34" si="3">"الأردن"</f>
        <v>الأردن</v>
      </c>
      <c r="AF2" s="1" t="str">
        <f>"الجامعة العربية المفتوحة "</f>
        <v xml:space="preserve">الجامعة العربية المفتوحة </v>
      </c>
      <c r="AG2" s="1" t="str">
        <f>""</f>
        <v/>
      </c>
      <c r="AH2" s="1" t="str">
        <f>"CIS"</f>
        <v>CIS</v>
      </c>
      <c r="AI2" s="1" t="str">
        <f>"75"</f>
        <v>75</v>
      </c>
      <c r="AJ2" s="1" t="str">
        <f>"جيد"</f>
        <v>جيد</v>
      </c>
      <c r="AK2" s="1" t="str">
        <f>""</f>
        <v/>
      </c>
      <c r="AL2" s="1" t="str">
        <f>""</f>
        <v/>
      </c>
      <c r="AM2" s="1" t="str">
        <f>""</f>
        <v/>
      </c>
      <c r="AN2" s="1" t="str">
        <f>""</f>
        <v/>
      </c>
      <c r="AO2" s="1" t="str">
        <f>""</f>
        <v/>
      </c>
      <c r="AP2" s="1" t="str">
        <f>""</f>
        <v/>
      </c>
      <c r="AQ2" s="1" t="str">
        <f>""</f>
        <v/>
      </c>
      <c r="AR2" s="1" t="str">
        <f>""</f>
        <v/>
      </c>
      <c r="AS2" s="1" t="str">
        <f>""</f>
        <v/>
      </c>
      <c r="AT2" s="1" t="str">
        <f>""</f>
        <v/>
      </c>
      <c r="AU2" s="1" t="str">
        <f>""</f>
        <v/>
      </c>
      <c r="AV2" s="1" t="str">
        <f>""</f>
        <v/>
      </c>
      <c r="AW2" s="1" t="str">
        <f>"Ibn Abbas"</f>
        <v>Ibn Abbas</v>
      </c>
      <c r="AX2" s="1" t="str">
        <f>"scince"</f>
        <v>scince</v>
      </c>
      <c r="AY2" s="1" t="str">
        <f>"Jordan"</f>
        <v>Jordan</v>
      </c>
      <c r="AZ2" s="1" t="str">
        <f>"55"</f>
        <v>55</v>
      </c>
    </row>
    <row r="3" spans="1:52" x14ac:dyDescent="0.25">
      <c r="A3" s="1">
        <v>2</v>
      </c>
      <c r="B3" s="1" t="str">
        <f>"laithabonawwas@gmail.com"</f>
        <v>laithabonawwas@gmail.com</v>
      </c>
      <c r="C3" s="1" t="str">
        <f>"2014-02-28 14:34:27 UTC"</f>
        <v>2014-02-28 14:34:27 UTC</v>
      </c>
      <c r="D3" s="1" t="str">
        <f>"Laith  Yousif  Abdel Hamid  Abu-Nawwas "</f>
        <v xml:space="preserve">Laith  Yousif  Abdel Hamid  Abu-Nawwas </v>
      </c>
      <c r="E3" s="1" t="str">
        <f>"34"</f>
        <v>34</v>
      </c>
      <c r="F3" s="1" t="str">
        <f>"Data Manager "</f>
        <v xml:space="preserve">Data Manager </v>
      </c>
      <c r="G3" s="1" t="str">
        <f>"9"</f>
        <v>9</v>
      </c>
      <c r="H3" s="1" t="str">
        <f>"ذكر"</f>
        <v>ذكر</v>
      </c>
      <c r="I3" s="1" t="str">
        <f>"الأردن;عجلون;مواطن"</f>
        <v>الأردن;عجلون;مواطن</v>
      </c>
      <c r="J3" s="1" t="str">
        <f>"16-08-1991"</f>
        <v>16-08-1991</v>
      </c>
      <c r="K3" s="1" t="str">
        <f>"translation missing: ar.all_job_role_names.information_management"</f>
        <v>translation missing: ar.all_job_role_names.information_management</v>
      </c>
      <c r="L3" s="1" t="str">
        <f t="shared" si="0"/>
        <v>career_connect</v>
      </c>
      <c r="M3" s="1" t="str">
        <f>"Dفيa Manager  في Swiss Bioinformفيics Institute - SIB"</f>
        <v>Dفيa Manager  في Swiss Bioinformفيics Institute - SIB</v>
      </c>
      <c r="N3" s="1" t="str">
        <f>"الأنظمة الطبية الحيوية"</f>
        <v>الأنظمة الطبية الحيوية</v>
      </c>
      <c r="O3" s="1" t="str">
        <f>""</f>
        <v/>
      </c>
      <c r="P3" s="1" t="str">
        <f t="shared" si="1"/>
        <v>لا</v>
      </c>
      <c r="Q3" s="1" t="str">
        <f t="shared" si="1"/>
        <v>لا</v>
      </c>
      <c r="R3" s="1" t="str">
        <f t="shared" si="1"/>
        <v>لا</v>
      </c>
      <c r="S3" s="1" t="str">
        <f t="shared" si="1"/>
        <v>لا</v>
      </c>
      <c r="T3" s="1" t="str">
        <f>"متزوج"</f>
        <v>متزوج</v>
      </c>
      <c r="U3" s="1" t="str">
        <f t="shared" si="2"/>
        <v>أردني</v>
      </c>
      <c r="V3" s="1" t="str">
        <f>"9912023771"</f>
        <v>9912023771</v>
      </c>
      <c r="W3" s="1" t="str">
        <f>"0041784038427"</f>
        <v>0041784038427</v>
      </c>
      <c r="X3" s="1" t="str">
        <f>"ماجستير"</f>
        <v>ماجستير</v>
      </c>
      <c r="Y3" s="1" t="str">
        <f>"آخر"</f>
        <v>آخر</v>
      </c>
      <c r="Z3" s="1" t="str">
        <f>""</f>
        <v/>
      </c>
      <c r="AA3" s="1" t="str">
        <f>"Boston College "</f>
        <v xml:space="preserve">Boston College </v>
      </c>
      <c r="AB3" s="1" t="str">
        <f>"Mini-MBA"</f>
        <v>Mini-MBA</v>
      </c>
      <c r="AC3" s="1" t="str">
        <f>"00"</f>
        <v>00</v>
      </c>
      <c r="AD3" s="1" t="str">
        <f>"مقبول"</f>
        <v>مقبول</v>
      </c>
      <c r="AE3" s="1" t="str">
        <f t="shared" si="3"/>
        <v>الأردن</v>
      </c>
      <c r="AF3" s="1" t="str">
        <f>"الجامعة الهاشمية "</f>
        <v xml:space="preserve">الجامعة الهاشمية </v>
      </c>
      <c r="AG3" s="1" t="str">
        <f>""</f>
        <v/>
      </c>
      <c r="AH3" s="1" t="str">
        <f>"Engineering "</f>
        <v xml:space="preserve">Engineering </v>
      </c>
      <c r="AI3" s="1" t="str">
        <f>"2.41"</f>
        <v>2.41</v>
      </c>
      <c r="AJ3" s="1" t="str">
        <f>"مقبول"</f>
        <v>مقبول</v>
      </c>
      <c r="AK3" s="1" t="str">
        <f>""</f>
        <v/>
      </c>
      <c r="AL3" s="1" t="str">
        <f>""</f>
        <v/>
      </c>
      <c r="AM3" s="1" t="str">
        <f>""</f>
        <v/>
      </c>
      <c r="AN3" s="1" t="str">
        <f>""</f>
        <v/>
      </c>
      <c r="AO3" s="1" t="str">
        <f>""</f>
        <v/>
      </c>
      <c r="AP3" s="1" t="str">
        <f>""</f>
        <v/>
      </c>
      <c r="AQ3" s="1" t="str">
        <f>""</f>
        <v/>
      </c>
      <c r="AR3" s="1" t="str">
        <f>""</f>
        <v/>
      </c>
      <c r="AS3" s="1" t="str">
        <f>""</f>
        <v/>
      </c>
      <c r="AT3" s="1" t="str">
        <f>""</f>
        <v/>
      </c>
      <c r="AU3" s="1" t="str">
        <f>""</f>
        <v/>
      </c>
      <c r="AV3" s="1" t="str">
        <f>""</f>
        <v/>
      </c>
      <c r="AW3" s="1" t="str">
        <f>"Alqabsi"</f>
        <v>Alqabsi</v>
      </c>
      <c r="AX3" s="1" t="str">
        <f>"Secondary - high school "</f>
        <v xml:space="preserve">Secondary - high school </v>
      </c>
      <c r="AY3" s="1" t="str">
        <f>"Jordan "</f>
        <v xml:space="preserve">Jordan </v>
      </c>
      <c r="AZ3" s="1" t="str">
        <f>"80.1"</f>
        <v>80.1</v>
      </c>
    </row>
    <row r="4" spans="1:52" x14ac:dyDescent="0.25">
      <c r="A4" s="1">
        <v>3</v>
      </c>
      <c r="B4" s="1" t="str">
        <f>"defallh_alsheikh@yahoo.com"</f>
        <v>defallh_alsheikh@yahoo.com</v>
      </c>
      <c r="C4" s="1" t="str">
        <f>"2014-03-18 17:47:04 UTC"</f>
        <v>2014-03-18 17:47:04 UTC</v>
      </c>
      <c r="D4" s="1" t="str">
        <f>"Deifallah Zead Najeeb Alsheikh"</f>
        <v>Deifallah Zead Najeeb Alsheikh</v>
      </c>
      <c r="E4" s="1" t="str">
        <f>"37"</f>
        <v>37</v>
      </c>
      <c r="F4" s="1" t="str">
        <f>"Programme associate - M&amp;E and Partnership "</f>
        <v xml:space="preserve">Programme associate - M&amp;E and Partnership </v>
      </c>
      <c r="G4" s="1" t="str">
        <f>"9"</f>
        <v>9</v>
      </c>
      <c r="H4" s="1" t="str">
        <f>"ذكر"</f>
        <v>ذكر</v>
      </c>
      <c r="I4" s="1" t="str">
        <f>"الأردن;المفرق;مواطن"</f>
        <v>الأردن;المفرق;مواطن</v>
      </c>
      <c r="J4" s="1" t="str">
        <f>"04-10-1988"</f>
        <v>04-10-1988</v>
      </c>
      <c r="K4" s="1" t="str">
        <f>"translation missing: ar.all_job_role_names.monitoring_evaluation"</f>
        <v>translation missing: ar.all_job_role_names.monitoring_evaluation</v>
      </c>
      <c r="L4" s="1" t="str">
        <f t="shared" si="0"/>
        <v>career_connect</v>
      </c>
      <c r="M4" s="1" t="str">
        <f>"Programme associفيe - M&amp;E and Partnership  في UNFPA"</f>
        <v>Programme associفيe - M&amp;E and Partnership  في UNFPA</v>
      </c>
      <c r="N4" s="1" t="str">
        <f>"المنظمات غير الربحية والخدمات الاجتماعية"</f>
        <v>المنظمات غير الربحية والخدمات الاجتماعية</v>
      </c>
      <c r="O4" s="1" t="str">
        <f>""</f>
        <v/>
      </c>
      <c r="P4" s="1" t="str">
        <f>"نعم"</f>
        <v>نعم</v>
      </c>
      <c r="Q4" s="1" t="str">
        <f t="shared" si="1"/>
        <v>لا</v>
      </c>
      <c r="R4" s="1" t="str">
        <f t="shared" si="1"/>
        <v>لا</v>
      </c>
      <c r="S4" s="1" t="str">
        <f t="shared" si="1"/>
        <v>لا</v>
      </c>
      <c r="T4" s="1" t="str">
        <f>"متزوج"</f>
        <v>متزوج</v>
      </c>
      <c r="U4" s="1" t="str">
        <f t="shared" si="2"/>
        <v>أردني</v>
      </c>
      <c r="V4" s="1" t="str">
        <f>"9881044047"</f>
        <v>9881044047</v>
      </c>
      <c r="W4" s="1" t="str">
        <f>"0795977540"</f>
        <v>0795977540</v>
      </c>
      <c r="X4" s="1" t="str">
        <f>"ماجستير"</f>
        <v>ماجستير</v>
      </c>
      <c r="Y4" s="1" t="str">
        <f>"الأردن"</f>
        <v>الأردن</v>
      </c>
      <c r="Z4" s="1" t="str">
        <f>"جامعة اليرموك "</f>
        <v xml:space="preserve">جامعة اليرموك </v>
      </c>
      <c r="AA4" s="1" t="str">
        <f>""</f>
        <v/>
      </c>
      <c r="AB4" s="1" t="str">
        <f>"health service management "</f>
        <v xml:space="preserve">health service management </v>
      </c>
      <c r="AC4" s="1" t="str">
        <f>"83.1"</f>
        <v>83.1</v>
      </c>
      <c r="AD4" s="1" t="str">
        <f>" جيد جدا  "</f>
        <v xml:space="preserve"> جيد جدا  </v>
      </c>
      <c r="AE4" s="1" t="str">
        <f t="shared" si="3"/>
        <v>الأردن</v>
      </c>
      <c r="AF4" s="1" t="str">
        <f>"جامعة العلوم والتكنولوجيا الاردنية "</f>
        <v xml:space="preserve">جامعة العلوم والتكنولوجيا الاردنية </v>
      </c>
      <c r="AG4" s="1" t="str">
        <f>""</f>
        <v/>
      </c>
      <c r="AH4" s="1" t="str">
        <f>"nursing"</f>
        <v>nursing</v>
      </c>
      <c r="AI4" s="1" t="str">
        <f>"71.2"</f>
        <v>71.2</v>
      </c>
      <c r="AJ4" s="1" t="str">
        <f>"جيد"</f>
        <v>جيد</v>
      </c>
      <c r="AK4" s="1" t="str">
        <f>""</f>
        <v/>
      </c>
      <c r="AL4" s="1" t="str">
        <f>""</f>
        <v/>
      </c>
      <c r="AM4" s="1" t="str">
        <f>""</f>
        <v/>
      </c>
      <c r="AN4" s="1" t="str">
        <f>""</f>
        <v/>
      </c>
      <c r="AO4" s="1" t="str">
        <f>""</f>
        <v/>
      </c>
      <c r="AP4" s="1" t="str">
        <f>""</f>
        <v/>
      </c>
      <c r="AQ4" s="1" t="str">
        <f>""</f>
        <v/>
      </c>
      <c r="AR4" s="1" t="str">
        <f>""</f>
        <v/>
      </c>
      <c r="AS4" s="1" t="str">
        <f>""</f>
        <v/>
      </c>
      <c r="AT4" s="1" t="str">
        <f>""</f>
        <v/>
      </c>
      <c r="AU4" s="1" t="str">
        <f>""</f>
        <v/>
      </c>
      <c r="AV4" s="1" t="str">
        <f>""</f>
        <v/>
      </c>
      <c r="AW4" s="1" t="str">
        <f>"Khaleel alsaleem "</f>
        <v xml:space="preserve">Khaleel alsaleem </v>
      </c>
      <c r="AX4" s="1" t="str">
        <f>"national "</f>
        <v xml:space="preserve">national </v>
      </c>
      <c r="AY4" s="1" t="str">
        <f>"Jordan"</f>
        <v>Jordan</v>
      </c>
      <c r="AZ4" s="1" t="str">
        <f>"71.4"</f>
        <v>71.4</v>
      </c>
    </row>
    <row r="5" spans="1:52" x14ac:dyDescent="0.25">
      <c r="A5" s="1">
        <v>4</v>
      </c>
      <c r="B5" s="1" t="str">
        <f>"nana--6191@hotmail.com"</f>
        <v>nana--6191@hotmail.com</v>
      </c>
      <c r="C5" s="1" t="str">
        <f>"2014-06-14 21:43:24 UTC"</f>
        <v>2014-06-14 21:43:24 UTC</v>
      </c>
      <c r="D5" s="1" t="str">
        <f>"Rana Emad Ahmad Almoghrabi"</f>
        <v>Rana Emad Ahmad Almoghrabi</v>
      </c>
      <c r="E5" s="1" t="str">
        <f>"33"</f>
        <v>33</v>
      </c>
      <c r="F5" s="1" t="str">
        <f>"MEAL Assistant"</f>
        <v>MEAL Assistant</v>
      </c>
      <c r="G5" s="1" t="str">
        <f>"7"</f>
        <v>7</v>
      </c>
      <c r="H5" s="1" t="str">
        <f>"أنثى"</f>
        <v>أنثى</v>
      </c>
      <c r="I5" s="1" t="str">
        <f>"الأردن;الزرقاء;مواطن"</f>
        <v>الأردن;الزرقاء;مواطن</v>
      </c>
      <c r="J5" s="1" t="str">
        <f>"30-12-1992"</f>
        <v>30-12-1992</v>
      </c>
      <c r="K5" s="1" t="str">
        <f>"translation missing: ar.all_job_role_names.monitoring_evaluation"</f>
        <v>translation missing: ar.all_job_role_names.monitoring_evaluation</v>
      </c>
      <c r="L5" s="1" t="str">
        <f t="shared" si="0"/>
        <v>career_connect</v>
      </c>
      <c r="M5" s="1" t="str">
        <f>"MEAL Assistant في Internفيional Medical Corps"</f>
        <v>MEAL Assistant في Internفيional Medical Corps</v>
      </c>
      <c r="N5" s="1" t="str">
        <f>"المنظمات غير الربحية والخدمات الاجتماعية"</f>
        <v>المنظمات غير الربحية والخدمات الاجتماعية</v>
      </c>
      <c r="O5" s="1" t="str">
        <f>""</f>
        <v/>
      </c>
      <c r="P5" s="1" t="str">
        <f>"لا"</f>
        <v>لا</v>
      </c>
      <c r="Q5" s="1" t="str">
        <f t="shared" si="1"/>
        <v>لا</v>
      </c>
      <c r="R5" s="1" t="str">
        <f t="shared" si="1"/>
        <v>لا</v>
      </c>
      <c r="S5" s="1" t="str">
        <f t="shared" si="1"/>
        <v>لا</v>
      </c>
      <c r="T5" s="1" t="str">
        <f>"متزوج"</f>
        <v>متزوج</v>
      </c>
      <c r="U5" s="1" t="str">
        <f t="shared" si="2"/>
        <v>أردني</v>
      </c>
      <c r="V5" s="1" t="str">
        <f>"9922006540"</f>
        <v>9922006540</v>
      </c>
      <c r="W5" s="1" t="str">
        <f>"00962797265151"</f>
        <v>00962797265151</v>
      </c>
      <c r="X5" s="1" t="str">
        <f>"بكالوريوس جامعي"</f>
        <v>بكالوريوس جامعي</v>
      </c>
      <c r="Y5" s="1" t="str">
        <f>""</f>
        <v/>
      </c>
      <c r="Z5" s="1" t="str">
        <f>""</f>
        <v/>
      </c>
      <c r="AA5" s="1" t="str">
        <f>""</f>
        <v/>
      </c>
      <c r="AB5" s="1" t="str">
        <f>""</f>
        <v/>
      </c>
      <c r="AC5" s="1" t="str">
        <f>""</f>
        <v/>
      </c>
      <c r="AD5" s="1" t="str">
        <f>""</f>
        <v/>
      </c>
      <c r="AE5" s="1" t="str">
        <f t="shared" si="3"/>
        <v>الأردن</v>
      </c>
      <c r="AF5" s="1" t="str">
        <f>"جامعة البلقاء التطبيقية "</f>
        <v xml:space="preserve">جامعة البلقاء التطبيقية </v>
      </c>
      <c r="AG5" s="1" t="str">
        <f>""</f>
        <v/>
      </c>
      <c r="AH5" s="1" t="str">
        <f>"هندسة البرمحيات"</f>
        <v>هندسة البرمحيات</v>
      </c>
      <c r="AI5" s="1" t="str">
        <f>"2.55"</f>
        <v>2.55</v>
      </c>
      <c r="AJ5" s="1" t="str">
        <f>"جيد"</f>
        <v>جيد</v>
      </c>
      <c r="AK5" s="1" t="str">
        <f>""</f>
        <v/>
      </c>
      <c r="AL5" s="1" t="str">
        <f>""</f>
        <v/>
      </c>
      <c r="AM5" s="1" t="str">
        <f>""</f>
        <v/>
      </c>
      <c r="AN5" s="1" t="str">
        <f>""</f>
        <v/>
      </c>
      <c r="AO5" s="1" t="str">
        <f>""</f>
        <v/>
      </c>
      <c r="AP5" s="1" t="str">
        <f>""</f>
        <v/>
      </c>
      <c r="AQ5" s="1" t="str">
        <f>""</f>
        <v/>
      </c>
      <c r="AR5" s="1" t="str">
        <f>""</f>
        <v/>
      </c>
      <c r="AS5" s="1" t="str">
        <f>""</f>
        <v/>
      </c>
      <c r="AT5" s="1" t="str">
        <f>""</f>
        <v/>
      </c>
      <c r="AU5" s="1" t="str">
        <f>""</f>
        <v/>
      </c>
      <c r="AV5" s="1" t="str">
        <f>""</f>
        <v/>
      </c>
      <c r="AW5" s="1" t="str">
        <f>"ميمونة بنت الحارث"</f>
        <v>ميمونة بنت الحارث</v>
      </c>
      <c r="AX5" s="1" t="str">
        <f>"الثانوية العامه"</f>
        <v>الثانوية العامه</v>
      </c>
      <c r="AY5" s="1" t="str">
        <f>"الاردن"</f>
        <v>الاردن</v>
      </c>
      <c r="AZ5" s="1" t="str">
        <f>"86.6"</f>
        <v>86.6</v>
      </c>
    </row>
    <row r="6" spans="1:52" x14ac:dyDescent="0.25">
      <c r="A6" s="1">
        <v>5</v>
      </c>
      <c r="B6" s="1" t="str">
        <f>"nayfeh.alquraan@yahoo.com"</f>
        <v>nayfeh.alquraan@yahoo.com</v>
      </c>
      <c r="C6" s="1" t="str">
        <f>"2014-11-04 16:58:52 UTC"</f>
        <v>2014-11-04 16:58:52 UTC</v>
      </c>
      <c r="D6" s="1" t="str">
        <f>"نايفه  عدنان  فارع القرعان"</f>
        <v>نايفه  عدنان  فارع القرعان</v>
      </c>
      <c r="E6" s="1" t="str">
        <f>"35"</f>
        <v>35</v>
      </c>
      <c r="F6" s="1" t="str">
        <f>"مدرسة"</f>
        <v>مدرسة</v>
      </c>
      <c r="G6" s="1" t="str">
        <f>"4"</f>
        <v>4</v>
      </c>
      <c r="H6" s="1" t="str">
        <f>"أنثى"</f>
        <v>أنثى</v>
      </c>
      <c r="I6" s="1" t="str">
        <f>"الأردن;اربد;مواطن"</f>
        <v>الأردن;اربد;مواطن</v>
      </c>
      <c r="J6" s="1" t="str">
        <f>"14-04-1990"</f>
        <v>14-04-1990</v>
      </c>
      <c r="K6" s="1" t="str">
        <f>"التعليم و التدريب"</f>
        <v>التعليم و التدريب</v>
      </c>
      <c r="L6" s="1" t="str">
        <f t="shared" si="0"/>
        <v>career_connect</v>
      </c>
      <c r="M6" s="1" t="str">
        <f>"مدرسة في مدرسة الإتحاد الدوليه"</f>
        <v>مدرسة في مدرسة الإتحاد الدوليه</v>
      </c>
      <c r="N6" s="1" t="str">
        <f>"التعليم و التدريب"</f>
        <v>التعليم و التدريب</v>
      </c>
      <c r="O6" s="1" t="str">
        <f>""</f>
        <v/>
      </c>
      <c r="P6" s="1" t="str">
        <f>"لا"</f>
        <v>لا</v>
      </c>
      <c r="Q6" s="1" t="str">
        <f t="shared" si="1"/>
        <v>لا</v>
      </c>
      <c r="R6" s="1" t="str">
        <f t="shared" si="1"/>
        <v>لا</v>
      </c>
      <c r="S6" s="1" t="str">
        <f t="shared" si="1"/>
        <v>لا</v>
      </c>
      <c r="T6" s="1" t="str">
        <f>"اعزب"</f>
        <v>اعزب</v>
      </c>
      <c r="U6" s="1" t="str">
        <f t="shared" si="2"/>
        <v>أردني</v>
      </c>
      <c r="V6" s="1" t="str">
        <f>"9902010165"</f>
        <v>9902010165</v>
      </c>
      <c r="W6" s="1" t="str">
        <f>"0772089097"</f>
        <v>0772089097</v>
      </c>
      <c r="X6" s="1" t="str">
        <f>"ماجستير"</f>
        <v>ماجستير</v>
      </c>
      <c r="Y6" s="1" t="str">
        <f>"الأردن"</f>
        <v>الأردن</v>
      </c>
      <c r="Z6" s="1" t="str">
        <f>"جامعة اليرموك "</f>
        <v xml:space="preserve">جامعة اليرموك </v>
      </c>
      <c r="AA6" s="1" t="str">
        <f>""</f>
        <v/>
      </c>
      <c r="AB6" s="1" t="str">
        <f>"Computer information systems "</f>
        <v xml:space="preserve">Computer information systems </v>
      </c>
      <c r="AC6" s="1" t="str">
        <f>"85.9"</f>
        <v>85.9</v>
      </c>
      <c r="AD6" s="1" t="str">
        <f>" جيد جدا  "</f>
        <v xml:space="preserve"> جيد جدا  </v>
      </c>
      <c r="AE6" s="1" t="str">
        <f t="shared" si="3"/>
        <v>الأردن</v>
      </c>
      <c r="AF6" s="1" t="str">
        <f>"جامعة اليرموك "</f>
        <v xml:space="preserve">جامعة اليرموك </v>
      </c>
      <c r="AG6" s="1" t="str">
        <f>""</f>
        <v/>
      </c>
      <c r="AH6" s="1" t="str">
        <f>"Computer information systems "</f>
        <v xml:space="preserve">Computer information systems </v>
      </c>
      <c r="AI6" s="1" t="str">
        <f>"72.5"</f>
        <v>72.5</v>
      </c>
      <c r="AJ6" s="1" t="str">
        <f>"جيد"</f>
        <v>جيد</v>
      </c>
      <c r="AK6" s="1" t="str">
        <f>""</f>
        <v/>
      </c>
      <c r="AL6" s="1" t="str">
        <f>""</f>
        <v/>
      </c>
      <c r="AM6" s="1" t="str">
        <f>""</f>
        <v/>
      </c>
      <c r="AN6" s="1" t="str">
        <f>""</f>
        <v/>
      </c>
      <c r="AO6" s="1" t="str">
        <f>""</f>
        <v/>
      </c>
      <c r="AP6" s="1" t="str">
        <f>""</f>
        <v/>
      </c>
      <c r="AQ6" s="1" t="str">
        <f>""</f>
        <v/>
      </c>
      <c r="AR6" s="1" t="str">
        <f>""</f>
        <v/>
      </c>
      <c r="AS6" s="1" t="str">
        <f>""</f>
        <v/>
      </c>
      <c r="AT6" s="1" t="str">
        <f>""</f>
        <v/>
      </c>
      <c r="AU6" s="1" t="str">
        <f>""</f>
        <v/>
      </c>
      <c r="AV6" s="1" t="str">
        <f>""</f>
        <v/>
      </c>
      <c r="AW6" s="1" t="str">
        <f>"Altaybeh secondary school"</f>
        <v>Altaybeh secondary school</v>
      </c>
      <c r="AX6" s="1" t="str">
        <f>"Secondary "</f>
        <v xml:space="preserve">Secondary </v>
      </c>
      <c r="AY6" s="1" t="str">
        <f>"Jordan "</f>
        <v xml:space="preserve">Jordan </v>
      </c>
      <c r="AZ6" s="1" t="str">
        <f>"85.6"</f>
        <v>85.6</v>
      </c>
    </row>
    <row r="7" spans="1:52" x14ac:dyDescent="0.25">
      <c r="A7" s="1">
        <v>6</v>
      </c>
      <c r="B7" s="1" t="str">
        <f>"majdzghoul103@yahoo.com"</f>
        <v>majdzghoul103@yahoo.com</v>
      </c>
      <c r="C7" s="1" t="str">
        <f>"2015-01-18 07:47:39 UTC"</f>
        <v>2015-01-18 07:47:39 UTC</v>
      </c>
      <c r="D7" s="1" t="str">
        <f>"مجد حسن عبدالقادر  الزغول"</f>
        <v>مجد حسن عبدالقادر  الزغول</v>
      </c>
      <c r="E7" s="1" t="str">
        <f>"34"</f>
        <v>34</v>
      </c>
      <c r="F7" s="1" t="str">
        <f>"معلمة حاسوب"</f>
        <v>معلمة حاسوب</v>
      </c>
      <c r="G7" s="1" t="str">
        <f>"2"</f>
        <v>2</v>
      </c>
      <c r="H7" s="1" t="str">
        <f>"أنثى"</f>
        <v>أنثى</v>
      </c>
      <c r="I7" s="1" t="str">
        <f>"الأردن;عمان;مواطن"</f>
        <v>الأردن;عمان;مواطن</v>
      </c>
      <c r="J7" s="1" t="str">
        <f>"18-11-1991"</f>
        <v>18-11-1991</v>
      </c>
      <c r="K7" s="1" t="str">
        <f>"تكنولوجيا المعلومات - الشبكات"</f>
        <v>تكنولوجيا المعلومات - الشبكات</v>
      </c>
      <c r="L7" s="1" t="str">
        <f t="shared" si="0"/>
        <v>career_connect</v>
      </c>
      <c r="M7" s="1" t="str">
        <f>"معلمة حاسوب في اكاديمية ريماس الدولية"</f>
        <v>معلمة حاسوب في اكاديمية ريماس الدولية</v>
      </c>
      <c r="N7" s="1" t="str">
        <f>"التعليم و التدريب"</f>
        <v>التعليم و التدريب</v>
      </c>
      <c r="O7" s="1" t="str">
        <f>""</f>
        <v/>
      </c>
      <c r="P7" s="1" t="str">
        <f>"لا"</f>
        <v>لا</v>
      </c>
      <c r="Q7" s="1" t="str">
        <f>"نعم"</f>
        <v>نعم</v>
      </c>
      <c r="R7" s="1" t="str">
        <f>"لا"</f>
        <v>لا</v>
      </c>
      <c r="S7" s="1" t="str">
        <f>"لا"</f>
        <v>لا</v>
      </c>
      <c r="T7" s="1" t="str">
        <f>"متزوج"</f>
        <v>متزوج</v>
      </c>
      <c r="U7" s="1" t="str">
        <f t="shared" si="2"/>
        <v>أردني</v>
      </c>
      <c r="V7" s="1" t="str">
        <f>"9912046159"</f>
        <v>9912046159</v>
      </c>
      <c r="W7" s="1" t="str">
        <f>"962797597368"</f>
        <v>962797597368</v>
      </c>
      <c r="X7" s="1" t="str">
        <f t="shared" ref="X7:X16" si="4">"بكالوريوس جامعي"</f>
        <v>بكالوريوس جامعي</v>
      </c>
      <c r="Y7" s="1" t="str">
        <f>""</f>
        <v/>
      </c>
      <c r="Z7" s="1" t="str">
        <f>""</f>
        <v/>
      </c>
      <c r="AA7" s="1" t="str">
        <f>""</f>
        <v/>
      </c>
      <c r="AB7" s="1" t="str">
        <f>""</f>
        <v/>
      </c>
      <c r="AC7" s="1" t="str">
        <f>""</f>
        <v/>
      </c>
      <c r="AD7" s="1" t="str">
        <f>""</f>
        <v/>
      </c>
      <c r="AE7" s="1" t="str">
        <f t="shared" si="3"/>
        <v>الأردن</v>
      </c>
      <c r="AF7" s="1" t="str">
        <f>"جامعة اليرموك "</f>
        <v xml:space="preserve">جامعة اليرموك </v>
      </c>
      <c r="AG7" s="1" t="str">
        <f>""</f>
        <v/>
      </c>
      <c r="AH7" s="1" t="str">
        <f>"علوم الحاسوب الالي "</f>
        <v xml:space="preserve">علوم الحاسوب الالي </v>
      </c>
      <c r="AI7" s="1" t="str">
        <f>"79"</f>
        <v>79</v>
      </c>
      <c r="AJ7" s="1" t="str">
        <f>"جيد جدا "</f>
        <v xml:space="preserve">جيد جدا </v>
      </c>
      <c r="AK7" s="1" t="str">
        <f>""</f>
        <v/>
      </c>
      <c r="AL7" s="1" t="str">
        <f>""</f>
        <v/>
      </c>
      <c r="AM7" s="1" t="str">
        <f>""</f>
        <v/>
      </c>
      <c r="AN7" s="1" t="str">
        <f>""</f>
        <v/>
      </c>
      <c r="AO7" s="1" t="str">
        <f>""</f>
        <v/>
      </c>
      <c r="AP7" s="1" t="str">
        <f>""</f>
        <v/>
      </c>
      <c r="AQ7" s="1" t="str">
        <f>""</f>
        <v/>
      </c>
      <c r="AR7" s="1" t="str">
        <f>""</f>
        <v/>
      </c>
      <c r="AS7" s="1" t="str">
        <f>""</f>
        <v/>
      </c>
      <c r="AT7" s="1" t="str">
        <f>""</f>
        <v/>
      </c>
      <c r="AU7" s="1" t="str">
        <f>""</f>
        <v/>
      </c>
      <c r="AV7" s="1" t="str">
        <f>""</f>
        <v/>
      </c>
      <c r="AW7" s="1" t="str">
        <f>"عنجره الثانويه للبنات"</f>
        <v>عنجره الثانويه للبنات</v>
      </c>
      <c r="AX7" s="1" t="str">
        <f>"ثانويه عامه"</f>
        <v>ثانويه عامه</v>
      </c>
      <c r="AY7" s="1" t="str">
        <f>"عجلون"</f>
        <v>عجلون</v>
      </c>
      <c r="AZ7" s="1" t="str">
        <f>"89"</f>
        <v>89</v>
      </c>
    </row>
    <row r="8" spans="1:52" x14ac:dyDescent="0.25">
      <c r="A8" s="1">
        <v>7</v>
      </c>
      <c r="B8" s="1" t="str">
        <f>"moath.eswed@yahoo.com"</f>
        <v>moath.eswed@yahoo.com</v>
      </c>
      <c r="C8" s="1" t="str">
        <f>"2015-07-16 15:19:21 UTC"</f>
        <v>2015-07-16 15:19:21 UTC</v>
      </c>
      <c r="D8" s="1" t="str">
        <f>"Muath Mohammed Mutafa Al iswed"</f>
        <v>Muath Mohammed Mutafa Al iswed</v>
      </c>
      <c r="E8" s="1" t="str">
        <f>"35"</f>
        <v>35</v>
      </c>
      <c r="F8" s="1" t="str">
        <f>"php developer/power bi developer/SQL"</f>
        <v>php developer/power bi developer/SQL</v>
      </c>
      <c r="G8" s="1" t="str">
        <f>"6"</f>
        <v>6</v>
      </c>
      <c r="H8" s="1" t="str">
        <f>"ذكر"</f>
        <v>ذكر</v>
      </c>
      <c r="I8" s="1" t="str">
        <f>"الأردن;عمان;مواطن"</f>
        <v>الأردن;عمان;مواطن</v>
      </c>
      <c r="J8" s="1" t="str">
        <f>"01-11-1990"</f>
        <v>01-11-1990</v>
      </c>
      <c r="K8" s="1" t="str">
        <f>"تكنولوجيا المعلومات - البرمجيات و تطوير مواقع الإنترنت"</f>
        <v>تكنولوجيا المعلومات - البرمجيات و تطوير مواقع الإنترنت</v>
      </c>
      <c r="L8" s="1" t="str">
        <f t="shared" si="0"/>
        <v>career_connect</v>
      </c>
      <c r="M8" s="1" t="str">
        <f>"php developer/power bi developer/SQL في Riverprime ltd"</f>
        <v>php developer/power bi developer/SQL في Riverprime ltd</v>
      </c>
      <c r="N8" s="1" t="str">
        <f>"تكنولوجيا المعلومات و الحاسوب - البرمجيات و تطوير مواقع الإنترنت"</f>
        <v>تكنولوجيا المعلومات و الحاسوب - البرمجيات و تطوير مواقع الإنترنت</v>
      </c>
      <c r="O8" s="1" t="str">
        <f>""</f>
        <v/>
      </c>
      <c r="P8" s="1" t="str">
        <f>"نعم"</f>
        <v>نعم</v>
      </c>
      <c r="Q8" s="1" t="str">
        <f>"لا"</f>
        <v>لا</v>
      </c>
      <c r="R8" s="1" t="str">
        <f>"نعم"</f>
        <v>نعم</v>
      </c>
      <c r="S8" s="1" t="str">
        <f t="shared" ref="S8:S64" si="5">"لا"</f>
        <v>لا</v>
      </c>
      <c r="T8" s="1" t="str">
        <f>"متزوج"</f>
        <v>متزوج</v>
      </c>
      <c r="U8" s="1" t="str">
        <f t="shared" si="2"/>
        <v>أردني</v>
      </c>
      <c r="V8" s="1" t="str">
        <f>"99010"</f>
        <v>99010</v>
      </c>
      <c r="W8" s="1" t="str">
        <f>"0795202545"</f>
        <v>0795202545</v>
      </c>
      <c r="X8" s="1" t="str">
        <f t="shared" si="4"/>
        <v>بكالوريوس جامعي</v>
      </c>
      <c r="Y8" s="1" t="str">
        <f>""</f>
        <v/>
      </c>
      <c r="Z8" s="1" t="str">
        <f>""</f>
        <v/>
      </c>
      <c r="AA8" s="1" t="str">
        <f>""</f>
        <v/>
      </c>
      <c r="AB8" s="1" t="str">
        <f>""</f>
        <v/>
      </c>
      <c r="AC8" s="1" t="str">
        <f>""</f>
        <v/>
      </c>
      <c r="AD8" s="1" t="str">
        <f>""</f>
        <v/>
      </c>
      <c r="AE8" s="1" t="str">
        <f t="shared" si="3"/>
        <v>الأردن</v>
      </c>
      <c r="AF8" s="1" t="str">
        <f>"جامعة البترا"</f>
        <v>جامعة البترا</v>
      </c>
      <c r="AG8" s="1" t="str">
        <f>""</f>
        <v/>
      </c>
      <c r="AH8" s="1" t="str">
        <f>"Software engineer"</f>
        <v>Software engineer</v>
      </c>
      <c r="AI8" s="1" t="str">
        <f>"2.67"</f>
        <v>2.67</v>
      </c>
      <c r="AJ8" s="1" t="str">
        <f t="shared" ref="AJ8:AJ13" si="6">"جيد"</f>
        <v>جيد</v>
      </c>
      <c r="AK8" s="1" t="str">
        <f>""</f>
        <v/>
      </c>
      <c r="AL8" s="1" t="str">
        <f>""</f>
        <v/>
      </c>
      <c r="AM8" s="1" t="str">
        <f>""</f>
        <v/>
      </c>
      <c r="AN8" s="1" t="str">
        <f>""</f>
        <v/>
      </c>
      <c r="AO8" s="1" t="str">
        <f>""</f>
        <v/>
      </c>
      <c r="AP8" s="1" t="str">
        <f>""</f>
        <v/>
      </c>
      <c r="AQ8" s="1" t="str">
        <f>""</f>
        <v/>
      </c>
      <c r="AR8" s="1" t="str">
        <f>""</f>
        <v/>
      </c>
      <c r="AS8" s="1" t="str">
        <f>""</f>
        <v/>
      </c>
      <c r="AT8" s="1" t="str">
        <f>""</f>
        <v/>
      </c>
      <c r="AU8" s="1" t="str">
        <f>""</f>
        <v/>
      </c>
      <c r="AV8" s="1" t="str">
        <f>""</f>
        <v/>
      </c>
      <c r="AW8" s="1" t="str">
        <f>"AL Rashad High school"</f>
        <v>AL Rashad High school</v>
      </c>
      <c r="AX8" s="1" t="str">
        <f>"High school"</f>
        <v>High school</v>
      </c>
      <c r="AY8" s="1" t="str">
        <f>"Jordan"</f>
        <v>Jordan</v>
      </c>
      <c r="AZ8" s="1" t="str">
        <f>"75"</f>
        <v>75</v>
      </c>
    </row>
    <row r="9" spans="1:52" x14ac:dyDescent="0.25">
      <c r="A9" s="1">
        <v>8</v>
      </c>
      <c r="B9" s="1" t="str">
        <f>"ahmads_rawashdeh@yahoo.com"</f>
        <v>ahmads_rawashdeh@yahoo.com</v>
      </c>
      <c r="C9" s="1" t="str">
        <f>"2015-10-22 09:22:40 UTC"</f>
        <v>2015-10-22 09:22:40 UTC</v>
      </c>
      <c r="D9" s="1" t="str">
        <f>"ahmad Mohammed Mohammed Rawashdeh"</f>
        <v>ahmad Mohammed Mohammed Rawashdeh</v>
      </c>
      <c r="E9" s="1" t="str">
        <f>"33"</f>
        <v>33</v>
      </c>
      <c r="F9" s="1" t="str">
        <f>"Information Management Officer"</f>
        <v>Information Management Officer</v>
      </c>
      <c r="G9" s="1" t="str">
        <f>"7"</f>
        <v>7</v>
      </c>
      <c r="H9" s="1" t="str">
        <f>"ذكر"</f>
        <v>ذكر</v>
      </c>
      <c r="I9" s="1" t="str">
        <f>"الأردن;عمان;مواطن"</f>
        <v>الأردن;عمان;مواطن</v>
      </c>
      <c r="J9" s="1" t="str">
        <f>"15-02-1992"</f>
        <v>15-02-1992</v>
      </c>
      <c r="K9" s="1" t="str">
        <f>"translation missing: ar.all_job_role_names.information_management"</f>
        <v>translation missing: ar.all_job_role_names.information_management</v>
      </c>
      <c r="L9" s="1" t="str">
        <f t="shared" si="0"/>
        <v>career_connect</v>
      </c>
      <c r="M9" s="1" t="str">
        <f>"Informفيion Management Officer في NORWEGIAN REFUGEE COUNCIL"</f>
        <v>Informفيion Management Officer في NORWEGIAN REFUGEE COUNCIL</v>
      </c>
      <c r="N9" s="1" t="str">
        <f>"المنظمات غير الربحية والخدمات الاجتماعية"</f>
        <v>المنظمات غير الربحية والخدمات الاجتماعية</v>
      </c>
      <c r="O9" s="1" t="str">
        <f>""</f>
        <v/>
      </c>
      <c r="P9" s="1" t="str">
        <f>"لا"</f>
        <v>لا</v>
      </c>
      <c r="Q9" s="1" t="str">
        <f>"لا"</f>
        <v>لا</v>
      </c>
      <c r="R9" s="1" t="str">
        <f>"نعم"</f>
        <v>نعم</v>
      </c>
      <c r="S9" s="1" t="str">
        <f t="shared" si="5"/>
        <v>لا</v>
      </c>
      <c r="T9" s="1" t="str">
        <f>"متزوج"</f>
        <v>متزوج</v>
      </c>
      <c r="U9" s="1" t="str">
        <f t="shared" si="2"/>
        <v>أردني</v>
      </c>
      <c r="V9" s="1" t="str">
        <f>"9921009636"</f>
        <v>9921009636</v>
      </c>
      <c r="W9" s="1" t="str">
        <f>"0791016283"</f>
        <v>0791016283</v>
      </c>
      <c r="X9" s="1" t="str">
        <f t="shared" si="4"/>
        <v>بكالوريوس جامعي</v>
      </c>
      <c r="Y9" s="1" t="str">
        <f>""</f>
        <v/>
      </c>
      <c r="Z9" s="1" t="str">
        <f>""</f>
        <v/>
      </c>
      <c r="AA9" s="1" t="str">
        <f>""</f>
        <v/>
      </c>
      <c r="AB9" s="1" t="str">
        <f>""</f>
        <v/>
      </c>
      <c r="AC9" s="1" t="str">
        <f>""</f>
        <v/>
      </c>
      <c r="AD9" s="1" t="str">
        <f>""</f>
        <v/>
      </c>
      <c r="AE9" s="1" t="str">
        <f t="shared" si="3"/>
        <v>الأردن</v>
      </c>
      <c r="AF9" s="1" t="str">
        <f>"جامعة اليرموك "</f>
        <v xml:space="preserve">جامعة اليرموك </v>
      </c>
      <c r="AG9" s="1" t="str">
        <f>""</f>
        <v/>
      </c>
      <c r="AH9" s="1" t="str">
        <f>"Computer Information system"</f>
        <v>Computer Information system</v>
      </c>
      <c r="AI9" s="1" t="str">
        <f>"4"</f>
        <v>4</v>
      </c>
      <c r="AJ9" s="1" t="str">
        <f t="shared" si="6"/>
        <v>جيد</v>
      </c>
      <c r="AK9" s="1" t="str">
        <f>""</f>
        <v/>
      </c>
      <c r="AL9" s="1" t="str">
        <f>""</f>
        <v/>
      </c>
      <c r="AM9" s="1" t="str">
        <f>""</f>
        <v/>
      </c>
      <c r="AN9" s="1" t="str">
        <f>""</f>
        <v/>
      </c>
      <c r="AO9" s="1" t="str">
        <f>""</f>
        <v/>
      </c>
      <c r="AP9" s="1" t="str">
        <f>""</f>
        <v/>
      </c>
      <c r="AQ9" s="1" t="str">
        <f>""</f>
        <v/>
      </c>
      <c r="AR9" s="1" t="str">
        <f>""</f>
        <v/>
      </c>
      <c r="AS9" s="1" t="str">
        <f>""</f>
        <v/>
      </c>
      <c r="AT9" s="1" t="str">
        <f>""</f>
        <v/>
      </c>
      <c r="AU9" s="1" t="str">
        <f>""</f>
        <v/>
      </c>
      <c r="AV9" s="1" t="str">
        <f>""</f>
        <v/>
      </c>
      <c r="AW9" s="1" t="str">
        <f>"Hettin"</f>
        <v>Hettin</v>
      </c>
      <c r="AX9" s="1" t="str">
        <f>"Secondery"</f>
        <v>Secondery</v>
      </c>
      <c r="AY9" s="1" t="str">
        <f>"Jordan"</f>
        <v>Jordan</v>
      </c>
      <c r="AZ9" s="1" t="str">
        <f>"4"</f>
        <v>4</v>
      </c>
    </row>
    <row r="10" spans="1:52" x14ac:dyDescent="0.25">
      <c r="A10" s="1">
        <v>9</v>
      </c>
      <c r="B10" s="1" t="str">
        <f>"mariam.alyateem@gmail.com"</f>
        <v>mariam.alyateem@gmail.com</v>
      </c>
      <c r="C10" s="1" t="str">
        <f>"2015-10-27 09:41:14 UTC"</f>
        <v>2015-10-27 09:41:14 UTC</v>
      </c>
      <c r="D10" s="1" t="str">
        <f>"Mariam Suleiman Tawfiq Elyateem"</f>
        <v>Mariam Suleiman Tawfiq Elyateem</v>
      </c>
      <c r="E10" s="1" t="str">
        <f>"32"</f>
        <v>32</v>
      </c>
      <c r="F10" s="1" t="str">
        <f>"Senior Data Officer"</f>
        <v>Senior Data Officer</v>
      </c>
      <c r="G10" s="1" t="str">
        <f>"7"</f>
        <v>7</v>
      </c>
      <c r="H10" s="1" t="str">
        <f t="shared" ref="H10:H15" si="7">"أنثى"</f>
        <v>أنثى</v>
      </c>
      <c r="I10" s="1" t="str">
        <f>"الأردن;البلقاء;مواطن"</f>
        <v>الأردن;البلقاء;مواطن</v>
      </c>
      <c r="J10" s="1" t="str">
        <f>"16-08-1993"</f>
        <v>16-08-1993</v>
      </c>
      <c r="K10" s="1" t="str">
        <f>"translation missing: ar.all_job_role_names.information_management"</f>
        <v>translation missing: ar.all_job_role_names.information_management</v>
      </c>
      <c r="L10" s="1" t="str">
        <f t="shared" si="0"/>
        <v>career_connect</v>
      </c>
      <c r="M10" s="1" t="str">
        <f>"Senior Dفيa Officer في Reach Initiفيive"</f>
        <v>Senior Dفيa Officer في Reach Initiفيive</v>
      </c>
      <c r="N10" s="1" t="str">
        <f>"المنظمات غير الربحية والخدمات الاجتماعية"</f>
        <v>المنظمات غير الربحية والخدمات الاجتماعية</v>
      </c>
      <c r="O10" s="1" t="str">
        <f>""</f>
        <v/>
      </c>
      <c r="P10" s="1" t="str">
        <f>"نعم"</f>
        <v>نعم</v>
      </c>
      <c r="Q10" s="1" t="str">
        <f>"لا"</f>
        <v>لا</v>
      </c>
      <c r="R10" s="1" t="str">
        <f t="shared" ref="R10:R52" si="8">"لا"</f>
        <v>لا</v>
      </c>
      <c r="S10" s="1" t="str">
        <f t="shared" si="5"/>
        <v>لا</v>
      </c>
      <c r="T10" s="1" t="str">
        <f>"متزوج"</f>
        <v>متزوج</v>
      </c>
      <c r="U10" s="1" t="str">
        <f t="shared" si="2"/>
        <v>أردني</v>
      </c>
      <c r="V10" s="1" t="str">
        <f>"9932061091"</f>
        <v>9932061091</v>
      </c>
      <c r="W10" s="1" t="str">
        <f>"0799486147"</f>
        <v>0799486147</v>
      </c>
      <c r="X10" s="1" t="str">
        <f t="shared" si="4"/>
        <v>بكالوريوس جامعي</v>
      </c>
      <c r="Y10" s="1" t="str">
        <f>""</f>
        <v/>
      </c>
      <c r="Z10" s="1" t="str">
        <f>""</f>
        <v/>
      </c>
      <c r="AA10" s="1" t="str">
        <f>""</f>
        <v/>
      </c>
      <c r="AB10" s="1" t="str">
        <f>""</f>
        <v/>
      </c>
      <c r="AC10" s="1" t="str">
        <f>""</f>
        <v/>
      </c>
      <c r="AD10" s="1" t="str">
        <f>""</f>
        <v/>
      </c>
      <c r="AE10" s="1" t="str">
        <f t="shared" si="3"/>
        <v>الأردن</v>
      </c>
      <c r="AF10" s="1" t="str">
        <f>"الجامعة الاردنية "</f>
        <v xml:space="preserve">الجامعة الاردنية </v>
      </c>
      <c r="AG10" s="1" t="str">
        <f>""</f>
        <v/>
      </c>
      <c r="AH10" s="1" t="str">
        <f>"Computer Information Systems"</f>
        <v>Computer Information Systems</v>
      </c>
      <c r="AI10" s="1" t="str">
        <f>"2.58"</f>
        <v>2.58</v>
      </c>
      <c r="AJ10" s="1" t="str">
        <f t="shared" si="6"/>
        <v>جيد</v>
      </c>
      <c r="AK10" s="1" t="str">
        <f>""</f>
        <v/>
      </c>
      <c r="AL10" s="1" t="str">
        <f>""</f>
        <v/>
      </c>
      <c r="AM10" s="1" t="str">
        <f>""</f>
        <v/>
      </c>
      <c r="AN10" s="1" t="str">
        <f>""</f>
        <v/>
      </c>
      <c r="AO10" s="1" t="str">
        <f>""</f>
        <v/>
      </c>
      <c r="AP10" s="1" t="str">
        <f>""</f>
        <v/>
      </c>
      <c r="AQ10" s="1" t="str">
        <f>""</f>
        <v/>
      </c>
      <c r="AR10" s="1" t="str">
        <f>""</f>
        <v/>
      </c>
      <c r="AS10" s="1" t="str">
        <f>""</f>
        <v/>
      </c>
      <c r="AT10" s="1" t="str">
        <f>""</f>
        <v/>
      </c>
      <c r="AU10" s="1" t="str">
        <f>""</f>
        <v/>
      </c>
      <c r="AV10" s="1" t="str">
        <f>""</f>
        <v/>
      </c>
      <c r="AW10" s="1" t="str">
        <f>"National Orthodox School"</f>
        <v>National Orthodox School</v>
      </c>
      <c r="AX10" s="1" t="str">
        <f>"High school "</f>
        <v xml:space="preserve">High school </v>
      </c>
      <c r="AY10" s="1" t="str">
        <f>"Jordan"</f>
        <v>Jordan</v>
      </c>
      <c r="AZ10" s="1" t="str">
        <f>"85.2"</f>
        <v>85.2</v>
      </c>
    </row>
    <row r="11" spans="1:52" x14ac:dyDescent="0.25">
      <c r="A11" s="1">
        <v>10</v>
      </c>
      <c r="B11" s="1" t="str">
        <f>"aya.saadeh1994@gmail.com"</f>
        <v>aya.saadeh1994@gmail.com</v>
      </c>
      <c r="C11" s="1" t="str">
        <f>"2016-02-24 10:10:33 UTC"</f>
        <v>2016-02-24 10:10:33 UTC</v>
      </c>
      <c r="D11" s="1" t="str">
        <f>"ايه محمد عبدالفتاح احمد عبدالله"</f>
        <v>ايه محمد عبدالفتاح احمد عبدالله</v>
      </c>
      <c r="E11" s="1" t="str">
        <f>"31"</f>
        <v>31</v>
      </c>
      <c r="F11" s="1" t="str">
        <f>" Data entry specialist "</f>
        <v xml:space="preserve"> Data entry specialist </v>
      </c>
      <c r="G11" s="1" t="str">
        <f>"3"</f>
        <v>3</v>
      </c>
      <c r="H11" s="1" t="str">
        <f t="shared" si="7"/>
        <v>أنثى</v>
      </c>
      <c r="I11" s="1" t="str">
        <f>"الأردن;عمان;مواطن"</f>
        <v>الأردن;عمان;مواطن</v>
      </c>
      <c r="J11" s="1" t="str">
        <f>"23-01-1994"</f>
        <v>23-01-1994</v>
      </c>
      <c r="K11" s="1" t="str">
        <f>"تكنولوجيا المعلومات - البرمجيات و تطوير مواقع الإنترنت"</f>
        <v>تكنولوجيا المعلومات - البرمجيات و تطوير مواقع الإنترنت</v>
      </c>
      <c r="L11" s="1" t="str">
        <f t="shared" si="0"/>
        <v>career_connect</v>
      </c>
      <c r="M11" s="1" t="str">
        <f>" Dفيa entry specialist  في Raizn"</f>
        <v xml:space="preserve"> Dفيa entry specialist  في Raizn</v>
      </c>
      <c r="N11" s="1" t="str">
        <f>"تكنولوجيا المعلومات و الحاسوب - البرمجيات و تطوير مواقع الإنترنت"</f>
        <v>تكنولوجيا المعلومات و الحاسوب - البرمجيات و تطوير مواقع الإنترنت</v>
      </c>
      <c r="O11" s="1" t="str">
        <f>""</f>
        <v/>
      </c>
      <c r="P11" s="1" t="str">
        <f>"نعم"</f>
        <v>نعم</v>
      </c>
      <c r="Q11" s="1" t="str">
        <f>"لا"</f>
        <v>لا</v>
      </c>
      <c r="R11" s="1" t="str">
        <f t="shared" si="8"/>
        <v>لا</v>
      </c>
      <c r="S11" s="1" t="str">
        <f t="shared" si="5"/>
        <v>لا</v>
      </c>
      <c r="T11" s="1" t="str">
        <f t="shared" ref="T11:T16" si="9">"اعزب"</f>
        <v>اعزب</v>
      </c>
      <c r="U11" s="1" t="str">
        <f t="shared" si="2"/>
        <v>أردني</v>
      </c>
      <c r="V11" s="1" t="str">
        <f>"9942009685"</f>
        <v>9942009685</v>
      </c>
      <c r="W11" s="1" t="str">
        <f>"962797648423"</f>
        <v>962797648423</v>
      </c>
      <c r="X11" s="1" t="str">
        <f t="shared" si="4"/>
        <v>بكالوريوس جامعي</v>
      </c>
      <c r="Y11" s="1" t="str">
        <f>""</f>
        <v/>
      </c>
      <c r="Z11" s="1" t="str">
        <f>""</f>
        <v/>
      </c>
      <c r="AA11" s="1" t="str">
        <f>""</f>
        <v/>
      </c>
      <c r="AB11" s="1" t="str">
        <f>""</f>
        <v/>
      </c>
      <c r="AC11" s="1" t="str">
        <f>""</f>
        <v/>
      </c>
      <c r="AD11" s="1" t="str">
        <f>""</f>
        <v/>
      </c>
      <c r="AE11" s="1" t="str">
        <f t="shared" si="3"/>
        <v>الأردن</v>
      </c>
      <c r="AF11" s="1" t="str">
        <f>"الجامعة الهاشمية "</f>
        <v xml:space="preserve">الجامعة الهاشمية </v>
      </c>
      <c r="AG11" s="1" t="str">
        <f>""</f>
        <v/>
      </c>
      <c r="AH11" s="1" t="str">
        <f>"Biotechnology"</f>
        <v>Biotechnology</v>
      </c>
      <c r="AI11" s="1" t="str">
        <f>"66"</f>
        <v>66</v>
      </c>
      <c r="AJ11" s="1" t="str">
        <f t="shared" si="6"/>
        <v>جيد</v>
      </c>
      <c r="AK11" s="1" t="str">
        <f>""</f>
        <v/>
      </c>
      <c r="AL11" s="1" t="str">
        <f>""</f>
        <v/>
      </c>
      <c r="AM11" s="1" t="str">
        <f>""</f>
        <v/>
      </c>
      <c r="AN11" s="1" t="str">
        <f>""</f>
        <v/>
      </c>
      <c r="AO11" s="1" t="str">
        <f>""</f>
        <v/>
      </c>
      <c r="AP11" s="1" t="str">
        <f>""</f>
        <v/>
      </c>
      <c r="AQ11" s="1" t="str">
        <f>""</f>
        <v/>
      </c>
      <c r="AR11" s="1" t="str">
        <f>""</f>
        <v/>
      </c>
      <c r="AS11" s="1" t="str">
        <f>""</f>
        <v/>
      </c>
      <c r="AT11" s="1" t="str">
        <f>""</f>
        <v/>
      </c>
      <c r="AU11" s="1" t="str">
        <f>""</f>
        <v/>
      </c>
      <c r="AV11" s="1" t="str">
        <f>""</f>
        <v/>
      </c>
      <c r="AW11" s="1" t="str">
        <f>"الشفاء بنت عوف"</f>
        <v>الشفاء بنت عوف</v>
      </c>
      <c r="AX11" s="1" t="str">
        <f>"Graduated"</f>
        <v>Graduated</v>
      </c>
      <c r="AY11" s="1" t="str">
        <f>"Jordan"</f>
        <v>Jordan</v>
      </c>
      <c r="AZ11" s="1" t="str">
        <f>"83"</f>
        <v>83</v>
      </c>
    </row>
    <row r="12" spans="1:52" x14ac:dyDescent="0.25">
      <c r="A12" s="1">
        <v>11</v>
      </c>
      <c r="B12" s="1" t="str">
        <f>"leen.yakhlif@gmail.com"</f>
        <v>leen.yakhlif@gmail.com</v>
      </c>
      <c r="C12" s="1" t="str">
        <f>"2016-04-05 07:13:12 UTC"</f>
        <v>2016-04-05 07:13:12 UTC</v>
      </c>
      <c r="D12" s="1" t="str">
        <f>"Leen Mustafa Sanousi  Yakhlif"</f>
        <v>Leen Mustafa Sanousi  Yakhlif</v>
      </c>
      <c r="E12" s="1" t="str">
        <f>"33"</f>
        <v>33</v>
      </c>
      <c r="F12" s="1" t="str">
        <f>"HR Officer and social media moderator"</f>
        <v>HR Officer and social media moderator</v>
      </c>
      <c r="G12" s="1" t="str">
        <f>"9"</f>
        <v>9</v>
      </c>
      <c r="H12" s="1" t="str">
        <f t="shared" si="7"/>
        <v>أنثى</v>
      </c>
      <c r="I12" s="1" t="str">
        <f>"الأردن;عمان;مواطن"</f>
        <v>الأردن;عمان;مواطن</v>
      </c>
      <c r="J12" s="1" t="str">
        <f>"08-05-1992"</f>
        <v>08-05-1992</v>
      </c>
      <c r="K12" s="1" t="str">
        <f>"الموارد البشرية"</f>
        <v>الموارد البشرية</v>
      </c>
      <c r="L12" s="1" t="str">
        <f t="shared" si="0"/>
        <v>career_connect</v>
      </c>
      <c r="M12" s="1" t="str">
        <f>"HR Officer and social media moderفيor في Al-Kawn for radio and tv broadcasting "</f>
        <v xml:space="preserve">HR Officer and social media moderفيor في Al-Kawn for radio and tv broadcasting </v>
      </c>
      <c r="N12" s="1" t="str">
        <f>"الترفيه و الإعلام"</f>
        <v>الترفيه و الإعلام</v>
      </c>
      <c r="O12" s="1" t="str">
        <f>"Note 0: chemical test on 1/11/2018Note 1: chemical test on 1/11/2018"</f>
        <v>Note 0: chemical test on 1/11/2018Note 1: chemical test on 1/11/2018</v>
      </c>
      <c r="P12" s="1" t="str">
        <f>"لا"</f>
        <v>لا</v>
      </c>
      <c r="Q12" s="1" t="str">
        <f>"لا"</f>
        <v>لا</v>
      </c>
      <c r="R12" s="1" t="str">
        <f t="shared" si="8"/>
        <v>لا</v>
      </c>
      <c r="S12" s="1" t="str">
        <f t="shared" si="5"/>
        <v>لا</v>
      </c>
      <c r="T12" s="1" t="str">
        <f t="shared" si="9"/>
        <v>اعزب</v>
      </c>
      <c r="U12" s="1" t="str">
        <f t="shared" si="2"/>
        <v>أردني</v>
      </c>
      <c r="V12" s="1" t="str">
        <f>"9922021297"</f>
        <v>9922021297</v>
      </c>
      <c r="W12" s="1" t="str">
        <f>"0772313188"</f>
        <v>0772313188</v>
      </c>
      <c r="X12" s="1" t="str">
        <f t="shared" si="4"/>
        <v>بكالوريوس جامعي</v>
      </c>
      <c r="Y12" s="1" t="str">
        <f>""</f>
        <v/>
      </c>
      <c r="Z12" s="1" t="str">
        <f>""</f>
        <v/>
      </c>
      <c r="AA12" s="1" t="str">
        <f>""</f>
        <v/>
      </c>
      <c r="AB12" s="1" t="str">
        <f>""</f>
        <v/>
      </c>
      <c r="AC12" s="1" t="str">
        <f>""</f>
        <v/>
      </c>
      <c r="AD12" s="1" t="str">
        <f>""</f>
        <v/>
      </c>
      <c r="AE12" s="1" t="str">
        <f t="shared" si="3"/>
        <v>الأردن</v>
      </c>
      <c r="AF12" s="1" t="str">
        <f>"جامعة الطفيلة التقنية "</f>
        <v xml:space="preserve">جامعة الطفيلة التقنية </v>
      </c>
      <c r="AG12" s="1" t="str">
        <f>""</f>
        <v/>
      </c>
      <c r="AH12" s="1" t="str">
        <f>"Chemistry "</f>
        <v xml:space="preserve">Chemistry </v>
      </c>
      <c r="AI12" s="1" t="str">
        <f>"67.2"</f>
        <v>67.2</v>
      </c>
      <c r="AJ12" s="1" t="str">
        <f t="shared" si="6"/>
        <v>جيد</v>
      </c>
      <c r="AK12" s="1" t="str">
        <f>""</f>
        <v/>
      </c>
      <c r="AL12" s="1" t="str">
        <f>""</f>
        <v/>
      </c>
      <c r="AM12" s="1" t="str">
        <f>""</f>
        <v/>
      </c>
      <c r="AN12" s="1" t="str">
        <f>""</f>
        <v/>
      </c>
      <c r="AO12" s="1" t="str">
        <f>""</f>
        <v/>
      </c>
      <c r="AP12" s="1" t="str">
        <f>""</f>
        <v/>
      </c>
      <c r="AQ12" s="1" t="str">
        <f>""</f>
        <v/>
      </c>
      <c r="AR12" s="1" t="str">
        <f>""</f>
        <v/>
      </c>
      <c r="AS12" s="1" t="str">
        <f>""</f>
        <v/>
      </c>
      <c r="AT12" s="1" t="str">
        <f>""</f>
        <v/>
      </c>
      <c r="AU12" s="1" t="str">
        <f>""</f>
        <v/>
      </c>
      <c r="AV12" s="1" t="str">
        <f>""</f>
        <v/>
      </c>
      <c r="AW12" s="1" t="str">
        <f>"***"</f>
        <v>***</v>
      </c>
      <c r="AX12" s="1" t="str">
        <f>"***"</f>
        <v>***</v>
      </c>
      <c r="AY12" s="1" t="str">
        <f>"***"</f>
        <v>***</v>
      </c>
      <c r="AZ12" s="1" t="str">
        <f>"72.8"</f>
        <v>72.8</v>
      </c>
    </row>
    <row r="13" spans="1:52" x14ac:dyDescent="0.25">
      <c r="A13" s="1">
        <v>12</v>
      </c>
      <c r="B13" s="1" t="str">
        <f>"asmamagaleha993@gmail.com"</f>
        <v>asmamagaleha993@gmail.com</v>
      </c>
      <c r="C13" s="1" t="str">
        <f>"2017-08-24 11:11:14 UTC"</f>
        <v>2017-08-24 11:11:14 UTC</v>
      </c>
      <c r="D13" s="1" t="str">
        <f>"اسماء  جابر  محمد  بني موسى "</f>
        <v xml:space="preserve">اسماء  جابر  محمد  بني موسى </v>
      </c>
      <c r="E13" s="1" t="str">
        <f>"32"</f>
        <v>32</v>
      </c>
      <c r="F13" s="1" t="str">
        <f>"إدخال بيانات"</f>
        <v>إدخال بيانات</v>
      </c>
      <c r="G13" s="1" t="str">
        <f>"4"</f>
        <v>4</v>
      </c>
      <c r="H13" s="1" t="str">
        <f t="shared" si="7"/>
        <v>أنثى</v>
      </c>
      <c r="I13" s="1" t="str">
        <f>"الأردن;المفرق;مواطن"</f>
        <v>الأردن;المفرق;مواطن</v>
      </c>
      <c r="J13" s="1" t="str">
        <f>"12-06-1993"</f>
        <v>12-06-1993</v>
      </c>
      <c r="K13" s="1" t="str">
        <f>"خدمة العملاء"</f>
        <v>خدمة العملاء</v>
      </c>
      <c r="L13" s="1" t="str">
        <f t="shared" si="0"/>
        <v>career_connect</v>
      </c>
      <c r="M13" s="1" t="str">
        <f>"إدخال بيانات في جامعة اليرموك "</f>
        <v xml:space="preserve">إدخال بيانات في جامعة اليرموك </v>
      </c>
      <c r="N13" s="1" t="str">
        <f>"مجموعة متنوعة"</f>
        <v>مجموعة متنوعة</v>
      </c>
      <c r="O13" s="1" t="str">
        <f>""</f>
        <v/>
      </c>
      <c r="P13" s="1" t="str">
        <f>"لا"</f>
        <v>لا</v>
      </c>
      <c r="Q13" s="1" t="str">
        <f>"نعم"</f>
        <v>نعم</v>
      </c>
      <c r="R13" s="1" t="str">
        <f t="shared" si="8"/>
        <v>لا</v>
      </c>
      <c r="S13" s="1" t="str">
        <f t="shared" si="5"/>
        <v>لا</v>
      </c>
      <c r="T13" s="1" t="str">
        <f t="shared" si="9"/>
        <v>اعزب</v>
      </c>
      <c r="U13" s="1" t="str">
        <f t="shared" si="2"/>
        <v>أردني</v>
      </c>
      <c r="V13" s="1" t="str">
        <f>"9932035301"</f>
        <v>9932035301</v>
      </c>
      <c r="W13" s="1" t="str">
        <f>"0775589508"</f>
        <v>0775589508</v>
      </c>
      <c r="X13" s="1" t="str">
        <f t="shared" si="4"/>
        <v>بكالوريوس جامعي</v>
      </c>
      <c r="Y13" s="1" t="str">
        <f>""</f>
        <v/>
      </c>
      <c r="Z13" s="1" t="str">
        <f>""</f>
        <v/>
      </c>
      <c r="AA13" s="1" t="str">
        <f>""</f>
        <v/>
      </c>
      <c r="AB13" s="1" t="str">
        <f>""</f>
        <v/>
      </c>
      <c r="AC13" s="1" t="str">
        <f>""</f>
        <v/>
      </c>
      <c r="AD13" s="1" t="str">
        <f>""</f>
        <v/>
      </c>
      <c r="AE13" s="1" t="str">
        <f t="shared" si="3"/>
        <v>الأردن</v>
      </c>
      <c r="AF13" s="1" t="str">
        <f>"جامعة اليرموك "</f>
        <v xml:space="preserve">جامعة اليرموك </v>
      </c>
      <c r="AG13" s="1" t="str">
        <f>""</f>
        <v/>
      </c>
      <c r="AH13" s="1" t="str">
        <f>"احصاء "</f>
        <v xml:space="preserve">احصاء </v>
      </c>
      <c r="AI13" s="1" t="str">
        <f>"77.7"</f>
        <v>77.7</v>
      </c>
      <c r="AJ13" s="1" t="str">
        <f t="shared" si="6"/>
        <v>جيد</v>
      </c>
      <c r="AK13" s="1" t="str">
        <f>""</f>
        <v/>
      </c>
      <c r="AL13" s="1" t="str">
        <f>""</f>
        <v/>
      </c>
      <c r="AM13" s="1" t="str">
        <f>""</f>
        <v/>
      </c>
      <c r="AN13" s="1" t="str">
        <f>""</f>
        <v/>
      </c>
      <c r="AO13" s="1" t="str">
        <f>""</f>
        <v/>
      </c>
      <c r="AP13" s="1" t="str">
        <f>""</f>
        <v/>
      </c>
      <c r="AQ13" s="1" t="str">
        <f>""</f>
        <v/>
      </c>
      <c r="AR13" s="1" t="str">
        <f>""</f>
        <v/>
      </c>
      <c r="AS13" s="1" t="str">
        <f>""</f>
        <v/>
      </c>
      <c r="AT13" s="1" t="str">
        <f>""</f>
        <v/>
      </c>
      <c r="AU13" s="1" t="str">
        <f>""</f>
        <v/>
      </c>
      <c r="AV13" s="1" t="str">
        <f>""</f>
        <v/>
      </c>
      <c r="AW13" s="1" t="str">
        <f>"بليلا الثانويه الشامله للبنات "</f>
        <v xml:space="preserve">بليلا الثانويه الشامله للبنات </v>
      </c>
      <c r="AX13" s="1" t="str">
        <f>"توجيهي/علمي"</f>
        <v>توجيهي/علمي</v>
      </c>
      <c r="AY13" s="1" t="str">
        <f>"جرش"</f>
        <v>جرش</v>
      </c>
      <c r="AZ13" s="1" t="str">
        <f>"94"</f>
        <v>94</v>
      </c>
    </row>
    <row r="14" spans="1:52" x14ac:dyDescent="0.25">
      <c r="A14" s="1">
        <v>13</v>
      </c>
      <c r="B14" s="1" t="str">
        <f>"haneen95zalloum@yahoo.com"</f>
        <v>haneen95zalloum@yahoo.com</v>
      </c>
      <c r="C14" s="1" t="str">
        <f>"2017-09-14 21:15:39 UTC"</f>
        <v>2017-09-14 21:15:39 UTC</v>
      </c>
      <c r="D14" s="1" t="str">
        <f>"Haneen Zalloum"</f>
        <v>Haneen Zalloum</v>
      </c>
      <c r="E14" s="1" t="str">
        <f>"30"</f>
        <v>30</v>
      </c>
      <c r="F14" s="1" t="str">
        <f>"Nutrition "</f>
        <v xml:space="preserve">Nutrition </v>
      </c>
      <c r="G14" s="1" t="str">
        <f>"1"</f>
        <v>1</v>
      </c>
      <c r="H14" s="1" t="str">
        <f t="shared" si="7"/>
        <v>أنثى</v>
      </c>
      <c r="I14" s="1" t="str">
        <f>"الأردن;عمان;مواطن"</f>
        <v>الأردن;عمان;مواطن</v>
      </c>
      <c r="J14" s="1" t="str">
        <f>"04-05-1995"</f>
        <v>04-05-1995</v>
      </c>
      <c r="K14" s="1" t="str">
        <f>"العناية الصحية - أخرى"</f>
        <v>العناية الصحية - أخرى</v>
      </c>
      <c r="L14" s="1" t="str">
        <f t="shared" si="0"/>
        <v>career_connect</v>
      </c>
      <c r="M14" s="1" t="str">
        <f>"Nutrition  في Service tracker "</f>
        <v xml:space="preserve">Nutrition  في Service tracker </v>
      </c>
      <c r="N14" s="1" t="str">
        <f>"المنتجات الإلكترونية"</f>
        <v>المنتجات الإلكترونية</v>
      </c>
      <c r="O14" s="1" t="str">
        <f>""</f>
        <v/>
      </c>
      <c r="P14" s="1" t="str">
        <f>"نعم"</f>
        <v>نعم</v>
      </c>
      <c r="Q14" s="1" t="str">
        <f t="shared" ref="Q14:Q19" si="10">"لا"</f>
        <v>لا</v>
      </c>
      <c r="R14" s="1" t="str">
        <f t="shared" si="8"/>
        <v>لا</v>
      </c>
      <c r="S14" s="1" t="str">
        <f t="shared" si="5"/>
        <v>لا</v>
      </c>
      <c r="T14" s="1" t="str">
        <f t="shared" si="9"/>
        <v>اعزب</v>
      </c>
      <c r="U14" s="1" t="str">
        <f t="shared" si="2"/>
        <v>أردني</v>
      </c>
      <c r="V14" s="1" t="str">
        <f>"9952010791"</f>
        <v>9952010791</v>
      </c>
      <c r="W14" s="1" t="str">
        <f>"962785893340"</f>
        <v>962785893340</v>
      </c>
      <c r="X14" s="1" t="str">
        <f t="shared" si="4"/>
        <v>بكالوريوس جامعي</v>
      </c>
      <c r="Y14" s="1" t="str">
        <f>""</f>
        <v/>
      </c>
      <c r="Z14" s="1" t="str">
        <f>""</f>
        <v/>
      </c>
      <c r="AA14" s="1" t="str">
        <f>""</f>
        <v/>
      </c>
      <c r="AB14" s="1" t="str">
        <f>""</f>
        <v/>
      </c>
      <c r="AC14" s="1" t="str">
        <f>""</f>
        <v/>
      </c>
      <c r="AD14" s="1" t="str">
        <f>""</f>
        <v/>
      </c>
      <c r="AE14" s="1" t="str">
        <f t="shared" si="3"/>
        <v>الأردن</v>
      </c>
      <c r="AF14" s="1" t="str">
        <f>"الجامعة الهاشمية "</f>
        <v xml:space="preserve">الجامعة الهاشمية </v>
      </c>
      <c r="AG14" s="1" t="str">
        <f>""</f>
        <v/>
      </c>
      <c r="AH14" s="1" t="str">
        <f>"Clinical nutrition "</f>
        <v xml:space="preserve">Clinical nutrition </v>
      </c>
      <c r="AI14" s="1" t="str">
        <f>"3.44"</f>
        <v>3.44</v>
      </c>
      <c r="AJ14" s="1" t="str">
        <f>"جيد جدا "</f>
        <v xml:space="preserve">جيد جدا </v>
      </c>
      <c r="AK14" s="1" t="str">
        <f>""</f>
        <v/>
      </c>
      <c r="AL14" s="1" t="str">
        <f>""</f>
        <v/>
      </c>
      <c r="AM14" s="1" t="str">
        <f>""</f>
        <v/>
      </c>
      <c r="AN14" s="1" t="str">
        <f>""</f>
        <v/>
      </c>
      <c r="AO14" s="1" t="str">
        <f>""</f>
        <v/>
      </c>
      <c r="AP14" s="1" t="str">
        <f>""</f>
        <v/>
      </c>
      <c r="AQ14" s="1" t="str">
        <f>""</f>
        <v/>
      </c>
      <c r="AR14" s="1" t="str">
        <f>""</f>
        <v/>
      </c>
      <c r="AS14" s="1" t="str">
        <f>""</f>
        <v/>
      </c>
      <c r="AT14" s="1" t="str">
        <f>""</f>
        <v/>
      </c>
      <c r="AU14" s="1" t="str">
        <f>""</f>
        <v/>
      </c>
      <c r="AV14" s="1" t="str">
        <f>""</f>
        <v/>
      </c>
      <c r="AW14" s="1" t="str">
        <f>"Fattima bnt Al khattab"</f>
        <v>Fattima bnt Al khattab</v>
      </c>
      <c r="AX14" s="1" t="str">
        <f>"High school"</f>
        <v>High school</v>
      </c>
      <c r="AY14" s="1" t="str">
        <f>"الأردن"</f>
        <v>الأردن</v>
      </c>
      <c r="AZ14" s="1" t="str">
        <f>"85.3"</f>
        <v>85.3</v>
      </c>
    </row>
    <row r="15" spans="1:52" x14ac:dyDescent="0.25">
      <c r="A15" s="1">
        <v>14</v>
      </c>
      <c r="B15" s="1" t="str">
        <f>"rosol.m.1997@gmail.com"</f>
        <v>rosol.m.1997@gmail.com</v>
      </c>
      <c r="C15" s="1" t="str">
        <f>"2018-11-29 16:34:44 UTC"</f>
        <v>2018-11-29 16:34:44 UTC</v>
      </c>
      <c r="D15" s="1" t="str">
        <f>"Rosol Mouawya Fawzi Jaradat"</f>
        <v>Rosol Mouawya Fawzi Jaradat</v>
      </c>
      <c r="E15" s="1" t="str">
        <f>"28"</f>
        <v>28</v>
      </c>
      <c r="F15" s="1" t="str">
        <f>"Engineer"</f>
        <v>Engineer</v>
      </c>
      <c r="G15" s="1" t="str">
        <f>"4"</f>
        <v>4</v>
      </c>
      <c r="H15" s="1" t="str">
        <f t="shared" si="7"/>
        <v>أنثى</v>
      </c>
      <c r="I15" s="1" t="str">
        <f>"الأردن;عمان;مواطن"</f>
        <v>الأردن;عمان;مواطن</v>
      </c>
      <c r="J15" s="1" t="str">
        <f>"12-10-1997"</f>
        <v>12-10-1997</v>
      </c>
      <c r="K15" s="1" t="str">
        <f>"هندسة - صناعية"</f>
        <v>هندسة - صناعية</v>
      </c>
      <c r="L15" s="1" t="str">
        <f t="shared" si="0"/>
        <v>career_connect</v>
      </c>
      <c r="M15" s="1" t="str">
        <f>"Engineer في ELFEKI EFINITI ICT Services"</f>
        <v>Engineer في ELFEKI EFINITI ICT Services</v>
      </c>
      <c r="N15" s="1" t="str">
        <f>"الهندسة"</f>
        <v>الهندسة</v>
      </c>
      <c r="O15" s="1" t="str">
        <f>""</f>
        <v/>
      </c>
      <c r="P15" s="1" t="str">
        <f>"نعم"</f>
        <v>نعم</v>
      </c>
      <c r="Q15" s="1" t="str">
        <f t="shared" si="10"/>
        <v>لا</v>
      </c>
      <c r="R15" s="1" t="str">
        <f t="shared" si="8"/>
        <v>لا</v>
      </c>
      <c r="S15" s="1" t="str">
        <f t="shared" si="5"/>
        <v>لا</v>
      </c>
      <c r="T15" s="1" t="str">
        <f t="shared" si="9"/>
        <v>اعزب</v>
      </c>
      <c r="U15" s="1" t="str">
        <f t="shared" si="2"/>
        <v>أردني</v>
      </c>
      <c r="V15" s="1" t="str">
        <f>"9972068148"</f>
        <v>9972068148</v>
      </c>
      <c r="W15" s="1" t="str">
        <f>"0792571040"</f>
        <v>0792571040</v>
      </c>
      <c r="X15" s="1" t="str">
        <f t="shared" si="4"/>
        <v>بكالوريوس جامعي</v>
      </c>
      <c r="Y15" s="1" t="str">
        <f>""</f>
        <v/>
      </c>
      <c r="Z15" s="1" t="str">
        <f>""</f>
        <v/>
      </c>
      <c r="AA15" s="1" t="str">
        <f>""</f>
        <v/>
      </c>
      <c r="AB15" s="1" t="str">
        <f>""</f>
        <v/>
      </c>
      <c r="AC15" s="1" t="str">
        <f>""</f>
        <v/>
      </c>
      <c r="AD15" s="1" t="str">
        <f>""</f>
        <v/>
      </c>
      <c r="AE15" s="1" t="str">
        <f t="shared" si="3"/>
        <v>الأردن</v>
      </c>
      <c r="AF15" s="1" t="str">
        <f>"جامعة العلوم والتكنولوجيا الاردنية "</f>
        <v xml:space="preserve">جامعة العلوم والتكنولوجيا الاردنية </v>
      </c>
      <c r="AG15" s="1" t="str">
        <f>""</f>
        <v/>
      </c>
      <c r="AH15" s="1" t="str">
        <f>"Industrial Engineer"</f>
        <v>Industrial Engineer</v>
      </c>
      <c r="AI15" s="1" t="str">
        <f>"3.26"</f>
        <v>3.26</v>
      </c>
      <c r="AJ15" s="1" t="str">
        <f>"جيد جدا "</f>
        <v xml:space="preserve">جيد جدا </v>
      </c>
      <c r="AK15" s="1" t="str">
        <f>""</f>
        <v/>
      </c>
      <c r="AL15" s="1" t="str">
        <f>""</f>
        <v/>
      </c>
      <c r="AM15" s="1" t="str">
        <f>""</f>
        <v/>
      </c>
      <c r="AN15" s="1" t="str">
        <f>""</f>
        <v/>
      </c>
      <c r="AO15" s="1" t="str">
        <f>""</f>
        <v/>
      </c>
      <c r="AP15" s="1" t="str">
        <f>""</f>
        <v/>
      </c>
      <c r="AQ15" s="1" t="str">
        <f>""</f>
        <v/>
      </c>
      <c r="AR15" s="1" t="str">
        <f>""</f>
        <v/>
      </c>
      <c r="AS15" s="1" t="str">
        <f>""</f>
        <v/>
      </c>
      <c r="AT15" s="1" t="str">
        <f>""</f>
        <v/>
      </c>
      <c r="AU15" s="1" t="str">
        <f>""</f>
        <v/>
      </c>
      <c r="AV15" s="1" t="str">
        <f>""</f>
        <v/>
      </c>
      <c r="AW15" s="1" t="str">
        <f>"Iskan Yajouz School"</f>
        <v>Iskan Yajouz School</v>
      </c>
      <c r="AX15" s="1" t="str">
        <f>"scientific stream"</f>
        <v>scientific stream</v>
      </c>
      <c r="AY15" s="1" t="str">
        <f>"Jordan"</f>
        <v>Jordan</v>
      </c>
      <c r="AZ15" s="1" t="str">
        <f>"87.1"</f>
        <v>87.1</v>
      </c>
    </row>
    <row r="16" spans="1:52" x14ac:dyDescent="0.25">
      <c r="A16" s="1">
        <v>15</v>
      </c>
      <c r="B16" s="1" t="str">
        <f>"khaliloh77@gmail.com"</f>
        <v>khaliloh77@gmail.com</v>
      </c>
      <c r="C16" s="1" t="str">
        <f>"2020-05-27 17:34:10 UTC"</f>
        <v>2020-05-27 17:34:10 UTC</v>
      </c>
      <c r="D16" s="1" t="str">
        <f>"Khalil Osama Khaleel Hammad "</f>
        <v xml:space="preserve">Khalil Osama Khaleel Hammad </v>
      </c>
      <c r="E16" s="1" t="str">
        <f>"28"</f>
        <v>28</v>
      </c>
      <c r="F16" s="1" t="str">
        <f>"Monitoring and Evaluation and Data Management Officer "</f>
        <v xml:space="preserve">Monitoring and Evaluation and Data Management Officer </v>
      </c>
      <c r="G16" s="1" t="str">
        <f>"5"</f>
        <v>5</v>
      </c>
      <c r="H16" s="1" t="str">
        <f>"ذكر"</f>
        <v>ذكر</v>
      </c>
      <c r="I16" s="1" t="str">
        <f>"الأردن;عمان;مواطن"</f>
        <v>الأردن;عمان;مواطن</v>
      </c>
      <c r="J16" s="1" t="str">
        <f>"24-06-1997"</f>
        <v>24-06-1997</v>
      </c>
      <c r="K16" s="1" t="str">
        <f>"translation missing: ar.all_job_role_names.monitoring_evaluation"</f>
        <v>translation missing: ar.all_job_role_names.monitoring_evaluation</v>
      </c>
      <c r="L16" s="1" t="str">
        <f t="shared" si="0"/>
        <v>career_connect</v>
      </c>
      <c r="M16" s="1" t="str">
        <f>"Monitoring and Evaluفيion and Dفيa Management Officer  في BDC "</f>
        <v xml:space="preserve">Monitoring and Evaluفيion and Dفيa Management Officer  في BDC </v>
      </c>
      <c r="N16" s="1" t="str">
        <f>"المنظمات غير الربحية والخدمات الاجتماعية"</f>
        <v>المنظمات غير الربحية والخدمات الاجتماعية</v>
      </c>
      <c r="O16" s="1" t="str">
        <f>""</f>
        <v/>
      </c>
      <c r="P16" s="1" t="str">
        <f>"نعم"</f>
        <v>نعم</v>
      </c>
      <c r="Q16" s="1" t="str">
        <f t="shared" si="10"/>
        <v>لا</v>
      </c>
      <c r="R16" s="1" t="str">
        <f t="shared" si="8"/>
        <v>لا</v>
      </c>
      <c r="S16" s="1" t="str">
        <f t="shared" si="5"/>
        <v>لا</v>
      </c>
      <c r="T16" s="1" t="str">
        <f t="shared" si="9"/>
        <v>اعزب</v>
      </c>
      <c r="U16" s="1" t="str">
        <f t="shared" si="2"/>
        <v>أردني</v>
      </c>
      <c r="V16" s="1" t="str">
        <f>"9971029825"</f>
        <v>9971029825</v>
      </c>
      <c r="W16" s="1" t="str">
        <f>"00962777452436"</f>
        <v>00962777452436</v>
      </c>
      <c r="X16" s="1" t="str">
        <f t="shared" si="4"/>
        <v>بكالوريوس جامعي</v>
      </c>
      <c r="Y16" s="1" t="str">
        <f>""</f>
        <v/>
      </c>
      <c r="Z16" s="1" t="str">
        <f>""</f>
        <v/>
      </c>
      <c r="AA16" s="1" t="str">
        <f>""</f>
        <v/>
      </c>
      <c r="AB16" s="1" t="str">
        <f>""</f>
        <v/>
      </c>
      <c r="AC16" s="1" t="str">
        <f>""</f>
        <v/>
      </c>
      <c r="AD16" s="1" t="str">
        <f>""</f>
        <v/>
      </c>
      <c r="AE16" s="1" t="str">
        <f t="shared" si="3"/>
        <v>الأردن</v>
      </c>
      <c r="AF16" s="1" t="str">
        <f>"جامعة البلقاء التطبيقية "</f>
        <v xml:space="preserve">جامعة البلقاء التطبيقية </v>
      </c>
      <c r="AG16" s="1" t="str">
        <f>""</f>
        <v/>
      </c>
      <c r="AH16" s="1" t="str">
        <f>"Crisis and Disaster Management "</f>
        <v xml:space="preserve">Crisis and Disaster Management </v>
      </c>
      <c r="AI16" s="1" t="str">
        <f>"2.60"</f>
        <v>2.60</v>
      </c>
      <c r="AJ16" s="1" t="str">
        <f>"جيد"</f>
        <v>جيد</v>
      </c>
      <c r="AK16" s="1" t="str">
        <f>""</f>
        <v/>
      </c>
      <c r="AL16" s="1" t="str">
        <f>""</f>
        <v/>
      </c>
      <c r="AM16" s="1" t="str">
        <f>""</f>
        <v/>
      </c>
      <c r="AN16" s="1" t="str">
        <f>""</f>
        <v/>
      </c>
      <c r="AO16" s="1" t="str">
        <f>""</f>
        <v/>
      </c>
      <c r="AP16" s="1" t="str">
        <f>""</f>
        <v/>
      </c>
      <c r="AQ16" s="1" t="str">
        <f>""</f>
        <v/>
      </c>
      <c r="AR16" s="1" t="str">
        <f>""</f>
        <v/>
      </c>
      <c r="AS16" s="1" t="str">
        <f>""</f>
        <v/>
      </c>
      <c r="AT16" s="1" t="str">
        <f>""</f>
        <v/>
      </c>
      <c r="AU16" s="1" t="str">
        <f>""</f>
        <v/>
      </c>
      <c r="AV16" s="1" t="str">
        <f>""</f>
        <v/>
      </c>
      <c r="AW16" s="1" t="str">
        <f>"Ali ben abutalb"</f>
        <v>Ali ben abutalb</v>
      </c>
      <c r="AX16" s="1" t="str">
        <f>"high school"</f>
        <v>high school</v>
      </c>
      <c r="AY16" s="1" t="str">
        <f>"Jeddah KSA"</f>
        <v>Jeddah KSA</v>
      </c>
      <c r="AZ16" s="1" t="str">
        <f>"86"</f>
        <v>86</v>
      </c>
    </row>
    <row r="17" spans="1:52" x14ac:dyDescent="0.25">
      <c r="A17" s="1">
        <v>16</v>
      </c>
      <c r="B17" s="1" t="str">
        <f>"ayyad.ahmad84@gmail.com"</f>
        <v>ayyad.ahmad84@gmail.com</v>
      </c>
      <c r="C17" s="1" t="str">
        <f>"2020-06-06 06:58:01 UTC"</f>
        <v>2020-06-06 06:58:01 UTC</v>
      </c>
      <c r="D17" s="1" t="str">
        <f>"أحمد عبد الرحمن  سليمان عياد"</f>
        <v>أحمد عبد الرحمن  سليمان عياد</v>
      </c>
      <c r="E17" s="1" t="str">
        <f>"41"</f>
        <v>41</v>
      </c>
      <c r="F17" s="1" t="str">
        <f>"nursing ; quality coordinator"</f>
        <v>nursing ; quality coordinator</v>
      </c>
      <c r="G17" s="1" t="str">
        <f>"16"</f>
        <v>16</v>
      </c>
      <c r="H17" s="1" t="str">
        <f>"ذكر"</f>
        <v>ذكر</v>
      </c>
      <c r="I17" s="1" t="str">
        <f>"الأردن;عمان;مواطن"</f>
        <v>الأردن;عمان;مواطن</v>
      </c>
      <c r="J17" s="1" t="str">
        <f>"26-10-1984"</f>
        <v>26-10-1984</v>
      </c>
      <c r="K17" s="1" t="str">
        <f>"مراقبة و ضبط الجودة"</f>
        <v>مراقبة و ضبط الجودة</v>
      </c>
      <c r="L17" s="1" t="str">
        <f t="shared" si="0"/>
        <v>career_connect</v>
      </c>
      <c r="M17" s="1" t="str">
        <f>"nursing ; quality coordinفيor في islamic hospital"</f>
        <v>nursing ; quality coordinفيor في islamic hospital</v>
      </c>
      <c r="N17" s="1" t="str">
        <f>"العناية الصحية و الخدمات الطبية"</f>
        <v>العناية الصحية و الخدمات الطبية</v>
      </c>
      <c r="O17" s="1" t="str">
        <f>""</f>
        <v/>
      </c>
      <c r="P17" s="1" t="str">
        <f>"نعم"</f>
        <v>نعم</v>
      </c>
      <c r="Q17" s="1" t="str">
        <f t="shared" si="10"/>
        <v>لا</v>
      </c>
      <c r="R17" s="1" t="str">
        <f t="shared" si="8"/>
        <v>لا</v>
      </c>
      <c r="S17" s="1" t="str">
        <f t="shared" si="5"/>
        <v>لا</v>
      </c>
      <c r="T17" s="1" t="str">
        <f>"متزوج"</f>
        <v>متزوج</v>
      </c>
      <c r="U17" s="1" t="str">
        <f t="shared" si="2"/>
        <v>أردني</v>
      </c>
      <c r="V17" s="1" t="str">
        <f>"9841023022"</f>
        <v>9841023022</v>
      </c>
      <c r="W17" s="1" t="str">
        <f>"00962786491535"</f>
        <v>00962786491535</v>
      </c>
      <c r="X17" s="1" t="str">
        <f>"ماجستير"</f>
        <v>ماجستير</v>
      </c>
      <c r="Y17" s="1" t="str">
        <f>"الأردن"</f>
        <v>الأردن</v>
      </c>
      <c r="Z17" s="1" t="str">
        <f>"جامعة العلوم والتكنولوجيا الاردنية "</f>
        <v xml:space="preserve">جامعة العلوم والتكنولوجيا الاردنية </v>
      </c>
      <c r="AA17" s="1" t="str">
        <f>""</f>
        <v/>
      </c>
      <c r="AB17" s="1" t="str">
        <f>"community health nursing"</f>
        <v>community health nursing</v>
      </c>
      <c r="AC17" s="1" t="str">
        <f>"3.74"</f>
        <v>3.74</v>
      </c>
      <c r="AD17" s="1" t="str">
        <f>"ممتاز"</f>
        <v>ممتاز</v>
      </c>
      <c r="AE17" s="1" t="str">
        <f t="shared" si="3"/>
        <v>الأردن</v>
      </c>
      <c r="AF17" s="1" t="str">
        <f>"الجامعة الاردنية "</f>
        <v xml:space="preserve">الجامعة الاردنية </v>
      </c>
      <c r="AG17" s="1" t="str">
        <f>""</f>
        <v/>
      </c>
      <c r="AH17" s="1" t="str">
        <f>"التمريض"</f>
        <v>التمريض</v>
      </c>
      <c r="AI17" s="1" t="str">
        <f>"2.52"</f>
        <v>2.52</v>
      </c>
      <c r="AJ17" s="1" t="str">
        <f>"جيد"</f>
        <v>جيد</v>
      </c>
      <c r="AK17" s="1" t="str">
        <f>""</f>
        <v/>
      </c>
      <c r="AL17" s="1" t="str">
        <f>""</f>
        <v/>
      </c>
      <c r="AM17" s="1" t="str">
        <f>""</f>
        <v/>
      </c>
      <c r="AN17" s="1" t="str">
        <f>""</f>
        <v/>
      </c>
      <c r="AO17" s="1" t="str">
        <f>""</f>
        <v/>
      </c>
      <c r="AP17" s="1" t="str">
        <f>""</f>
        <v/>
      </c>
      <c r="AQ17" s="1" t="str">
        <f>""</f>
        <v/>
      </c>
      <c r="AR17" s="1" t="str">
        <f>""</f>
        <v/>
      </c>
      <c r="AS17" s="1" t="str">
        <f>""</f>
        <v/>
      </c>
      <c r="AT17" s="1" t="str">
        <f>""</f>
        <v/>
      </c>
      <c r="AU17" s="1" t="str">
        <f>""</f>
        <v/>
      </c>
      <c r="AV17" s="1" t="str">
        <f>""</f>
        <v/>
      </c>
      <c r="AW17" s="1" t="str">
        <f>"الحسن البصري الثانوية"</f>
        <v>الحسن البصري الثانوية</v>
      </c>
      <c r="AX17" s="1" t="str">
        <f>"ثانوي"</f>
        <v>ثانوي</v>
      </c>
      <c r="AY17" s="1" t="str">
        <f>"الأردن"</f>
        <v>الأردن</v>
      </c>
      <c r="AZ17" s="1" t="str">
        <f>"76.5"</f>
        <v>76.5</v>
      </c>
    </row>
    <row r="18" spans="1:52" x14ac:dyDescent="0.25">
      <c r="A18" s="1">
        <v>17</v>
      </c>
      <c r="B18" s="1" t="str">
        <f>"nazemsukhon@gmail.com"</f>
        <v>nazemsukhon@gmail.com</v>
      </c>
      <c r="C18" s="1" t="str">
        <f>"2020-06-20 20:04:55 UTC"</f>
        <v>2020-06-20 20:04:55 UTC</v>
      </c>
      <c r="D18" s="1" t="str">
        <f>"nazem sukhon"</f>
        <v>nazem sukhon</v>
      </c>
      <c r="E18" s="1" t="str">
        <f>"28"</f>
        <v>28</v>
      </c>
      <c r="F18" s="1" t="str">
        <f>""</f>
        <v/>
      </c>
      <c r="G18" s="1" t="str">
        <f>"0"</f>
        <v>0</v>
      </c>
      <c r="H18" s="1" t="str">
        <f>"ذكر"</f>
        <v>ذكر</v>
      </c>
      <c r="I18" s="1" t="str">
        <f>"الأردن;عمان;مواطن"</f>
        <v>الأردن;عمان;مواطن</v>
      </c>
      <c r="J18" s="1" t="str">
        <f>"19-06-1997"</f>
        <v>19-06-1997</v>
      </c>
      <c r="K18" s="1" t="str">
        <f>"translation missing: ar.all_job_role_names.monitoring_evaluation"</f>
        <v>translation missing: ar.all_job_role_names.monitoring_evaluation</v>
      </c>
      <c r="L18" s="1" t="str">
        <f t="shared" si="0"/>
        <v>career_connect</v>
      </c>
      <c r="M18" s="1" t="str">
        <f>"لا يوجد في لا يوجد"</f>
        <v>لا يوجد في لا يوجد</v>
      </c>
      <c r="N18" s="1" t="str">
        <f>""</f>
        <v/>
      </c>
      <c r="O18" s="1" t="str">
        <f>""</f>
        <v/>
      </c>
      <c r="P18" s="1" t="str">
        <f>"لا"</f>
        <v>لا</v>
      </c>
      <c r="Q18" s="1" t="str">
        <f t="shared" si="10"/>
        <v>لا</v>
      </c>
      <c r="R18" s="1" t="str">
        <f t="shared" si="8"/>
        <v>لا</v>
      </c>
      <c r="S18" s="1" t="str">
        <f t="shared" si="5"/>
        <v>لا</v>
      </c>
      <c r="T18" s="1" t="str">
        <f>"اعزب"</f>
        <v>اعزب</v>
      </c>
      <c r="U18" s="1" t="str">
        <f t="shared" si="2"/>
        <v>أردني</v>
      </c>
      <c r="V18" s="1" t="str">
        <f>"9971031545"</f>
        <v>9971031545</v>
      </c>
      <c r="W18" s="1" t="str">
        <f>"0789754908"</f>
        <v>0789754908</v>
      </c>
      <c r="X18" s="1" t="str">
        <f>"بكالوريوس جامعي"</f>
        <v>بكالوريوس جامعي</v>
      </c>
      <c r="Y18" s="1" t="str">
        <f>""</f>
        <v/>
      </c>
      <c r="Z18" s="1" t="str">
        <f>""</f>
        <v/>
      </c>
      <c r="AA18" s="1" t="str">
        <f>""</f>
        <v/>
      </c>
      <c r="AB18" s="1" t="str">
        <f>""</f>
        <v/>
      </c>
      <c r="AC18" s="1" t="str">
        <f>""</f>
        <v/>
      </c>
      <c r="AD18" s="1" t="str">
        <f>""</f>
        <v/>
      </c>
      <c r="AE18" s="1" t="str">
        <f t="shared" si="3"/>
        <v>الأردن</v>
      </c>
      <c r="AF18" s="1" t="str">
        <f>"جامعة البترا"</f>
        <v>جامعة البترا</v>
      </c>
      <c r="AG18" s="1" t="str">
        <f>""</f>
        <v/>
      </c>
      <c r="AH18" s="1" t="str">
        <f>"data science and artificial intelligence "</f>
        <v xml:space="preserve">data science and artificial intelligence </v>
      </c>
      <c r="AI18" s="1" t="str">
        <f>"3.8"</f>
        <v>3.8</v>
      </c>
      <c r="AJ18" s="1" t="str">
        <f>"جيد جدا "</f>
        <v xml:space="preserve">جيد جدا </v>
      </c>
      <c r="AK18" s="1" t="str">
        <f>""</f>
        <v/>
      </c>
      <c r="AL18" s="1" t="str">
        <f>""</f>
        <v/>
      </c>
      <c r="AM18" s="1" t="str">
        <f>""</f>
        <v/>
      </c>
      <c r="AN18" s="1" t="str">
        <f>""</f>
        <v/>
      </c>
      <c r="AO18" s="1" t="str">
        <f>""</f>
        <v/>
      </c>
      <c r="AP18" s="1" t="str">
        <f>""</f>
        <v/>
      </c>
      <c r="AQ18" s="1" t="str">
        <f>""</f>
        <v/>
      </c>
      <c r="AR18" s="1" t="str">
        <f>""</f>
        <v/>
      </c>
      <c r="AS18" s="1" t="str">
        <f>""</f>
        <v/>
      </c>
      <c r="AT18" s="1" t="str">
        <f>""</f>
        <v/>
      </c>
      <c r="AU18" s="1" t="str">
        <f>""</f>
        <v/>
      </c>
      <c r="AV18" s="1" t="str">
        <f>""</f>
        <v/>
      </c>
      <c r="AW18" s="1" t="str">
        <f>"Oxford schools"</f>
        <v>Oxford schools</v>
      </c>
      <c r="AX18" s="1" t="str">
        <f>"Highschools"</f>
        <v>Highschools</v>
      </c>
      <c r="AY18" s="1" t="str">
        <f>"Jordan"</f>
        <v>Jordan</v>
      </c>
      <c r="AZ18" s="1" t="str">
        <f>"84"</f>
        <v>84</v>
      </c>
    </row>
    <row r="19" spans="1:52" x14ac:dyDescent="0.25">
      <c r="A19" s="1">
        <v>18</v>
      </c>
      <c r="B19" s="1" t="str">
        <f>"sajamala34@gmail.com"</f>
        <v>sajamala34@gmail.com</v>
      </c>
      <c r="C19" s="1" t="str">
        <f>"2020-07-14 17:25:35 UTC"</f>
        <v>2020-07-14 17:25:35 UTC</v>
      </c>
      <c r="D19" s="1" t="str">
        <f>"سجى مازن حامد الملاحمه"</f>
        <v>سجى مازن حامد الملاحمه</v>
      </c>
      <c r="E19" s="1" t="str">
        <f>"28"</f>
        <v>28</v>
      </c>
      <c r="F19" s="1" t="str">
        <f>"Pharmacist .... worked in moaab pharmacy for one year / alkarak "</f>
        <v xml:space="preserve">Pharmacist .... worked in moaab pharmacy for one year / alkarak </v>
      </c>
      <c r="G19" s="1" t="str">
        <f>"3"</f>
        <v>3</v>
      </c>
      <c r="H19" s="1" t="str">
        <f>"أنثى"</f>
        <v>أنثى</v>
      </c>
      <c r="I19" s="1" t="str">
        <f>"الأردن;الكرك;مواطن"</f>
        <v>الأردن;الكرك;مواطن</v>
      </c>
      <c r="J19" s="1" t="str">
        <f>"12-09-1997"</f>
        <v>12-09-1997</v>
      </c>
      <c r="K19" s="1" t="str">
        <f>"العناية الصحية - الصيدلة"</f>
        <v>العناية الصحية - الصيدلة</v>
      </c>
      <c r="L19" s="1" t="str">
        <f t="shared" si="0"/>
        <v>career_connect</v>
      </c>
      <c r="M19" s="1" t="str">
        <f>"Pharmacist .... worked in moaab pharmacy for one year / alkarak  في Pharmacist"</f>
        <v>Pharmacist .... worked in moaab pharmacy for one year / alkarak  في Pharmacist</v>
      </c>
      <c r="N19" s="1" t="str">
        <f>"الصيدلة"</f>
        <v>الصيدلة</v>
      </c>
      <c r="O19" s="1" t="str">
        <f>""</f>
        <v/>
      </c>
      <c r="P19" s="1" t="str">
        <f>"نعم"</f>
        <v>نعم</v>
      </c>
      <c r="Q19" s="1" t="str">
        <f t="shared" si="10"/>
        <v>لا</v>
      </c>
      <c r="R19" s="1" t="str">
        <f t="shared" si="8"/>
        <v>لا</v>
      </c>
      <c r="S19" s="1" t="str">
        <f t="shared" si="5"/>
        <v>لا</v>
      </c>
      <c r="T19" s="1" t="str">
        <f>"اعزب"</f>
        <v>اعزب</v>
      </c>
      <c r="U19" s="1" t="str">
        <f t="shared" si="2"/>
        <v>أردني</v>
      </c>
      <c r="V19" s="1" t="str">
        <f>"9972043654"</f>
        <v>9972043654</v>
      </c>
      <c r="W19" s="1" t="str">
        <f>"0797206903"</f>
        <v>0797206903</v>
      </c>
      <c r="X19" s="1" t="str">
        <f>"ماجستير"</f>
        <v>ماجستير</v>
      </c>
      <c r="Y19" s="1" t="str">
        <f>"الأردن"</f>
        <v>الأردن</v>
      </c>
      <c r="Z19" s="1" t="str">
        <f>"جامعة العلوم والتكنولوجيا الاردنية "</f>
        <v xml:space="preserve">جامعة العلوم والتكنولوجيا الاردنية </v>
      </c>
      <c r="AA19" s="1" t="str">
        <f>""</f>
        <v/>
      </c>
      <c r="AB19" s="1" t="str">
        <f>"Biochemistry and Molecular Biology "</f>
        <v xml:space="preserve">Biochemistry and Molecular Biology </v>
      </c>
      <c r="AC19" s="1" t="str">
        <f>"3.94"</f>
        <v>3.94</v>
      </c>
      <c r="AD19" s="1" t="str">
        <f>"ممتاز"</f>
        <v>ممتاز</v>
      </c>
      <c r="AE19" s="1" t="str">
        <f t="shared" si="3"/>
        <v>الأردن</v>
      </c>
      <c r="AF19" s="1" t="str">
        <f>"جامة مؤته "</f>
        <v xml:space="preserve">جامة مؤته </v>
      </c>
      <c r="AG19" s="1" t="str">
        <f>""</f>
        <v/>
      </c>
      <c r="AH19" s="1" t="str">
        <f>"الصيدله"</f>
        <v>الصيدله</v>
      </c>
      <c r="AI19" s="1" t="str">
        <f>"87.65"</f>
        <v>87.65</v>
      </c>
      <c r="AJ19" s="1" t="str">
        <f>"ممتاز"</f>
        <v>ممتاز</v>
      </c>
      <c r="AK19" s="1" t="str">
        <f>""</f>
        <v/>
      </c>
      <c r="AL19" s="1" t="str">
        <f>""</f>
        <v/>
      </c>
      <c r="AM19" s="1" t="str">
        <f>""</f>
        <v/>
      </c>
      <c r="AN19" s="1" t="str">
        <f>""</f>
        <v/>
      </c>
      <c r="AO19" s="1" t="str">
        <f>""</f>
        <v/>
      </c>
      <c r="AP19" s="1" t="str">
        <f>""</f>
        <v/>
      </c>
      <c r="AQ19" s="1" t="str">
        <f>""</f>
        <v/>
      </c>
      <c r="AR19" s="1" t="str">
        <f>""</f>
        <v/>
      </c>
      <c r="AS19" s="1" t="str">
        <f>""</f>
        <v/>
      </c>
      <c r="AT19" s="1" t="str">
        <f>""</f>
        <v/>
      </c>
      <c r="AU19" s="1" t="str">
        <f>""</f>
        <v/>
      </c>
      <c r="AV19" s="1" t="str">
        <f>""</f>
        <v/>
      </c>
      <c r="AW19" s="1" t="str">
        <f>"نور الحسين الثانويه للبنات"</f>
        <v>نور الحسين الثانويه للبنات</v>
      </c>
      <c r="AX19" s="1" t="str">
        <f>"العلمي "</f>
        <v xml:space="preserve">العلمي </v>
      </c>
      <c r="AY19" s="1" t="str">
        <f>"الكرك "</f>
        <v xml:space="preserve">الكرك </v>
      </c>
      <c r="AZ19" s="1" t="str">
        <f>"93.7"</f>
        <v>93.7</v>
      </c>
    </row>
    <row r="20" spans="1:52" x14ac:dyDescent="0.25">
      <c r="A20" s="1">
        <v>19</v>
      </c>
      <c r="B20" s="1" t="str">
        <f>"chemhamood1997@yahoo.com"</f>
        <v>chemhamood1997@yahoo.com</v>
      </c>
      <c r="C20" s="1" t="str">
        <f>"2020-07-26 16:59:23 UTC"</f>
        <v>2020-07-26 16:59:23 UTC</v>
      </c>
      <c r="D20" s="1" t="str">
        <f>"mohammad kamel mohammad Badarneh"</f>
        <v>mohammad kamel mohammad Badarneh</v>
      </c>
      <c r="E20" s="1" t="str">
        <f>"28"</f>
        <v>28</v>
      </c>
      <c r="F20" s="1" t="str">
        <f>"Quality control "</f>
        <v xml:space="preserve">Quality control </v>
      </c>
      <c r="G20" s="1" t="str">
        <f>"4"</f>
        <v>4</v>
      </c>
      <c r="H20" s="1" t="str">
        <f>"ذكر"</f>
        <v>ذكر</v>
      </c>
      <c r="I20" s="1" t="str">
        <f>"الأردن;عمان;مواطن"</f>
        <v>الأردن;عمان;مواطن</v>
      </c>
      <c r="J20" s="1" t="str">
        <f>"13-07-1997"</f>
        <v>13-07-1997</v>
      </c>
      <c r="K20" s="1" t="str">
        <f>"العلوم"</f>
        <v>العلوم</v>
      </c>
      <c r="L20" s="1" t="str">
        <f t="shared" si="0"/>
        <v>career_connect</v>
      </c>
      <c r="M20" s="1" t="str">
        <f>"Quality control  في MSpharma"</f>
        <v>Quality control  في MSpharma</v>
      </c>
      <c r="N20" s="1" t="str">
        <f>"الترجمة و الكتابة"</f>
        <v>الترجمة و الكتابة</v>
      </c>
      <c r="O20" s="1" t="str">
        <f>""</f>
        <v/>
      </c>
      <c r="P20" s="1" t="str">
        <f>"لا"</f>
        <v>لا</v>
      </c>
      <c r="Q20" s="1" t="str">
        <f>"نعم"</f>
        <v>نعم</v>
      </c>
      <c r="R20" s="1" t="str">
        <f t="shared" si="8"/>
        <v>لا</v>
      </c>
      <c r="S20" s="1" t="str">
        <f t="shared" si="5"/>
        <v>لا</v>
      </c>
      <c r="T20" s="1" t="str">
        <f>"متزوج"</f>
        <v>متزوج</v>
      </c>
      <c r="U20" s="1" t="str">
        <f t="shared" si="2"/>
        <v>أردني</v>
      </c>
      <c r="V20" s="1" t="str">
        <f>"0777219531"</f>
        <v>0777219531</v>
      </c>
      <c r="W20" s="1" t="str">
        <f>"0777219531"</f>
        <v>0777219531</v>
      </c>
      <c r="X20" s="1" t="str">
        <f t="shared" ref="X20:X31" si="11">"بكالوريوس جامعي"</f>
        <v>بكالوريوس جامعي</v>
      </c>
      <c r="Y20" s="1" t="str">
        <f>""</f>
        <v/>
      </c>
      <c r="Z20" s="1" t="str">
        <f>""</f>
        <v/>
      </c>
      <c r="AA20" s="1" t="str">
        <f>""</f>
        <v/>
      </c>
      <c r="AB20" s="1" t="str">
        <f>""</f>
        <v/>
      </c>
      <c r="AC20" s="1" t="str">
        <f>""</f>
        <v/>
      </c>
      <c r="AD20" s="1" t="str">
        <f>""</f>
        <v/>
      </c>
      <c r="AE20" s="1" t="str">
        <f t="shared" si="3"/>
        <v>الأردن</v>
      </c>
      <c r="AF20" s="1" t="str">
        <f>"جامعة اليرموك "</f>
        <v xml:space="preserve">جامعة اليرموك </v>
      </c>
      <c r="AG20" s="1" t="str">
        <f>""</f>
        <v/>
      </c>
      <c r="AH20" s="1" t="str">
        <f>"Chemistry "</f>
        <v xml:space="preserve">Chemistry </v>
      </c>
      <c r="AI20" s="1" t="str">
        <f>"72"</f>
        <v>72</v>
      </c>
      <c r="AJ20" s="1" t="str">
        <f>"جيد"</f>
        <v>جيد</v>
      </c>
      <c r="AK20" s="1" t="str">
        <f>""</f>
        <v/>
      </c>
      <c r="AL20" s="1" t="str">
        <f>""</f>
        <v/>
      </c>
      <c r="AM20" s="1" t="str">
        <f>""</f>
        <v/>
      </c>
      <c r="AN20" s="1" t="str">
        <f>""</f>
        <v/>
      </c>
      <c r="AO20" s="1" t="str">
        <f>""</f>
        <v/>
      </c>
      <c r="AP20" s="1" t="str">
        <f>""</f>
        <v/>
      </c>
      <c r="AQ20" s="1" t="str">
        <f>""</f>
        <v/>
      </c>
      <c r="AR20" s="1" t="str">
        <f>""</f>
        <v/>
      </c>
      <c r="AS20" s="1" t="str">
        <f>""</f>
        <v/>
      </c>
      <c r="AT20" s="1" t="str">
        <f>""</f>
        <v/>
      </c>
      <c r="AU20" s="1" t="str">
        <f>""</f>
        <v/>
      </c>
      <c r="AV20" s="1" t="str">
        <f>""</f>
        <v/>
      </c>
      <c r="AW20" s="1" t="str">
        <f>"Alfaroq"</f>
        <v>Alfaroq</v>
      </c>
      <c r="AX20" s="1" t="str">
        <f>"Tawjehi"</f>
        <v>Tawjehi</v>
      </c>
      <c r="AY20" s="1" t="str">
        <f>"Amman"</f>
        <v>Amman</v>
      </c>
      <c r="AZ20" s="1" t="str">
        <f>"70"</f>
        <v>70</v>
      </c>
    </row>
    <row r="21" spans="1:52" x14ac:dyDescent="0.25">
      <c r="A21" s="1">
        <v>20</v>
      </c>
      <c r="B21" s="1" t="str">
        <f>"maramfayez8@gmail.com"</f>
        <v>maramfayez8@gmail.com</v>
      </c>
      <c r="C21" s="1" t="str">
        <f>"2020-12-16 11:32:32 UTC"</f>
        <v>2020-12-16 11:32:32 UTC</v>
      </c>
      <c r="D21" s="1" t="str">
        <f>"Maram Fayez Salamah Abu Igqiem"</f>
        <v>Maram Fayez Salamah Abu Igqiem</v>
      </c>
      <c r="E21" s="1" t="str">
        <f>"26"</f>
        <v>26</v>
      </c>
      <c r="F21" s="1" t="str">
        <f>"Data Entry and Analysis Volunteer"</f>
        <v>Data Entry and Analysis Volunteer</v>
      </c>
      <c r="G21" s="1" t="str">
        <f>"3"</f>
        <v>3</v>
      </c>
      <c r="H21" s="1" t="str">
        <f>"أنثى"</f>
        <v>أنثى</v>
      </c>
      <c r="I21" s="1" t="str">
        <f>"الأردن;عمان;مواطن"</f>
        <v>الأردن;عمان;مواطن</v>
      </c>
      <c r="J21" s="1" t="str">
        <f>"22-03-1999"</f>
        <v>22-03-1999</v>
      </c>
      <c r="K21" s="1" t="str">
        <f>"تكنولوجيا المعلومات - البرمجيات و تطوير مواقع الإنترنت"</f>
        <v>تكنولوجيا المعلومات - البرمجيات و تطوير مواقع الإنترنت</v>
      </c>
      <c r="L21" s="1" t="str">
        <f t="shared" si="0"/>
        <v>career_connect</v>
      </c>
      <c r="M21" s="1" t="str">
        <f>"Dفيa Entry and Analysis Volunteer في Lutheran World Federفيion"</f>
        <v>Dفيa Entry and Analysis Volunteer في Lutheran World Federفيion</v>
      </c>
      <c r="N21" s="1" t="str">
        <f>"التعليم و التدريب"</f>
        <v>التعليم و التدريب</v>
      </c>
      <c r="O21" s="1" t="str">
        <f>""</f>
        <v/>
      </c>
      <c r="P21" s="1" t="str">
        <f>"نعم"</f>
        <v>نعم</v>
      </c>
      <c r="Q21" s="1" t="str">
        <f t="shared" ref="Q21:Q42" si="12">"لا"</f>
        <v>لا</v>
      </c>
      <c r="R21" s="1" t="str">
        <f t="shared" si="8"/>
        <v>لا</v>
      </c>
      <c r="S21" s="1" t="str">
        <f t="shared" si="5"/>
        <v>لا</v>
      </c>
      <c r="T21" s="1" t="str">
        <f t="shared" ref="T21:T26" si="13">"اعزب"</f>
        <v>اعزب</v>
      </c>
      <c r="U21" s="1" t="str">
        <f t="shared" si="2"/>
        <v>أردني</v>
      </c>
      <c r="V21" s="1" t="str">
        <f>"9992012202"</f>
        <v>9992012202</v>
      </c>
      <c r="W21" s="1" t="str">
        <f>"0781196069"</f>
        <v>0781196069</v>
      </c>
      <c r="X21" s="1" t="str">
        <f t="shared" si="11"/>
        <v>بكالوريوس جامعي</v>
      </c>
      <c r="Y21" s="1" t="str">
        <f>""</f>
        <v/>
      </c>
      <c r="Z21" s="1" t="str">
        <f>""</f>
        <v/>
      </c>
      <c r="AA21" s="1" t="str">
        <f>""</f>
        <v/>
      </c>
      <c r="AB21" s="1" t="str">
        <f>""</f>
        <v/>
      </c>
      <c r="AC21" s="1" t="str">
        <f>""</f>
        <v/>
      </c>
      <c r="AD21" s="1" t="str">
        <f>""</f>
        <v/>
      </c>
      <c r="AE21" s="1" t="str">
        <f t="shared" si="3"/>
        <v>الأردن</v>
      </c>
      <c r="AF21" s="1" t="str">
        <f>"الجامعة الاردنية "</f>
        <v xml:space="preserve">الجامعة الاردنية </v>
      </c>
      <c r="AG21" s="1" t="str">
        <f>""</f>
        <v/>
      </c>
      <c r="AH21" s="1" t="str">
        <f>"Computer Engineering"</f>
        <v>Computer Engineering</v>
      </c>
      <c r="AI21" s="1" t="str">
        <f>"2.5"</f>
        <v>2.5</v>
      </c>
      <c r="AJ21" s="1" t="str">
        <f>"جيد"</f>
        <v>جيد</v>
      </c>
      <c r="AK21" s="1" t="str">
        <f>""</f>
        <v/>
      </c>
      <c r="AL21" s="1" t="str">
        <f>""</f>
        <v/>
      </c>
      <c r="AM21" s="1" t="str">
        <f>""</f>
        <v/>
      </c>
      <c r="AN21" s="1" t="str">
        <f>""</f>
        <v/>
      </c>
      <c r="AO21" s="1" t="str">
        <f>""</f>
        <v/>
      </c>
      <c r="AP21" s="1" t="str">
        <f>""</f>
        <v/>
      </c>
      <c r="AQ21" s="1" t="str">
        <f>""</f>
        <v/>
      </c>
      <c r="AR21" s="1" t="str">
        <f>""</f>
        <v/>
      </c>
      <c r="AS21" s="1" t="str">
        <f>""</f>
        <v/>
      </c>
      <c r="AT21" s="1" t="str">
        <f>""</f>
        <v/>
      </c>
      <c r="AU21" s="1" t="str">
        <f>""</f>
        <v/>
      </c>
      <c r="AV21" s="1" t="str">
        <f>""</f>
        <v/>
      </c>
      <c r="AW21" s="1" t="str">
        <f>"Ad-dulail Secondary School"</f>
        <v>Ad-dulail Secondary School</v>
      </c>
      <c r="AX21" s="1" t="str">
        <f>"High School Tawjihi"</f>
        <v>High School Tawjihi</v>
      </c>
      <c r="AY21" s="1" t="str">
        <f>"Jordan"</f>
        <v>Jordan</v>
      </c>
      <c r="AZ21" s="1" t="str">
        <f>"81"</f>
        <v>81</v>
      </c>
    </row>
    <row r="22" spans="1:52" x14ac:dyDescent="0.25">
      <c r="A22" s="1">
        <v>21</v>
      </c>
      <c r="B22" s="1" t="str">
        <f>"shaheddwikat76@gmail.com"</f>
        <v>shaheddwikat76@gmail.com</v>
      </c>
      <c r="C22" s="1" t="str">
        <f>"2022-04-07 23:16:16 UTC"</f>
        <v>2022-04-07 23:16:16 UTC</v>
      </c>
      <c r="D22" s="1" t="str">
        <f>"شهد رباح هلال الدويكات"</f>
        <v>شهد رباح هلال الدويكات</v>
      </c>
      <c r="E22" s="1" t="str">
        <f>"27"</f>
        <v>27</v>
      </c>
      <c r="F22" s="1" t="str">
        <f>"Data entry"</f>
        <v>Data entry</v>
      </c>
      <c r="G22" s="1" t="str">
        <f>"1"</f>
        <v>1</v>
      </c>
      <c r="H22" s="1" t="str">
        <f>"أنثى"</f>
        <v>أنثى</v>
      </c>
      <c r="I22" s="1" t="str">
        <f>"الأردن;الزرقاء;مواطن"</f>
        <v>الأردن;الزرقاء;مواطن</v>
      </c>
      <c r="J22" s="1" t="str">
        <f>"06-04-1998"</f>
        <v>06-04-1998</v>
      </c>
      <c r="K22" s="1" t="str">
        <f>"الأعمال الإدارية و السكرتارية"</f>
        <v>الأعمال الإدارية و السكرتارية</v>
      </c>
      <c r="L22" s="1" t="str">
        <f t="shared" si="0"/>
        <v>career_connect</v>
      </c>
      <c r="M22" s="1" t="str">
        <f>"Dفيa entry في مركز الحسين للسرطان "</f>
        <v xml:space="preserve">Dفيa entry في مركز الحسين للسرطان </v>
      </c>
      <c r="N22" s="1" t="str">
        <f>"الأنظمة الطبية الحيوية"</f>
        <v>الأنظمة الطبية الحيوية</v>
      </c>
      <c r="O22" s="1" t="str">
        <f>""</f>
        <v/>
      </c>
      <c r="P22" s="1" t="str">
        <f>"نعم"</f>
        <v>نعم</v>
      </c>
      <c r="Q22" s="1" t="str">
        <f t="shared" si="12"/>
        <v>لا</v>
      </c>
      <c r="R22" s="1" t="str">
        <f t="shared" si="8"/>
        <v>لا</v>
      </c>
      <c r="S22" s="1" t="str">
        <f t="shared" si="5"/>
        <v>لا</v>
      </c>
      <c r="T22" s="1" t="str">
        <f t="shared" si="13"/>
        <v>اعزب</v>
      </c>
      <c r="U22" s="1" t="str">
        <f t="shared" si="2"/>
        <v>أردني</v>
      </c>
      <c r="V22" s="1" t="str">
        <f>"9982013683"</f>
        <v>9982013683</v>
      </c>
      <c r="W22" s="1" t="str">
        <f>"962780865742"</f>
        <v>962780865742</v>
      </c>
      <c r="X22" s="1" t="str">
        <f t="shared" si="11"/>
        <v>بكالوريوس جامعي</v>
      </c>
      <c r="Y22" s="1" t="str">
        <f>""</f>
        <v/>
      </c>
      <c r="Z22" s="1" t="str">
        <f>""</f>
        <v/>
      </c>
      <c r="AA22" s="1" t="str">
        <f>""</f>
        <v/>
      </c>
      <c r="AB22" s="1" t="str">
        <f>""</f>
        <v/>
      </c>
      <c r="AC22" s="1" t="str">
        <f>""</f>
        <v/>
      </c>
      <c r="AD22" s="1" t="str">
        <f>""</f>
        <v/>
      </c>
      <c r="AE22" s="1" t="str">
        <f t="shared" si="3"/>
        <v>الأردن</v>
      </c>
      <c r="AF22" s="1" t="str">
        <f>"الجامعة الهاشمية "</f>
        <v xml:space="preserve">الجامعة الهاشمية </v>
      </c>
      <c r="AG22" s="1" t="str">
        <f>""</f>
        <v/>
      </c>
      <c r="AH22" s="1" t="str">
        <f>"نظم المعلومات الادارية"</f>
        <v>نظم المعلومات الادارية</v>
      </c>
      <c r="AI22" s="1" t="str">
        <f>"2.39"</f>
        <v>2.39</v>
      </c>
      <c r="AJ22" s="1" t="str">
        <f>"مقبول"</f>
        <v>مقبول</v>
      </c>
      <c r="AK22" s="1" t="str">
        <f>""</f>
        <v/>
      </c>
      <c r="AL22" s="1" t="str">
        <f>""</f>
        <v/>
      </c>
      <c r="AM22" s="1" t="str">
        <f>""</f>
        <v/>
      </c>
      <c r="AN22" s="1" t="str">
        <f>""</f>
        <v/>
      </c>
      <c r="AO22" s="1" t="str">
        <f>""</f>
        <v/>
      </c>
      <c r="AP22" s="1" t="str">
        <f>""</f>
        <v/>
      </c>
      <c r="AQ22" s="1" t="str">
        <f>""</f>
        <v/>
      </c>
      <c r="AR22" s="1" t="str">
        <f>""</f>
        <v/>
      </c>
      <c r="AS22" s="1" t="str">
        <f>""</f>
        <v/>
      </c>
      <c r="AT22" s="1" t="str">
        <f>""</f>
        <v/>
      </c>
      <c r="AU22" s="1" t="str">
        <f>""</f>
        <v/>
      </c>
      <c r="AV22" s="1" t="str">
        <f>""</f>
        <v/>
      </c>
      <c r="AW22" s="1" t="str">
        <f>"زينب بنت االعوام"</f>
        <v>زينب بنت االعوام</v>
      </c>
      <c r="AX22" s="1" t="str">
        <f>"ثانوي"</f>
        <v>ثانوي</v>
      </c>
      <c r="AY22" s="1" t="str">
        <f>"الاردن"</f>
        <v>الاردن</v>
      </c>
      <c r="AZ22" s="1" t="str">
        <f>"79.1"</f>
        <v>79.1</v>
      </c>
    </row>
    <row r="23" spans="1:52" x14ac:dyDescent="0.25">
      <c r="A23" s="1">
        <v>22</v>
      </c>
      <c r="B23" s="1" t="str">
        <f>"ghanayem.belal@gmail.com"</f>
        <v>ghanayem.belal@gmail.com</v>
      </c>
      <c r="C23" s="1" t="str">
        <f>"2022-07-14 19:59:03 UTC"</f>
        <v>2022-07-14 19:59:03 UTC</v>
      </c>
      <c r="D23" s="1" t="str">
        <f>"بلال  محمد  حسين غنايم"</f>
        <v>بلال  محمد  حسين غنايم</v>
      </c>
      <c r="E23" s="1" t="str">
        <f>"27"</f>
        <v>27</v>
      </c>
      <c r="F23" s="1" t="str">
        <f>"Lab technician "</f>
        <v xml:space="preserve">Lab technician </v>
      </c>
      <c r="G23" s="1" t="str">
        <f>"2"</f>
        <v>2</v>
      </c>
      <c r="H23" s="1" t="str">
        <f>"ذكر"</f>
        <v>ذكر</v>
      </c>
      <c r="I23" s="1" t="str">
        <f>"الأردن;عمان;مواطن"</f>
        <v>الأردن;عمان;مواطن</v>
      </c>
      <c r="J23" s="1" t="str">
        <f>"23-08-1998"</f>
        <v>23-08-1998</v>
      </c>
      <c r="K23" s="1" t="str">
        <f>"العناية الصحية - أخرى"</f>
        <v>العناية الصحية - أخرى</v>
      </c>
      <c r="L23" s="1" t="str">
        <f t="shared" si="0"/>
        <v>career_connect</v>
      </c>
      <c r="M23" s="1" t="str">
        <f>"Lab technician  في Megalabs"</f>
        <v>Lab technician  في Megalabs</v>
      </c>
      <c r="N23" s="1" t="str">
        <f>"العناية الصحية و الخدمات الطبية"</f>
        <v>العناية الصحية و الخدمات الطبية</v>
      </c>
      <c r="O23" s="1" t="str">
        <f>""</f>
        <v/>
      </c>
      <c r="P23" s="1" t="str">
        <f>"نعم"</f>
        <v>نعم</v>
      </c>
      <c r="Q23" s="1" t="str">
        <f t="shared" si="12"/>
        <v>لا</v>
      </c>
      <c r="R23" s="1" t="str">
        <f t="shared" si="8"/>
        <v>لا</v>
      </c>
      <c r="S23" s="1" t="str">
        <f t="shared" si="5"/>
        <v>لا</v>
      </c>
      <c r="T23" s="1" t="str">
        <f t="shared" si="13"/>
        <v>اعزب</v>
      </c>
      <c r="U23" s="1" t="str">
        <f t="shared" si="2"/>
        <v>أردني</v>
      </c>
      <c r="V23" s="1" t="str">
        <f>"9981046144"</f>
        <v>9981046144</v>
      </c>
      <c r="W23" s="1" t="str">
        <f>"798439133"</f>
        <v>798439133</v>
      </c>
      <c r="X23" s="1" t="str">
        <f t="shared" si="11"/>
        <v>بكالوريوس جامعي</v>
      </c>
      <c r="Y23" s="1" t="str">
        <f>""</f>
        <v/>
      </c>
      <c r="Z23" s="1" t="str">
        <f>""</f>
        <v/>
      </c>
      <c r="AA23" s="1" t="str">
        <f>""</f>
        <v/>
      </c>
      <c r="AB23" s="1" t="str">
        <f>""</f>
        <v/>
      </c>
      <c r="AC23" s="1" t="str">
        <f>""</f>
        <v/>
      </c>
      <c r="AD23" s="1" t="str">
        <f>""</f>
        <v/>
      </c>
      <c r="AE23" s="1" t="str">
        <f t="shared" si="3"/>
        <v>الأردن</v>
      </c>
      <c r="AF23" s="1" t="str">
        <f>"جامعة البلقاء التطبيقية "</f>
        <v xml:space="preserve">جامعة البلقاء التطبيقية </v>
      </c>
      <c r="AG23" s="1" t="str">
        <f>""</f>
        <v/>
      </c>
      <c r="AH23" s="1" t="str">
        <f>"التحاليل الطبية"</f>
        <v>التحاليل الطبية</v>
      </c>
      <c r="AI23" s="1" t="str">
        <f>"2.80"</f>
        <v>2.80</v>
      </c>
      <c r="AJ23" s="1" t="str">
        <f>"جيد"</f>
        <v>جيد</v>
      </c>
      <c r="AK23" s="1" t="str">
        <f>""</f>
        <v/>
      </c>
      <c r="AL23" s="1" t="str">
        <f>""</f>
        <v/>
      </c>
      <c r="AM23" s="1" t="str">
        <f>""</f>
        <v/>
      </c>
      <c r="AN23" s="1" t="str">
        <f>""</f>
        <v/>
      </c>
      <c r="AO23" s="1" t="str">
        <f>""</f>
        <v/>
      </c>
      <c r="AP23" s="1" t="str">
        <f>""</f>
        <v/>
      </c>
      <c r="AQ23" s="1" t="str">
        <f>""</f>
        <v/>
      </c>
      <c r="AR23" s="1" t="str">
        <f>""</f>
        <v/>
      </c>
      <c r="AS23" s="1" t="str">
        <f>""</f>
        <v/>
      </c>
      <c r="AT23" s="1" t="str">
        <f>""</f>
        <v/>
      </c>
      <c r="AU23" s="1" t="str">
        <f>""</f>
        <v/>
      </c>
      <c r="AV23" s="1" t="str">
        <f>""</f>
        <v/>
      </c>
      <c r="AW23" s="1" t="str">
        <f>"السلط الثانوية لللنين"</f>
        <v>السلط الثانوية لللنين</v>
      </c>
      <c r="AX23" s="1" t="str">
        <f>"ثانوي"</f>
        <v>ثانوي</v>
      </c>
      <c r="AY23" s="1" t="str">
        <f>"الاردن "</f>
        <v xml:space="preserve">الاردن </v>
      </c>
      <c r="AZ23" s="1" t="str">
        <f>"79.9"</f>
        <v>79.9</v>
      </c>
    </row>
    <row r="24" spans="1:52" x14ac:dyDescent="0.25">
      <c r="A24" s="1">
        <v>23</v>
      </c>
      <c r="B24" s="1" t="str">
        <f>"majdmali24@gmail.com"</f>
        <v>majdmali24@gmail.com</v>
      </c>
      <c r="C24" s="1" t="str">
        <f>"2022-09-19 12:58:52 UTC"</f>
        <v>2022-09-19 12:58:52 UTC</v>
      </c>
      <c r="D24" s="1" t="str">
        <f>"Majd Kasim  Ali Maali "</f>
        <v xml:space="preserve">Majd Kasim  Ali Maali </v>
      </c>
      <c r="E24" s="1" t="str">
        <f>"26"</f>
        <v>26</v>
      </c>
      <c r="F24" s="1" t="str">
        <f>"Customer service "</f>
        <v xml:space="preserve">Customer service </v>
      </c>
      <c r="G24" s="1" t="str">
        <f>"2"</f>
        <v>2</v>
      </c>
      <c r="H24" s="1" t="str">
        <f>"أنثى"</f>
        <v>أنثى</v>
      </c>
      <c r="I24" s="1" t="str">
        <f>"الأردن;اربد;لا يوجد"</f>
        <v>الأردن;اربد;لا يوجد</v>
      </c>
      <c r="J24" s="1" t="str">
        <f>"08-12-1999"</f>
        <v>08-12-1999</v>
      </c>
      <c r="K24" s="1" t="str">
        <f>"خدمة العملاء"</f>
        <v>خدمة العملاء</v>
      </c>
      <c r="L24" s="1" t="str">
        <f t="shared" si="0"/>
        <v>career_connect</v>
      </c>
      <c r="M24" s="1" t="str">
        <f>"Customer service  في Concentrix "</f>
        <v xml:space="preserve">Customer service  في Concentrix </v>
      </c>
      <c r="N24" s="1" t="str">
        <f>"مراكز الاتصال و التسويق الهاتفي"</f>
        <v>مراكز الاتصال و التسويق الهاتفي</v>
      </c>
      <c r="O24" s="1" t="str">
        <f>""</f>
        <v/>
      </c>
      <c r="P24" s="1" t="str">
        <f>"لا"</f>
        <v>لا</v>
      </c>
      <c r="Q24" s="1" t="str">
        <f t="shared" si="12"/>
        <v>لا</v>
      </c>
      <c r="R24" s="1" t="str">
        <f t="shared" si="8"/>
        <v>لا</v>
      </c>
      <c r="S24" s="1" t="str">
        <f t="shared" si="5"/>
        <v>لا</v>
      </c>
      <c r="T24" s="1" t="str">
        <f t="shared" si="13"/>
        <v>اعزب</v>
      </c>
      <c r="U24" s="1" t="str">
        <f t="shared" si="2"/>
        <v>أردني</v>
      </c>
      <c r="V24" s="1" t="str">
        <f>"9992058727"</f>
        <v>9992058727</v>
      </c>
      <c r="W24" s="1" t="str">
        <f>"0780950074"</f>
        <v>0780950074</v>
      </c>
      <c r="X24" s="1" t="str">
        <f t="shared" si="11"/>
        <v>بكالوريوس جامعي</v>
      </c>
      <c r="Y24" s="1" t="str">
        <f>""</f>
        <v/>
      </c>
      <c r="Z24" s="1" t="str">
        <f>""</f>
        <v/>
      </c>
      <c r="AA24" s="1" t="str">
        <f>""</f>
        <v/>
      </c>
      <c r="AB24" s="1" t="str">
        <f>""</f>
        <v/>
      </c>
      <c r="AC24" s="1" t="str">
        <f>""</f>
        <v/>
      </c>
      <c r="AD24" s="1" t="str">
        <f>""</f>
        <v/>
      </c>
      <c r="AE24" s="1" t="str">
        <f t="shared" si="3"/>
        <v>الأردن</v>
      </c>
      <c r="AF24" s="1" t="str">
        <f>"جامعة اليرموك "</f>
        <v xml:space="preserve">جامعة اليرموك </v>
      </c>
      <c r="AG24" s="1" t="str">
        <f>""</f>
        <v/>
      </c>
      <c r="AH24" s="1" t="str">
        <f>"Statistics "</f>
        <v xml:space="preserve">Statistics </v>
      </c>
      <c r="AI24" s="1" t="str">
        <f>"77.9"</f>
        <v>77.9</v>
      </c>
      <c r="AJ24" s="1" t="str">
        <f>"جيد جدا "</f>
        <v xml:space="preserve">جيد جدا </v>
      </c>
      <c r="AK24" s="1" t="str">
        <f>""</f>
        <v/>
      </c>
      <c r="AL24" s="1" t="str">
        <f>""</f>
        <v/>
      </c>
      <c r="AM24" s="1" t="str">
        <f>""</f>
        <v/>
      </c>
      <c r="AN24" s="1" t="str">
        <f>""</f>
        <v/>
      </c>
      <c r="AO24" s="1" t="str">
        <f>""</f>
        <v/>
      </c>
      <c r="AP24" s="1" t="str">
        <f>""</f>
        <v/>
      </c>
      <c r="AQ24" s="1" t="str">
        <f>""</f>
        <v/>
      </c>
      <c r="AR24" s="1" t="str">
        <f>""</f>
        <v/>
      </c>
      <c r="AS24" s="1" t="str">
        <f>""</f>
        <v/>
      </c>
      <c r="AT24" s="1" t="str">
        <f>""</f>
        <v/>
      </c>
      <c r="AU24" s="1" t="str">
        <f>""</f>
        <v/>
      </c>
      <c r="AV24" s="1" t="str">
        <f>""</f>
        <v/>
      </c>
      <c r="AW24" s="1" t="str">
        <f>"Yarmouk University "</f>
        <v xml:space="preserve">Yarmouk University </v>
      </c>
      <c r="AX24" s="1" t="str">
        <f>"Bachelor  "</f>
        <v xml:space="preserve">Bachelor  </v>
      </c>
      <c r="AY24" s="1" t="str">
        <f>"Jordan"</f>
        <v>Jordan</v>
      </c>
      <c r="AZ24" s="1" t="str">
        <f>"77.9"</f>
        <v>77.9</v>
      </c>
    </row>
    <row r="25" spans="1:52" x14ac:dyDescent="0.25">
      <c r="A25" s="1">
        <v>24</v>
      </c>
      <c r="B25" s="1" t="str">
        <f>"naasrallahh@gmail.com"</f>
        <v>naasrallahh@gmail.com</v>
      </c>
      <c r="C25" s="1" t="str">
        <f>"2022-09-27 08:36:14 UTC"</f>
        <v>2022-09-27 08:36:14 UTC</v>
      </c>
      <c r="D25" s="1" t="str">
        <f>"Ahmad Mohammad Mahmoud  Nasrallah"</f>
        <v>Ahmad Mohammad Mahmoud  Nasrallah</v>
      </c>
      <c r="E25" s="1" t="str">
        <f>"37"</f>
        <v>37</v>
      </c>
      <c r="F25" s="1" t="str">
        <f>"Regional ICT Officer"</f>
        <v>Regional ICT Officer</v>
      </c>
      <c r="G25" s="1" t="str">
        <f>"4"</f>
        <v>4</v>
      </c>
      <c r="H25" s="1" t="str">
        <f>"ذكر"</f>
        <v>ذكر</v>
      </c>
      <c r="I25" s="1" t="str">
        <f>"الأردن;عمان;مواطن"</f>
        <v>الأردن;عمان;مواطن</v>
      </c>
      <c r="J25" s="1" t="str">
        <f>"10-06-1988"</f>
        <v>10-06-1988</v>
      </c>
      <c r="K25" s="1" t="str">
        <f>"تكنولوجيا المعلومات - البرمجيات و تطوير مواقع الإنترنت"</f>
        <v>تكنولوجيا المعلومات - البرمجيات و تطوير مواقع الإنترنت</v>
      </c>
      <c r="L25" s="1" t="str">
        <f t="shared" si="0"/>
        <v>career_connect</v>
      </c>
      <c r="M25" s="1" t="str">
        <f>"Regional ICT Officer في Norwegian Refugee Council"</f>
        <v>Regional ICT Officer في Norwegian Refugee Council</v>
      </c>
      <c r="N25" s="1" t="str">
        <f>"المنظمات غير الربحية والخدمات الاجتماعية"</f>
        <v>المنظمات غير الربحية والخدمات الاجتماعية</v>
      </c>
      <c r="O25" s="1" t="str">
        <f>""</f>
        <v/>
      </c>
      <c r="P25" s="1" t="str">
        <f>"نعم"</f>
        <v>نعم</v>
      </c>
      <c r="Q25" s="1" t="str">
        <f t="shared" si="12"/>
        <v>لا</v>
      </c>
      <c r="R25" s="1" t="str">
        <f t="shared" si="8"/>
        <v>لا</v>
      </c>
      <c r="S25" s="1" t="str">
        <f t="shared" si="5"/>
        <v>لا</v>
      </c>
      <c r="T25" s="1" t="str">
        <f t="shared" si="13"/>
        <v>اعزب</v>
      </c>
      <c r="U25" s="1" t="str">
        <f t="shared" si="2"/>
        <v>أردني</v>
      </c>
      <c r="V25" s="1" t="str">
        <f>"0"</f>
        <v>0</v>
      </c>
      <c r="W25" s="1" t="str">
        <f>"962798087295"</f>
        <v>962798087295</v>
      </c>
      <c r="X25" s="1" t="str">
        <f t="shared" si="11"/>
        <v>بكالوريوس جامعي</v>
      </c>
      <c r="Y25" s="1" t="str">
        <f>""</f>
        <v/>
      </c>
      <c r="Z25" s="1" t="str">
        <f>""</f>
        <v/>
      </c>
      <c r="AA25" s="1" t="str">
        <f>""</f>
        <v/>
      </c>
      <c r="AB25" s="1" t="str">
        <f>""</f>
        <v/>
      </c>
      <c r="AC25" s="1" t="str">
        <f>""</f>
        <v/>
      </c>
      <c r="AD25" s="1" t="str">
        <f>""</f>
        <v/>
      </c>
      <c r="AE25" s="1" t="str">
        <f t="shared" si="3"/>
        <v>الأردن</v>
      </c>
      <c r="AF25" s="1" t="str">
        <f>"جامعة الزيتونة "</f>
        <v xml:space="preserve">جامعة الزيتونة </v>
      </c>
      <c r="AG25" s="1" t="str">
        <f>""</f>
        <v/>
      </c>
      <c r="AH25" s="1" t="str">
        <f>"Computer Engineering"</f>
        <v>Computer Engineering</v>
      </c>
      <c r="AI25" s="1" t="str">
        <f>"0"</f>
        <v>0</v>
      </c>
      <c r="AJ25" s="1" t="str">
        <f>"جيد جدا "</f>
        <v xml:space="preserve">جيد جدا </v>
      </c>
      <c r="AK25" s="1" t="str">
        <f>""</f>
        <v/>
      </c>
      <c r="AL25" s="1" t="str">
        <f>""</f>
        <v/>
      </c>
      <c r="AM25" s="1" t="str">
        <f>""</f>
        <v/>
      </c>
      <c r="AN25" s="1" t="str">
        <f>""</f>
        <v/>
      </c>
      <c r="AO25" s="1" t="str">
        <f>""</f>
        <v/>
      </c>
      <c r="AP25" s="1" t="str">
        <f>""</f>
        <v/>
      </c>
      <c r="AQ25" s="1" t="str">
        <f>""</f>
        <v/>
      </c>
      <c r="AR25" s="1" t="str">
        <f>""</f>
        <v/>
      </c>
      <c r="AS25" s="1" t="str">
        <f>""</f>
        <v/>
      </c>
      <c r="AT25" s="1" t="str">
        <f>""</f>
        <v/>
      </c>
      <c r="AU25" s="1" t="str">
        <f>""</f>
        <v/>
      </c>
      <c r="AV25" s="1" t="str">
        <f>""</f>
        <v/>
      </c>
      <c r="AW25" s="1" t="str">
        <f>"Engineering and Tech"</f>
        <v>Engineering and Tech</v>
      </c>
      <c r="AX25" s="1" t="str">
        <f>"Advanced"</f>
        <v>Advanced</v>
      </c>
      <c r="AY25" s="1" t="str">
        <f>"Jordan"</f>
        <v>Jordan</v>
      </c>
      <c r="AZ25" s="1" t="str">
        <f>"0"</f>
        <v>0</v>
      </c>
    </row>
    <row r="26" spans="1:52" x14ac:dyDescent="0.25">
      <c r="A26" s="1">
        <v>25</v>
      </c>
      <c r="B26" s="1" t="str">
        <f>"hamadb578@gmail.com"</f>
        <v>hamadb578@gmail.com</v>
      </c>
      <c r="C26" s="1" t="str">
        <f>"2022-10-06 06:08:32 UTC"</f>
        <v>2022-10-06 06:08:32 UTC</v>
      </c>
      <c r="D26" s="1" t="str">
        <f>"Doha Ahmad Sa’ad Al-din Hamad"</f>
        <v>Doha Ahmad Sa’ad Al-din Hamad</v>
      </c>
      <c r="E26" s="1" t="str">
        <f>"25"</f>
        <v>25</v>
      </c>
      <c r="F26" s="1" t="str">
        <f>""</f>
        <v/>
      </c>
      <c r="G26" s="1" t="str">
        <f>"0"</f>
        <v>0</v>
      </c>
      <c r="H26" s="1" t="str">
        <f>"أنثى"</f>
        <v>أنثى</v>
      </c>
      <c r="I26" s="1" t="str">
        <f>"الأردن;عمان;لا يوجد"</f>
        <v>الأردن;عمان;لا يوجد</v>
      </c>
      <c r="J26" s="1" t="str">
        <f>"01-10-2000"</f>
        <v>01-10-2000</v>
      </c>
      <c r="K26" s="1" t="str">
        <f>"العناية الصحية - أخرى"</f>
        <v>العناية الصحية - أخرى</v>
      </c>
      <c r="L26" s="1" t="str">
        <f t="shared" si="0"/>
        <v>career_connect</v>
      </c>
      <c r="M26" s="1" t="str">
        <f>"لا يوجد في لا يوجد"</f>
        <v>لا يوجد في لا يوجد</v>
      </c>
      <c r="N26" s="1" t="str">
        <f>""</f>
        <v/>
      </c>
      <c r="O26" s="1" t="str">
        <f>""</f>
        <v/>
      </c>
      <c r="P26" s="1" t="str">
        <f>"لا"</f>
        <v>لا</v>
      </c>
      <c r="Q26" s="1" t="str">
        <f t="shared" si="12"/>
        <v>لا</v>
      </c>
      <c r="R26" s="1" t="str">
        <f t="shared" si="8"/>
        <v>لا</v>
      </c>
      <c r="S26" s="1" t="str">
        <f t="shared" si="5"/>
        <v>لا</v>
      </c>
      <c r="T26" s="1" t="str">
        <f t="shared" si="13"/>
        <v>اعزب</v>
      </c>
      <c r="U26" s="1" t="str">
        <f t="shared" si="2"/>
        <v>أردني</v>
      </c>
      <c r="V26" s="1" t="str">
        <f>"2000171993"</f>
        <v>2000171993</v>
      </c>
      <c r="W26" s="1" t="str">
        <f>"0798843739"</f>
        <v>0798843739</v>
      </c>
      <c r="X26" s="1" t="str">
        <f t="shared" si="11"/>
        <v>بكالوريوس جامعي</v>
      </c>
      <c r="Y26" s="1" t="str">
        <f>""</f>
        <v/>
      </c>
      <c r="Z26" s="1" t="str">
        <f>""</f>
        <v/>
      </c>
      <c r="AA26" s="1" t="str">
        <f>""</f>
        <v/>
      </c>
      <c r="AB26" s="1" t="str">
        <f>""</f>
        <v/>
      </c>
      <c r="AC26" s="1" t="str">
        <f>""</f>
        <v/>
      </c>
      <c r="AD26" s="1" t="str">
        <f>""</f>
        <v/>
      </c>
      <c r="AE26" s="1" t="str">
        <f t="shared" si="3"/>
        <v>الأردن</v>
      </c>
      <c r="AF26" s="1" t="str">
        <f>"جامعة البلقاء التطبيقية "</f>
        <v xml:space="preserve">جامعة البلقاء التطبيقية </v>
      </c>
      <c r="AG26" s="1" t="str">
        <f>""</f>
        <v/>
      </c>
      <c r="AH26" s="1" t="str">
        <f>"Nutrition and food processing "</f>
        <v xml:space="preserve">Nutrition and food processing </v>
      </c>
      <c r="AI26" s="1" t="str">
        <f>"2.96"</f>
        <v>2.96</v>
      </c>
      <c r="AJ26" s="1" t="str">
        <f>"جيد"</f>
        <v>جيد</v>
      </c>
      <c r="AK26" s="1" t="str">
        <f>""</f>
        <v/>
      </c>
      <c r="AL26" s="1" t="str">
        <f>""</f>
        <v/>
      </c>
      <c r="AM26" s="1" t="str">
        <f>""</f>
        <v/>
      </c>
      <c r="AN26" s="1" t="str">
        <f>""</f>
        <v/>
      </c>
      <c r="AO26" s="1" t="str">
        <f>""</f>
        <v/>
      </c>
      <c r="AP26" s="1" t="str">
        <f>""</f>
        <v/>
      </c>
      <c r="AQ26" s="1" t="str">
        <f>""</f>
        <v/>
      </c>
      <c r="AR26" s="1" t="str">
        <f>""</f>
        <v/>
      </c>
      <c r="AS26" s="1" t="str">
        <f>""</f>
        <v/>
      </c>
      <c r="AT26" s="1" t="str">
        <f>""</f>
        <v/>
      </c>
      <c r="AU26" s="1" t="str">
        <f>""</f>
        <v/>
      </c>
      <c r="AV26" s="1" t="str">
        <f>""</f>
        <v/>
      </c>
      <c r="AW26" s="1" t="str">
        <f>"Princess of Tharwat school "</f>
        <v xml:space="preserve">Princess of Tharwat school </v>
      </c>
      <c r="AX26" s="1" t="str">
        <f>"High-school"</f>
        <v>High-school</v>
      </c>
      <c r="AY26" s="1" t="str">
        <f>"Jordan"</f>
        <v>Jordan</v>
      </c>
      <c r="AZ26" s="1" t="str">
        <f>"80.6"</f>
        <v>80.6</v>
      </c>
    </row>
    <row r="27" spans="1:52" x14ac:dyDescent="0.25">
      <c r="A27" s="1">
        <v>26</v>
      </c>
      <c r="B27" s="1" t="str">
        <f>"shimaadannoun@gmail.com"</f>
        <v>shimaadannoun@gmail.com</v>
      </c>
      <c r="C27" s="1" t="str">
        <f>"2022-10-06 14:39:26 UTC"</f>
        <v>2022-10-06 14:39:26 UTC</v>
      </c>
      <c r="D27" s="1" t="str">
        <f>"شيماء  مازن  حافظ  دنون "</f>
        <v xml:space="preserve">شيماء  مازن  حافظ  دنون </v>
      </c>
      <c r="E27" s="1" t="str">
        <f>"26"</f>
        <v>26</v>
      </c>
      <c r="F27" s="1" t="str">
        <f>""</f>
        <v/>
      </c>
      <c r="G27" s="1" t="str">
        <f>"0"</f>
        <v>0</v>
      </c>
      <c r="H27" s="1" t="str">
        <f>"أنثى"</f>
        <v>أنثى</v>
      </c>
      <c r="I27" s="1" t="str">
        <f>"الأردن;الزرقاء;مواطن"</f>
        <v>الأردن;الزرقاء;مواطن</v>
      </c>
      <c r="J27" s="1" t="str">
        <f>"18-01-1999"</f>
        <v>18-01-1999</v>
      </c>
      <c r="K27" s="1" t="str">
        <f>"التجهيزات الغذائية، خدمات الطعام و المطاعم"</f>
        <v>التجهيزات الغذائية، خدمات الطعام و المطاعم</v>
      </c>
      <c r="L27" s="1" t="str">
        <f t="shared" si="0"/>
        <v>career_connect</v>
      </c>
      <c r="M27" s="1" t="str">
        <f>"لا يوجد في لا يوجد"</f>
        <v>لا يوجد في لا يوجد</v>
      </c>
      <c r="N27" s="1" t="str">
        <f>""</f>
        <v/>
      </c>
      <c r="O27" s="1" t="str">
        <f>""</f>
        <v/>
      </c>
      <c r="P27" s="1" t="str">
        <f>"نعم"</f>
        <v>نعم</v>
      </c>
      <c r="Q27" s="1" t="str">
        <f t="shared" si="12"/>
        <v>لا</v>
      </c>
      <c r="R27" s="1" t="str">
        <f t="shared" si="8"/>
        <v>لا</v>
      </c>
      <c r="S27" s="1" t="str">
        <f t="shared" si="5"/>
        <v>لا</v>
      </c>
      <c r="T27" s="1" t="str">
        <f>"متزوج"</f>
        <v>متزوج</v>
      </c>
      <c r="U27" s="1" t="str">
        <f t="shared" si="2"/>
        <v>أردني</v>
      </c>
      <c r="V27" s="1" t="str">
        <f>"9992006881"</f>
        <v>9992006881</v>
      </c>
      <c r="W27" s="1" t="str">
        <f>"0786011876"</f>
        <v>0786011876</v>
      </c>
      <c r="X27" s="1" t="str">
        <f t="shared" si="11"/>
        <v>بكالوريوس جامعي</v>
      </c>
      <c r="Y27" s="1" t="str">
        <f>""</f>
        <v/>
      </c>
      <c r="Z27" s="1" t="str">
        <f>""</f>
        <v/>
      </c>
      <c r="AA27" s="1" t="str">
        <f>""</f>
        <v/>
      </c>
      <c r="AB27" s="1" t="str">
        <f>""</f>
        <v/>
      </c>
      <c r="AC27" s="1" t="str">
        <f>""</f>
        <v/>
      </c>
      <c r="AD27" s="1" t="str">
        <f>""</f>
        <v/>
      </c>
      <c r="AE27" s="1" t="str">
        <f t="shared" si="3"/>
        <v>الأردن</v>
      </c>
      <c r="AF27" s="1" t="str">
        <f>"جامعة البلقاء التطبيقية "</f>
        <v xml:space="preserve">جامعة البلقاء التطبيقية </v>
      </c>
      <c r="AG27" s="1" t="str">
        <f>""</f>
        <v/>
      </c>
      <c r="AH27" s="1" t="str">
        <f>"التغذية والتصنيع الغذائي "</f>
        <v xml:space="preserve">التغذية والتصنيع الغذائي </v>
      </c>
      <c r="AI27" s="1" t="str">
        <f>"3.05"</f>
        <v>3.05</v>
      </c>
      <c r="AJ27" s="1" t="str">
        <f>"جيد جدا "</f>
        <v xml:space="preserve">جيد جدا </v>
      </c>
      <c r="AK27" s="1" t="str">
        <f>""</f>
        <v/>
      </c>
      <c r="AL27" s="1" t="str">
        <f>""</f>
        <v/>
      </c>
      <c r="AM27" s="1" t="str">
        <f>""</f>
        <v/>
      </c>
      <c r="AN27" s="1" t="str">
        <f>""</f>
        <v/>
      </c>
      <c r="AO27" s="1" t="str">
        <f>""</f>
        <v/>
      </c>
      <c r="AP27" s="1" t="str">
        <f>""</f>
        <v/>
      </c>
      <c r="AQ27" s="1" t="str">
        <f>""</f>
        <v/>
      </c>
      <c r="AR27" s="1" t="str">
        <f>""</f>
        <v/>
      </c>
      <c r="AS27" s="1" t="str">
        <f>""</f>
        <v/>
      </c>
      <c r="AT27" s="1" t="str">
        <f>""</f>
        <v/>
      </c>
      <c r="AU27" s="1" t="str">
        <f>""</f>
        <v/>
      </c>
      <c r="AV27" s="1" t="str">
        <f>""</f>
        <v/>
      </c>
      <c r="AW27" s="1" t="str">
        <f>"الأميرة رحمة الثانوية للبنات "</f>
        <v xml:space="preserve">الأميرة رحمة الثانوية للبنات </v>
      </c>
      <c r="AX27" s="1" t="str">
        <f>"ثانوية "</f>
        <v xml:space="preserve">ثانوية </v>
      </c>
      <c r="AY27" s="1" t="str">
        <f>"الأردن"</f>
        <v>الأردن</v>
      </c>
      <c r="AZ27" s="1" t="str">
        <f>"73.9"</f>
        <v>73.9</v>
      </c>
    </row>
    <row r="28" spans="1:52" x14ac:dyDescent="0.25">
      <c r="A28" s="1">
        <v>27</v>
      </c>
      <c r="B28" s="1" t="str">
        <f>"abdalrzaqalmomani@gmail.com"</f>
        <v>abdalrzaqalmomani@gmail.com</v>
      </c>
      <c r="C28" s="1" t="str">
        <f>"2022-10-06 16:39:58 UTC"</f>
        <v>2022-10-06 16:39:58 UTC</v>
      </c>
      <c r="D28" s="1" t="str">
        <f>"Abdalrzaq  Zaid Abdalhameed Almomani"</f>
        <v>Abdalrzaq  Zaid Abdalhameed Almomani</v>
      </c>
      <c r="E28" s="1" t="str">
        <f>"26"</f>
        <v>26</v>
      </c>
      <c r="F28" s="1" t="str">
        <f>"Nutritionist "</f>
        <v xml:space="preserve">Nutritionist </v>
      </c>
      <c r="G28" s="1" t="str">
        <f>"1"</f>
        <v>1</v>
      </c>
      <c r="H28" s="1" t="str">
        <f>"ذكر"</f>
        <v>ذكر</v>
      </c>
      <c r="I28" s="1" t="str">
        <f>"الأردن;عمان;مواطن"</f>
        <v>الأردن;عمان;مواطن</v>
      </c>
      <c r="J28" s="1" t="str">
        <f>"05-09-1999"</f>
        <v>05-09-1999</v>
      </c>
      <c r="K28" s="1" t="str">
        <f>"مراقبة و ضبط الجودة"</f>
        <v>مراقبة و ضبط الجودة</v>
      </c>
      <c r="L28" s="1" t="str">
        <f t="shared" si="0"/>
        <v>career_connect</v>
      </c>
      <c r="M28" s="1" t="str">
        <f>"Nutritionist  في المؤسسة العامه للغداء و الدواء "</f>
        <v xml:space="preserve">Nutritionist  في المؤسسة العامه للغداء و الدواء </v>
      </c>
      <c r="N28" s="1" t="str">
        <f>"التصنيع و الإنتاج"</f>
        <v>التصنيع و الإنتاج</v>
      </c>
      <c r="O28" s="1" t="str">
        <f>""</f>
        <v/>
      </c>
      <c r="P28" s="1" t="str">
        <f>"نعم"</f>
        <v>نعم</v>
      </c>
      <c r="Q28" s="1" t="str">
        <f t="shared" si="12"/>
        <v>لا</v>
      </c>
      <c r="R28" s="1" t="str">
        <f t="shared" si="8"/>
        <v>لا</v>
      </c>
      <c r="S28" s="1" t="str">
        <f t="shared" si="5"/>
        <v>لا</v>
      </c>
      <c r="T28" s="1" t="str">
        <f>"اعزب"</f>
        <v>اعزب</v>
      </c>
      <c r="U28" s="1" t="str">
        <f t="shared" si="2"/>
        <v>أردني</v>
      </c>
      <c r="V28" s="1" t="str">
        <f>"9991051480"</f>
        <v>9991051480</v>
      </c>
      <c r="W28" s="1" t="str">
        <f>"0781656393"</f>
        <v>0781656393</v>
      </c>
      <c r="X28" s="1" t="str">
        <f t="shared" si="11"/>
        <v>بكالوريوس جامعي</v>
      </c>
      <c r="Y28" s="1" t="str">
        <f>""</f>
        <v/>
      </c>
      <c r="Z28" s="1" t="str">
        <f>""</f>
        <v/>
      </c>
      <c r="AA28" s="1" t="str">
        <f>""</f>
        <v/>
      </c>
      <c r="AB28" s="1" t="str">
        <f>""</f>
        <v/>
      </c>
      <c r="AC28" s="1" t="str">
        <f>""</f>
        <v/>
      </c>
      <c r="AD28" s="1" t="str">
        <f>""</f>
        <v/>
      </c>
      <c r="AE28" s="1" t="str">
        <f t="shared" si="3"/>
        <v>الأردن</v>
      </c>
      <c r="AF28" s="1" t="str">
        <f>"جامعة البلقاء التطبيقية "</f>
        <v xml:space="preserve">جامعة البلقاء التطبيقية </v>
      </c>
      <c r="AG28" s="1" t="str">
        <f>""</f>
        <v/>
      </c>
      <c r="AH28" s="1" t="str">
        <f>"Nutrition and food processing "</f>
        <v xml:space="preserve">Nutrition and food processing </v>
      </c>
      <c r="AI28" s="1" t="str">
        <f>"2.61"</f>
        <v>2.61</v>
      </c>
      <c r="AJ28" s="1" t="str">
        <f>"جيد"</f>
        <v>جيد</v>
      </c>
      <c r="AK28" s="1" t="str">
        <f>""</f>
        <v/>
      </c>
      <c r="AL28" s="1" t="str">
        <f>""</f>
        <v/>
      </c>
      <c r="AM28" s="1" t="str">
        <f>""</f>
        <v/>
      </c>
      <c r="AN28" s="1" t="str">
        <f>""</f>
        <v/>
      </c>
      <c r="AO28" s="1" t="str">
        <f>""</f>
        <v/>
      </c>
      <c r="AP28" s="1" t="str">
        <f>""</f>
        <v/>
      </c>
      <c r="AQ28" s="1" t="str">
        <f>""</f>
        <v/>
      </c>
      <c r="AR28" s="1" t="str">
        <f>""</f>
        <v/>
      </c>
      <c r="AS28" s="1" t="str">
        <f>""</f>
        <v/>
      </c>
      <c r="AT28" s="1" t="str">
        <f>""</f>
        <v/>
      </c>
      <c r="AU28" s="1" t="str">
        <f>""</f>
        <v/>
      </c>
      <c r="AV28" s="1" t="str">
        <f>""</f>
        <v/>
      </c>
      <c r="AW28" s="1" t="str">
        <f>"مدارس الخضر الحديثة"</f>
        <v>مدارس الخضر الحديثة</v>
      </c>
      <c r="AX28" s="1" t="str">
        <f>"خاصة"</f>
        <v>خاصة</v>
      </c>
      <c r="AY28" s="1" t="str">
        <f>"الاردن"</f>
        <v>الاردن</v>
      </c>
      <c r="AZ28" s="1" t="str">
        <f>"80"</f>
        <v>80</v>
      </c>
    </row>
    <row r="29" spans="1:52" x14ac:dyDescent="0.25">
      <c r="A29" s="1">
        <v>28</v>
      </c>
      <c r="B29" s="1" t="str">
        <f>"lamaalmesrab@gmail.com"</f>
        <v>lamaalmesrab@gmail.com</v>
      </c>
      <c r="C29" s="1" t="str">
        <f>"2022-11-16 18:21:00 UTC"</f>
        <v>2022-11-16 18:21:00 UTC</v>
      </c>
      <c r="D29" s="1" t="str">
        <f>"لمى  تيسير ضاحي المسرب"</f>
        <v>لمى  تيسير ضاحي المسرب</v>
      </c>
      <c r="E29" s="1" t="str">
        <f>"26"</f>
        <v>26</v>
      </c>
      <c r="F29" s="1" t="str">
        <f>"باحث مكتبي واجتماعي في الشركه المنهجيه لاستشارات التسويقيه مايندست  "</f>
        <v xml:space="preserve">باحث مكتبي واجتماعي في الشركه المنهجيه لاستشارات التسويقيه مايندست  </v>
      </c>
      <c r="G29" s="1" t="str">
        <f>"5"</f>
        <v>5</v>
      </c>
      <c r="H29" s="1" t="str">
        <f>"أنثى"</f>
        <v>أنثى</v>
      </c>
      <c r="I29" s="1" t="str">
        <f>"الأردن;عمان;مواطن"</f>
        <v>الأردن;عمان;مواطن</v>
      </c>
      <c r="J29" s="1" t="str">
        <f>"09-05-1999"</f>
        <v>09-05-1999</v>
      </c>
      <c r="K29" s="1" t="str">
        <f>"translation missing: ar.all_job_role_names.community_outreach"</f>
        <v>translation missing: ar.all_job_role_names.community_outreach</v>
      </c>
      <c r="L29" s="1" t="str">
        <f t="shared" si="0"/>
        <v>career_connect</v>
      </c>
      <c r="M29" s="1" t="str">
        <f>"باحث مكتبي واجتماعي في الشركه المنهجيه لاستشارات التسويقيه مايندست   في صندوق المعونة الوطنية  ، المفوضيه الساميه لشؤون الاجئين"</f>
        <v>باحث مكتبي واجتماعي في الشركه المنهجيه لاستشارات التسويقيه مايندست   في صندوق المعونة الوطنية  ، المفوضيه الساميه لشؤون الاجئين</v>
      </c>
      <c r="N29" s="1" t="str">
        <f>"القانون"</f>
        <v>القانون</v>
      </c>
      <c r="O29" s="1" t="str">
        <f>""</f>
        <v/>
      </c>
      <c r="P29" s="1" t="str">
        <f>"لا"</f>
        <v>لا</v>
      </c>
      <c r="Q29" s="1" t="str">
        <f t="shared" si="12"/>
        <v>لا</v>
      </c>
      <c r="R29" s="1" t="str">
        <f t="shared" si="8"/>
        <v>لا</v>
      </c>
      <c r="S29" s="1" t="str">
        <f t="shared" si="5"/>
        <v>لا</v>
      </c>
      <c r="T29" s="1" t="str">
        <f>"اعزب"</f>
        <v>اعزب</v>
      </c>
      <c r="U29" s="1" t="str">
        <f t="shared" si="2"/>
        <v>أردني</v>
      </c>
      <c r="V29" s="1" t="str">
        <f>"9992019744"</f>
        <v>9992019744</v>
      </c>
      <c r="W29" s="1" t="str">
        <f>"0792370818"</f>
        <v>0792370818</v>
      </c>
      <c r="X29" s="1" t="str">
        <f t="shared" si="11"/>
        <v>بكالوريوس جامعي</v>
      </c>
      <c r="Y29" s="1" t="str">
        <f>""</f>
        <v/>
      </c>
      <c r="Z29" s="1" t="str">
        <f>""</f>
        <v/>
      </c>
      <c r="AA29" s="1" t="str">
        <f>""</f>
        <v/>
      </c>
      <c r="AB29" s="1" t="str">
        <f>""</f>
        <v/>
      </c>
      <c r="AC29" s="1" t="str">
        <f>""</f>
        <v/>
      </c>
      <c r="AD29" s="1" t="str">
        <f>""</f>
        <v/>
      </c>
      <c r="AE29" s="1" t="str">
        <f t="shared" si="3"/>
        <v>الأردن</v>
      </c>
      <c r="AF29" s="1" t="str">
        <f>"جامعة اليرموك "</f>
        <v xml:space="preserve">جامعة اليرموك </v>
      </c>
      <c r="AG29" s="1" t="str">
        <f>""</f>
        <v/>
      </c>
      <c r="AH29" s="1" t="str">
        <f>"القانون"</f>
        <v>القانون</v>
      </c>
      <c r="AI29" s="1" t="str">
        <f>"72"</f>
        <v>72</v>
      </c>
      <c r="AJ29" s="1" t="str">
        <f>"جيد"</f>
        <v>جيد</v>
      </c>
      <c r="AK29" s="1" t="str">
        <f>""</f>
        <v/>
      </c>
      <c r="AL29" s="1" t="str">
        <f>""</f>
        <v/>
      </c>
      <c r="AM29" s="1" t="str">
        <f>""</f>
        <v/>
      </c>
      <c r="AN29" s="1" t="str">
        <f>""</f>
        <v/>
      </c>
      <c r="AO29" s="1" t="str">
        <f>""</f>
        <v/>
      </c>
      <c r="AP29" s="1" t="str">
        <f>""</f>
        <v/>
      </c>
      <c r="AQ29" s="1" t="str">
        <f>""</f>
        <v/>
      </c>
      <c r="AR29" s="1" t="str">
        <f>""</f>
        <v/>
      </c>
      <c r="AS29" s="1" t="str">
        <f>""</f>
        <v/>
      </c>
      <c r="AT29" s="1" t="str">
        <f>""</f>
        <v/>
      </c>
      <c r="AU29" s="1" t="str">
        <f>""</f>
        <v/>
      </c>
      <c r="AV29" s="1" t="str">
        <f>""</f>
        <v/>
      </c>
      <c r="AW29" s="1" t="str">
        <f>"ثانوية الحصن للبنات"</f>
        <v>ثانوية الحصن للبنات</v>
      </c>
      <c r="AX29" s="1" t="str">
        <f>"ثانوي"</f>
        <v>ثانوي</v>
      </c>
      <c r="AY29" s="1" t="str">
        <f>"اربد الحصن"</f>
        <v>اربد الحصن</v>
      </c>
      <c r="AZ29" s="1" t="str">
        <f>"73"</f>
        <v>73</v>
      </c>
    </row>
    <row r="30" spans="1:52" x14ac:dyDescent="0.25">
      <c r="A30" s="1">
        <v>29</v>
      </c>
      <c r="B30" s="1" t="str">
        <f>"m3tase101@gmail.com"</f>
        <v>m3tase101@gmail.com</v>
      </c>
      <c r="C30" s="1" t="str">
        <f>"2023-01-20 16:24:42 UTC"</f>
        <v>2023-01-20 16:24:42 UTC</v>
      </c>
      <c r="D30" s="1" t="str">
        <f>"معتصم محمد  عبدالله  الخطيب"</f>
        <v>معتصم محمد  عبدالله  الخطيب</v>
      </c>
      <c r="E30" s="1" t="str">
        <f>"33"</f>
        <v>33</v>
      </c>
      <c r="F30" s="1" t="str">
        <f>"سائق"</f>
        <v>سائق</v>
      </c>
      <c r="G30" s="1" t="str">
        <f>"10"</f>
        <v>10</v>
      </c>
      <c r="H30" s="1" t="str">
        <f>"ذكر"</f>
        <v>ذكر</v>
      </c>
      <c r="I30" s="1" t="str">
        <f>"الأردن;عمان;مواطن"</f>
        <v>الأردن;عمان;مواطن</v>
      </c>
      <c r="J30" s="1" t="str">
        <f>"23-07-1992"</f>
        <v>23-07-1992</v>
      </c>
      <c r="K30" s="1" t="str">
        <f>"translation missing: ar.all_job_role_names.community_outreach"</f>
        <v>translation missing: ar.all_job_role_names.community_outreach</v>
      </c>
      <c r="L30" s="1" t="str">
        <f t="shared" si="0"/>
        <v>career_connect</v>
      </c>
      <c r="M30" s="1" t="str">
        <f>"سائق في مركز الحسين للسرطان "</f>
        <v xml:space="preserve">سائق في مركز الحسين للسرطان </v>
      </c>
      <c r="N30" s="1" t="str">
        <f>"السيارات"</f>
        <v>السيارات</v>
      </c>
      <c r="O30" s="1" t="str">
        <f>""</f>
        <v/>
      </c>
      <c r="P30" s="1" t="str">
        <f>"نعم"</f>
        <v>نعم</v>
      </c>
      <c r="Q30" s="1" t="str">
        <f t="shared" si="12"/>
        <v>لا</v>
      </c>
      <c r="R30" s="1" t="str">
        <f t="shared" si="8"/>
        <v>لا</v>
      </c>
      <c r="S30" s="1" t="str">
        <f t="shared" si="5"/>
        <v>لا</v>
      </c>
      <c r="T30" s="1" t="str">
        <f>"متزوج"</f>
        <v>متزوج</v>
      </c>
      <c r="U30" s="1" t="str">
        <f t="shared" si="2"/>
        <v>أردني</v>
      </c>
      <c r="V30" s="1" t="str">
        <f>"9921036537"</f>
        <v>9921036537</v>
      </c>
      <c r="W30" s="1" t="str">
        <f>"0788106091"</f>
        <v>0788106091</v>
      </c>
      <c r="X30" s="1" t="str">
        <f t="shared" si="11"/>
        <v>بكالوريوس جامعي</v>
      </c>
      <c r="Y30" s="1" t="str">
        <f>""</f>
        <v/>
      </c>
      <c r="Z30" s="1" t="str">
        <f>""</f>
        <v/>
      </c>
      <c r="AA30" s="1" t="str">
        <f>""</f>
        <v/>
      </c>
      <c r="AB30" s="1" t="str">
        <f>""</f>
        <v/>
      </c>
      <c r="AC30" s="1" t="str">
        <f>""</f>
        <v/>
      </c>
      <c r="AD30" s="1" t="str">
        <f>""</f>
        <v/>
      </c>
      <c r="AE30" s="1" t="str">
        <f t="shared" si="3"/>
        <v>الأردن</v>
      </c>
      <c r="AF30" s="1" t="str">
        <f>"جامعة البلقاء التطبيقية "</f>
        <v xml:space="preserve">جامعة البلقاء التطبيقية </v>
      </c>
      <c r="AG30" s="1" t="str">
        <f>""</f>
        <v/>
      </c>
      <c r="AH30" s="1" t="str">
        <f>"نظم معلومات حاسوبية "</f>
        <v xml:space="preserve">نظم معلومات حاسوبية </v>
      </c>
      <c r="AI30" s="1" t="str">
        <f>"2.25"</f>
        <v>2.25</v>
      </c>
      <c r="AJ30" s="1" t="str">
        <f>"مقبول"</f>
        <v>مقبول</v>
      </c>
      <c r="AK30" s="1" t="str">
        <f>""</f>
        <v/>
      </c>
      <c r="AL30" s="1" t="str">
        <f>""</f>
        <v/>
      </c>
      <c r="AM30" s="1" t="str">
        <f>""</f>
        <v/>
      </c>
      <c r="AN30" s="1" t="str">
        <f>""</f>
        <v/>
      </c>
      <c r="AO30" s="1" t="str">
        <f>""</f>
        <v/>
      </c>
      <c r="AP30" s="1" t="str">
        <f>""</f>
        <v/>
      </c>
      <c r="AQ30" s="1" t="str">
        <f>""</f>
        <v/>
      </c>
      <c r="AR30" s="1" t="str">
        <f>""</f>
        <v/>
      </c>
      <c r="AS30" s="1" t="str">
        <f>""</f>
        <v/>
      </c>
      <c r="AT30" s="1" t="str">
        <f>""</f>
        <v/>
      </c>
      <c r="AU30" s="1" t="str">
        <f>""</f>
        <v/>
      </c>
      <c r="AV30" s="1" t="str">
        <f>""</f>
        <v/>
      </c>
      <c r="AW30" s="1" t="str">
        <f>"ابن النفيسة الصناعية"</f>
        <v>ابن النفيسة الصناعية</v>
      </c>
      <c r="AX30" s="1" t="str">
        <f>"ثانوية"</f>
        <v>ثانوية</v>
      </c>
      <c r="AY30" s="1" t="str">
        <f>"عمان"</f>
        <v>عمان</v>
      </c>
      <c r="AZ30" s="1" t="str">
        <f>"77.5"</f>
        <v>77.5</v>
      </c>
    </row>
    <row r="31" spans="1:52" x14ac:dyDescent="0.25">
      <c r="A31" s="1">
        <v>30</v>
      </c>
      <c r="B31" s="1" t="str">
        <f>"raghdadawod23@gmail.com"</f>
        <v>raghdadawod23@gmail.com</v>
      </c>
      <c r="C31" s="1" t="str">
        <f>"2023-03-08 18:06:14 UTC"</f>
        <v>2023-03-08 18:06:14 UTC</v>
      </c>
      <c r="D31" s="1" t="str">
        <f>"Raghda Mohmmad  Abdallah Dawod"</f>
        <v>Raghda Mohmmad  Abdallah Dawod</v>
      </c>
      <c r="E31" s="1" t="str">
        <f>"24"</f>
        <v>24</v>
      </c>
      <c r="F31" s="1" t="str">
        <f>"School counsoler"</f>
        <v>School counsoler</v>
      </c>
      <c r="G31" s="1" t="str">
        <f>"2"</f>
        <v>2</v>
      </c>
      <c r="H31" s="1" t="str">
        <f t="shared" ref="H31:H39" si="14">"أنثى"</f>
        <v>أنثى</v>
      </c>
      <c r="I31" s="1" t="str">
        <f>"الأردن;عمان;مواطن"</f>
        <v>الأردن;عمان;مواطن</v>
      </c>
      <c r="J31" s="1" t="str">
        <f>"23-10-2001"</f>
        <v>23-10-2001</v>
      </c>
      <c r="K31" s="1" t="str">
        <f>"التعليم و التدريب"</f>
        <v>التعليم و التدريب</v>
      </c>
      <c r="L31" s="1" t="str">
        <f t="shared" si="0"/>
        <v>career_connect</v>
      </c>
      <c r="M31" s="1" t="str">
        <f>"School counsoler في Al hassad school"</f>
        <v>School counsoler في Al hassad school</v>
      </c>
      <c r="N31" s="1" t="str">
        <f>"التعليم و التدريب"</f>
        <v>التعليم و التدريب</v>
      </c>
      <c r="O31" s="1" t="str">
        <f>""</f>
        <v/>
      </c>
      <c r="P31" s="1" t="str">
        <f>"نعم"</f>
        <v>نعم</v>
      </c>
      <c r="Q31" s="1" t="str">
        <f t="shared" si="12"/>
        <v>لا</v>
      </c>
      <c r="R31" s="1" t="str">
        <f t="shared" si="8"/>
        <v>لا</v>
      </c>
      <c r="S31" s="1" t="str">
        <f t="shared" si="5"/>
        <v>لا</v>
      </c>
      <c r="T31" s="1" t="str">
        <f t="shared" ref="T31:T41" si="15">"اعزب"</f>
        <v>اعزب</v>
      </c>
      <c r="U31" s="1" t="str">
        <f t="shared" si="2"/>
        <v>أردني</v>
      </c>
      <c r="V31" s="1" t="str">
        <f>"2000380212"</f>
        <v>2000380212</v>
      </c>
      <c r="W31" s="1" t="str">
        <f>"962790856693"</f>
        <v>962790856693</v>
      </c>
      <c r="X31" s="1" t="str">
        <f t="shared" si="11"/>
        <v>بكالوريوس جامعي</v>
      </c>
      <c r="Y31" s="1" t="str">
        <f>""</f>
        <v/>
      </c>
      <c r="Z31" s="1" t="str">
        <f>""</f>
        <v/>
      </c>
      <c r="AA31" s="1" t="str">
        <f>""</f>
        <v/>
      </c>
      <c r="AB31" s="1" t="str">
        <f>""</f>
        <v/>
      </c>
      <c r="AC31" s="1" t="str">
        <f>""</f>
        <v/>
      </c>
      <c r="AD31" s="1" t="str">
        <f>""</f>
        <v/>
      </c>
      <c r="AE31" s="1" t="str">
        <f t="shared" si="3"/>
        <v>الأردن</v>
      </c>
      <c r="AF31" s="1" t="str">
        <f>"الجامعة الاردنية "</f>
        <v xml:space="preserve">الجامعة الاردنية </v>
      </c>
      <c r="AG31" s="1" t="str">
        <f>""</f>
        <v/>
      </c>
      <c r="AH31" s="1" t="str">
        <f>"counseling and mental health"</f>
        <v>counseling and mental health</v>
      </c>
      <c r="AI31" s="1" t="str">
        <f>"3.21"</f>
        <v>3.21</v>
      </c>
      <c r="AJ31" s="1" t="str">
        <f>"ممتاز"</f>
        <v>ممتاز</v>
      </c>
      <c r="AK31" s="1" t="str">
        <f>""</f>
        <v/>
      </c>
      <c r="AL31" s="1" t="str">
        <f>""</f>
        <v/>
      </c>
      <c r="AM31" s="1" t="str">
        <f>""</f>
        <v/>
      </c>
      <c r="AN31" s="1" t="str">
        <f>""</f>
        <v/>
      </c>
      <c r="AO31" s="1" t="str">
        <f>""</f>
        <v/>
      </c>
      <c r="AP31" s="1" t="str">
        <f>""</f>
        <v/>
      </c>
      <c r="AQ31" s="1" t="str">
        <f>""</f>
        <v/>
      </c>
      <c r="AR31" s="1" t="str">
        <f>""</f>
        <v/>
      </c>
      <c r="AS31" s="1" t="str">
        <f>""</f>
        <v/>
      </c>
      <c r="AT31" s="1" t="str">
        <f>""</f>
        <v/>
      </c>
      <c r="AU31" s="1" t="str">
        <f>""</f>
        <v/>
      </c>
      <c r="AV31" s="1" t="str">
        <f>""</f>
        <v/>
      </c>
      <c r="AW31" s="1" t="str">
        <f>"رقية بنت الرسوب"</f>
        <v>رقية بنت الرسوب</v>
      </c>
      <c r="AX31" s="1" t="str">
        <f>"ادبي"</f>
        <v>ادبي</v>
      </c>
      <c r="AY31" s="1" t="str">
        <f>"الاردن"</f>
        <v>الاردن</v>
      </c>
      <c r="AZ31" s="1" t="str">
        <f>"90.2"</f>
        <v>90.2</v>
      </c>
    </row>
    <row r="32" spans="1:52" x14ac:dyDescent="0.25">
      <c r="A32" s="1">
        <v>31</v>
      </c>
      <c r="B32" s="1" t="str">
        <f>"majjdalnajjar@gmail.com"</f>
        <v>majjdalnajjar@gmail.com</v>
      </c>
      <c r="C32" s="1" t="str">
        <f>"2023-03-09 11:18:35 UTC"</f>
        <v>2023-03-09 11:18:35 UTC</v>
      </c>
      <c r="D32" s="1" t="str">
        <f>"Majd  Faleh  Mustafa Alnajjar"</f>
        <v>Majd  Faleh  Mustafa Alnajjar</v>
      </c>
      <c r="E32" s="1" t="str">
        <f>"32"</f>
        <v>32</v>
      </c>
      <c r="F32" s="1" t="str">
        <f>"Researcher "</f>
        <v xml:space="preserve">Researcher </v>
      </c>
      <c r="G32" s="1" t="str">
        <f>"5"</f>
        <v>5</v>
      </c>
      <c r="H32" s="1" t="str">
        <f t="shared" si="14"/>
        <v>أنثى</v>
      </c>
      <c r="I32" s="1" t="str">
        <f>"الأردن;عمان;مواطن"</f>
        <v>الأردن;عمان;مواطن</v>
      </c>
      <c r="J32" s="1" t="str">
        <f>"11-01-1993"</f>
        <v>11-01-1993</v>
      </c>
      <c r="K32" s="1" t="str">
        <f>"العناية الصحية - الصيدلة"</f>
        <v>العناية الصحية - الصيدلة</v>
      </c>
      <c r="L32" s="1" t="str">
        <f t="shared" si="0"/>
        <v>career_connect</v>
      </c>
      <c r="M32" s="1" t="str">
        <f>"Researcher  في Hamdi Mango for Research "</f>
        <v xml:space="preserve">Researcher  في Hamdi Mango for Research </v>
      </c>
      <c r="N32" s="1" t="str">
        <f>"الصيدلة"</f>
        <v>الصيدلة</v>
      </c>
      <c r="O32" s="1" t="str">
        <f>""</f>
        <v/>
      </c>
      <c r="P32" s="1" t="str">
        <f>"نعم"</f>
        <v>نعم</v>
      </c>
      <c r="Q32" s="1" t="str">
        <f t="shared" si="12"/>
        <v>لا</v>
      </c>
      <c r="R32" s="1" t="str">
        <f t="shared" si="8"/>
        <v>لا</v>
      </c>
      <c r="S32" s="1" t="str">
        <f t="shared" si="5"/>
        <v>لا</v>
      </c>
      <c r="T32" s="1" t="str">
        <f t="shared" si="15"/>
        <v>اعزب</v>
      </c>
      <c r="U32" s="1" t="str">
        <f t="shared" si="2"/>
        <v>أردني</v>
      </c>
      <c r="V32" s="1" t="str">
        <f>"9932007235"</f>
        <v>9932007235</v>
      </c>
      <c r="W32" s="1" t="str">
        <f>"00962779111100"</f>
        <v>00962779111100</v>
      </c>
      <c r="X32" s="1" t="str">
        <f>"ماجستير"</f>
        <v>ماجستير</v>
      </c>
      <c r="Y32" s="1" t="str">
        <f>"آخر"</f>
        <v>آخر</v>
      </c>
      <c r="Z32" s="1" t="str">
        <f>""</f>
        <v/>
      </c>
      <c r="AA32" s="1" t="str">
        <f>"UniversityofBradford"</f>
        <v>UniversityofBradford</v>
      </c>
      <c r="AB32" s="1" t="str">
        <f>"Cancer Pharmacology "</f>
        <v xml:space="preserve">Cancer Pharmacology </v>
      </c>
      <c r="AC32" s="1" t="str">
        <f>"70"</f>
        <v>70</v>
      </c>
      <c r="AD32" s="1" t="str">
        <f>"ممتاز"</f>
        <v>ممتاز</v>
      </c>
      <c r="AE32" s="1" t="str">
        <f t="shared" si="3"/>
        <v>الأردن</v>
      </c>
      <c r="AF32" s="1" t="str">
        <f>"الجامعة الالمانية الاردنية "</f>
        <v xml:space="preserve">الجامعة الالمانية الاردنية </v>
      </c>
      <c r="AG32" s="1" t="str">
        <f>""</f>
        <v/>
      </c>
      <c r="AH32" s="1" t="str">
        <f>"Pharmaceutical Chemical Engineering "</f>
        <v xml:space="preserve">Pharmaceutical Chemical Engineering </v>
      </c>
      <c r="AI32" s="1" t="str">
        <f>"72"</f>
        <v>72</v>
      </c>
      <c r="AJ32" s="1" t="str">
        <f>"جيد"</f>
        <v>جيد</v>
      </c>
      <c r="AK32" s="1" t="str">
        <f>""</f>
        <v/>
      </c>
      <c r="AL32" s="1" t="str">
        <f>""</f>
        <v/>
      </c>
      <c r="AM32" s="1" t="str">
        <f>""</f>
        <v/>
      </c>
      <c r="AN32" s="1" t="str">
        <f>""</f>
        <v/>
      </c>
      <c r="AO32" s="1" t="str">
        <f>""</f>
        <v/>
      </c>
      <c r="AP32" s="1" t="str">
        <f>""</f>
        <v/>
      </c>
      <c r="AQ32" s="1" t="str">
        <f>""</f>
        <v/>
      </c>
      <c r="AR32" s="1" t="str">
        <f>""</f>
        <v/>
      </c>
      <c r="AS32" s="1" t="str">
        <f>""</f>
        <v/>
      </c>
      <c r="AT32" s="1" t="str">
        <f>""</f>
        <v/>
      </c>
      <c r="AU32" s="1" t="str">
        <f>""</f>
        <v/>
      </c>
      <c r="AV32" s="1" t="str">
        <f>""</f>
        <v/>
      </c>
      <c r="AW32" s="1" t="str">
        <f>"Al Assriya Schools "</f>
        <v xml:space="preserve">Al Assriya Schools </v>
      </c>
      <c r="AX32" s="1" t="str">
        <f>"High School IGCSE/GCSE"</f>
        <v>High School IGCSE/GCSE</v>
      </c>
      <c r="AY32" s="1" t="str">
        <f>"Jordan "</f>
        <v xml:space="preserve">Jordan </v>
      </c>
      <c r="AZ32" s="1" t="str">
        <f>"84.4"</f>
        <v>84.4</v>
      </c>
    </row>
    <row r="33" spans="1:52" x14ac:dyDescent="0.25">
      <c r="A33" s="1">
        <v>32</v>
      </c>
      <c r="B33" s="1" t="str">
        <f>"linaksasbeh@gmail.com"</f>
        <v>linaksasbeh@gmail.com</v>
      </c>
      <c r="C33" s="1" t="str">
        <f>"2023-05-27 10:06:27 UTC"</f>
        <v>2023-05-27 10:06:27 UTC</v>
      </c>
      <c r="D33" s="1" t="str">
        <f>"لينا  علي  سليم  كساسبه"</f>
        <v>لينا  علي  سليم  كساسبه</v>
      </c>
      <c r="E33" s="1" t="str">
        <f>"24"</f>
        <v>24</v>
      </c>
      <c r="F33" s="1" t="str">
        <f>"لجان شبابيه في مركز الاميره بسمه "</f>
        <v xml:space="preserve">لجان شبابيه في مركز الاميره بسمه </v>
      </c>
      <c r="G33" s="1" t="str">
        <f>"4"</f>
        <v>4</v>
      </c>
      <c r="H33" s="1" t="str">
        <f t="shared" si="14"/>
        <v>أنثى</v>
      </c>
      <c r="I33" s="1" t="str">
        <f>"الأردن;اربد;مواطن"</f>
        <v>الأردن;اربد;مواطن</v>
      </c>
      <c r="J33" s="1" t="str">
        <f>"19-01-2001"</f>
        <v>19-01-2001</v>
      </c>
      <c r="K33" s="1" t="str">
        <f>"التعليم و التدريب"</f>
        <v>التعليم و التدريب</v>
      </c>
      <c r="L33" s="1" t="str">
        <f t="shared" si="0"/>
        <v>career_connect</v>
      </c>
      <c r="M33" s="1" t="str">
        <f>"لجان شبابيه في مركز الاميره بسمه  في  عيادات ألفا "</f>
        <v xml:space="preserve">لجان شبابيه في مركز الاميره بسمه  في  عيادات ألفا </v>
      </c>
      <c r="N33" s="1" t="str">
        <f>"العناية الصحية و الخدمات الطبية"</f>
        <v>العناية الصحية و الخدمات الطبية</v>
      </c>
      <c r="O33" s="1" t="str">
        <f>""</f>
        <v/>
      </c>
      <c r="P33" s="1" t="str">
        <f>"لا"</f>
        <v>لا</v>
      </c>
      <c r="Q33" s="1" t="str">
        <f t="shared" si="12"/>
        <v>لا</v>
      </c>
      <c r="R33" s="1" t="str">
        <f t="shared" si="8"/>
        <v>لا</v>
      </c>
      <c r="S33" s="1" t="str">
        <f t="shared" si="5"/>
        <v>لا</v>
      </c>
      <c r="T33" s="1" t="str">
        <f t="shared" si="15"/>
        <v>اعزب</v>
      </c>
      <c r="U33" s="1" t="str">
        <f t="shared" si="2"/>
        <v>أردني</v>
      </c>
      <c r="V33" s="1" t="str">
        <f>"2000231174"</f>
        <v>2000231174</v>
      </c>
      <c r="W33" s="1" t="str">
        <f>"0770338049"</f>
        <v>0770338049</v>
      </c>
      <c r="X33" s="1" t="str">
        <f>"بكالوريوس جامعي"</f>
        <v>بكالوريوس جامعي</v>
      </c>
      <c r="Y33" s="1" t="str">
        <f>""</f>
        <v/>
      </c>
      <c r="Z33" s="1" t="str">
        <f>""</f>
        <v/>
      </c>
      <c r="AA33" s="1" t="str">
        <f>""</f>
        <v/>
      </c>
      <c r="AB33" s="1" t="str">
        <f>""</f>
        <v/>
      </c>
      <c r="AC33" s="1" t="str">
        <f>""</f>
        <v/>
      </c>
      <c r="AD33" s="1" t="str">
        <f>""</f>
        <v/>
      </c>
      <c r="AE33" s="1" t="str">
        <f t="shared" si="3"/>
        <v>الأردن</v>
      </c>
      <c r="AF33" s="1" t="str">
        <f>"جامعة اليرموك "</f>
        <v xml:space="preserve">جامعة اليرموك </v>
      </c>
      <c r="AG33" s="1" t="str">
        <f>""</f>
        <v/>
      </c>
      <c r="AH33" s="1" t="str">
        <f>"فيزياء طبيه وحيويه "</f>
        <v xml:space="preserve">فيزياء طبيه وحيويه </v>
      </c>
      <c r="AI33" s="1" t="str">
        <f>"68.7"</f>
        <v>68.7</v>
      </c>
      <c r="AJ33" s="1" t="str">
        <f>"جيد"</f>
        <v>جيد</v>
      </c>
      <c r="AK33" s="1" t="str">
        <f>""</f>
        <v/>
      </c>
      <c r="AL33" s="1" t="str">
        <f>""</f>
        <v/>
      </c>
      <c r="AM33" s="1" t="str">
        <f>""</f>
        <v/>
      </c>
      <c r="AN33" s="1" t="str">
        <f>""</f>
        <v/>
      </c>
      <c r="AO33" s="1" t="str">
        <f>""</f>
        <v/>
      </c>
      <c r="AP33" s="1" t="str">
        <f>""</f>
        <v/>
      </c>
      <c r="AQ33" s="1" t="str">
        <f>""</f>
        <v/>
      </c>
      <c r="AR33" s="1" t="str">
        <f>""</f>
        <v/>
      </c>
      <c r="AS33" s="1" t="str">
        <f>""</f>
        <v/>
      </c>
      <c r="AT33" s="1" t="str">
        <f>""</f>
        <v/>
      </c>
      <c r="AU33" s="1" t="str">
        <f>""</f>
        <v/>
      </c>
      <c r="AV33" s="1" t="str">
        <f>""</f>
        <v/>
      </c>
      <c r="AW33" s="1" t="str">
        <f>"ايدون الثانويه للبنات "</f>
        <v xml:space="preserve">ايدون الثانويه للبنات </v>
      </c>
      <c r="AX33" s="1" t="str">
        <f>"توجيهي "</f>
        <v xml:space="preserve">توجيهي </v>
      </c>
      <c r="AY33" s="1" t="str">
        <f>"اربد "</f>
        <v xml:space="preserve">اربد </v>
      </c>
      <c r="AZ33" s="1" t="str">
        <f>"75.3"</f>
        <v>75.3</v>
      </c>
    </row>
    <row r="34" spans="1:52" x14ac:dyDescent="0.25">
      <c r="A34" s="1">
        <v>33</v>
      </c>
      <c r="B34" s="1" t="str">
        <f>"saraalafeer55@gmail.com"</f>
        <v>saraalafeer55@gmail.com</v>
      </c>
      <c r="C34" s="1" t="str">
        <f>"2023-11-05 15:51:09 UTC"</f>
        <v>2023-11-05 15:51:09 UTC</v>
      </c>
      <c r="D34" s="1" t="str">
        <f>"Sara Abdullah Salem Alafeer"</f>
        <v>Sara Abdullah Salem Alafeer</v>
      </c>
      <c r="E34" s="1" t="str">
        <f>"24"</f>
        <v>24</v>
      </c>
      <c r="F34" s="1" t="str">
        <f>"Teacher"</f>
        <v>Teacher</v>
      </c>
      <c r="G34" s="1" t="str">
        <f>"1"</f>
        <v>1</v>
      </c>
      <c r="H34" s="1" t="str">
        <f t="shared" si="14"/>
        <v>أنثى</v>
      </c>
      <c r="I34" s="1" t="str">
        <f>"الأردن;الزرقاء;مواطن"</f>
        <v>الأردن;الزرقاء;مواطن</v>
      </c>
      <c r="J34" s="1" t="str">
        <f>"17-12-2001"</f>
        <v>17-12-2001</v>
      </c>
      <c r="K34" s="1" t="str">
        <f>"المصرفية و المالية "</f>
        <v xml:space="preserve">المصرفية و المالية </v>
      </c>
      <c r="L34" s="1" t="str">
        <f t="shared" si="0"/>
        <v>career_connect</v>
      </c>
      <c r="M34" s="1" t="str">
        <f>"Teacher في Azraq school"</f>
        <v>Teacher في Azraq school</v>
      </c>
      <c r="N34" s="1" t="str">
        <f>"التعليم و التدريب"</f>
        <v>التعليم و التدريب</v>
      </c>
      <c r="O34" s="1" t="str">
        <f>""</f>
        <v/>
      </c>
      <c r="P34" s="1" t="str">
        <f>"نعم"</f>
        <v>نعم</v>
      </c>
      <c r="Q34" s="1" t="str">
        <f t="shared" si="12"/>
        <v>لا</v>
      </c>
      <c r="R34" s="1" t="str">
        <f t="shared" si="8"/>
        <v>لا</v>
      </c>
      <c r="S34" s="1" t="str">
        <f t="shared" si="5"/>
        <v>لا</v>
      </c>
      <c r="T34" s="1" t="str">
        <f t="shared" si="15"/>
        <v>اعزب</v>
      </c>
      <c r="U34" s="1" t="str">
        <f t="shared" si="2"/>
        <v>أردني</v>
      </c>
      <c r="V34" s="1" t="str">
        <f>"2000405838"</f>
        <v>2000405838</v>
      </c>
      <c r="W34" s="1" t="str">
        <f>"0796419143"</f>
        <v>0796419143</v>
      </c>
      <c r="X34" s="1" t="str">
        <f>"بكالوريوس جامعي"</f>
        <v>بكالوريوس جامعي</v>
      </c>
      <c r="Y34" s="1" t="str">
        <f>""</f>
        <v/>
      </c>
      <c r="Z34" s="1" t="str">
        <f>""</f>
        <v/>
      </c>
      <c r="AA34" s="1" t="str">
        <f>""</f>
        <v/>
      </c>
      <c r="AB34" s="1" t="str">
        <f>""</f>
        <v/>
      </c>
      <c r="AC34" s="1" t="str">
        <f>""</f>
        <v/>
      </c>
      <c r="AD34" s="1" t="str">
        <f>""</f>
        <v/>
      </c>
      <c r="AE34" s="1" t="str">
        <f t="shared" si="3"/>
        <v>الأردن</v>
      </c>
      <c r="AF34" s="1" t="str">
        <f>"الجامعة الهاشمية "</f>
        <v xml:space="preserve">الجامعة الهاشمية </v>
      </c>
      <c r="AG34" s="1" t="str">
        <f>""</f>
        <v/>
      </c>
      <c r="AH34" s="1" t="str">
        <f>"إدارة الأعمال "</f>
        <v xml:space="preserve">إدارة الأعمال </v>
      </c>
      <c r="AI34" s="1" t="str">
        <f>"2.58"</f>
        <v>2.58</v>
      </c>
      <c r="AJ34" s="1" t="str">
        <f>"جيد"</f>
        <v>جيد</v>
      </c>
      <c r="AK34" s="1" t="str">
        <f>""</f>
        <v/>
      </c>
      <c r="AL34" s="1" t="str">
        <f>""</f>
        <v/>
      </c>
      <c r="AM34" s="1" t="str">
        <f>""</f>
        <v/>
      </c>
      <c r="AN34" s="1" t="str">
        <f>""</f>
        <v/>
      </c>
      <c r="AO34" s="1" t="str">
        <f>""</f>
        <v/>
      </c>
      <c r="AP34" s="1" t="str">
        <f>""</f>
        <v/>
      </c>
      <c r="AQ34" s="1" t="str">
        <f>""</f>
        <v/>
      </c>
      <c r="AR34" s="1" t="str">
        <f>""</f>
        <v/>
      </c>
      <c r="AS34" s="1" t="str">
        <f>""</f>
        <v/>
      </c>
      <c r="AT34" s="1" t="str">
        <f>""</f>
        <v/>
      </c>
      <c r="AU34" s="1" t="str">
        <f>""</f>
        <v/>
      </c>
      <c r="AV34" s="1" t="str">
        <f>""</f>
        <v/>
      </c>
      <c r="AW34" s="1" t="str">
        <f>"مدرسة الأزرق الثانوية"</f>
        <v>مدرسة الأزرق الثانوية</v>
      </c>
      <c r="AX34" s="1" t="str">
        <f>"توجيهي "</f>
        <v xml:space="preserve">توجيهي </v>
      </c>
      <c r="AY34" s="1" t="str">
        <f>"الاردن "</f>
        <v xml:space="preserve">الاردن </v>
      </c>
      <c r="AZ34" s="1" t="str">
        <f>"82.7"</f>
        <v>82.7</v>
      </c>
    </row>
    <row r="35" spans="1:52" x14ac:dyDescent="0.25">
      <c r="A35" s="1">
        <v>34</v>
      </c>
      <c r="B35" s="1" t="str">
        <f>"maryamhassanabdelmuhsen@gmail"</f>
        <v>maryamhassanabdelmuhsen@gmail</v>
      </c>
      <c r="C35" s="1" t="str">
        <f>"2023-12-16 13:58:42 UTC"</f>
        <v>2023-12-16 13:58:42 UTC</v>
      </c>
      <c r="D35" s="1" t="str">
        <f>"مريم حسن ابراهيم عبد المحسن"</f>
        <v>مريم حسن ابراهيم عبد المحسن</v>
      </c>
      <c r="E35" s="1" t="str">
        <f>"25"</f>
        <v>25</v>
      </c>
      <c r="F35" s="1" t="str">
        <f>""</f>
        <v/>
      </c>
      <c r="G35" s="1" t="str">
        <f>"0"</f>
        <v>0</v>
      </c>
      <c r="H35" s="1" t="str">
        <f t="shared" si="14"/>
        <v>أنثى</v>
      </c>
      <c r="I35" s="1" t="str">
        <f t="shared" ref="I35:I46" si="16">"الأردن;عمان;مواطن"</f>
        <v>الأردن;عمان;مواطن</v>
      </c>
      <c r="J35" s="1" t="str">
        <f>"05-11-2000"</f>
        <v>05-11-2000</v>
      </c>
      <c r="K35" s="1" t="str">
        <f>"العناية الصحية - أخرى"</f>
        <v>العناية الصحية - أخرى</v>
      </c>
      <c r="L35" s="1" t="str">
        <f t="shared" si="0"/>
        <v>career_connect</v>
      </c>
      <c r="M35" s="1" t="str">
        <f>"لا يوجد في لا يوجد"</f>
        <v>لا يوجد في لا يوجد</v>
      </c>
      <c r="N35" s="1" t="str">
        <f>""</f>
        <v/>
      </c>
      <c r="O35" s="1" t="str">
        <f>""</f>
        <v/>
      </c>
      <c r="P35" s="1" t="str">
        <f>"لا"</f>
        <v>لا</v>
      </c>
      <c r="Q35" s="1" t="str">
        <f t="shared" si="12"/>
        <v>لا</v>
      </c>
      <c r="R35" s="1" t="str">
        <f t="shared" si="8"/>
        <v>لا</v>
      </c>
      <c r="S35" s="1" t="str">
        <f t="shared" si="5"/>
        <v>لا</v>
      </c>
      <c r="T35" s="1" t="str">
        <f t="shared" si="15"/>
        <v>اعزب</v>
      </c>
      <c r="U35" s="1" t="str">
        <f t="shared" si="2"/>
        <v>أردني</v>
      </c>
      <c r="V35" s="1" t="str">
        <f>"2000215476"</f>
        <v>2000215476</v>
      </c>
      <c r="W35" s="1" t="str">
        <f>"0796063883"</f>
        <v>0796063883</v>
      </c>
      <c r="X35" s="1" t="str">
        <f>"دبلوم"</f>
        <v>دبلوم</v>
      </c>
      <c r="Y35" s="1" t="str">
        <f>""</f>
        <v/>
      </c>
      <c r="Z35" s="1" t="str">
        <f>""</f>
        <v/>
      </c>
      <c r="AA35" s="1" t="str">
        <f>""</f>
        <v/>
      </c>
      <c r="AB35" s="1" t="str">
        <f>""</f>
        <v/>
      </c>
      <c r="AC35" s="1" t="str">
        <f>""</f>
        <v/>
      </c>
      <c r="AD35" s="1" t="str">
        <f>""</f>
        <v/>
      </c>
      <c r="AE35" s="1" t="str">
        <f>""</f>
        <v/>
      </c>
      <c r="AF35" s="1" t="str">
        <f>""</f>
        <v/>
      </c>
      <c r="AG35" s="1" t="str">
        <f>""</f>
        <v/>
      </c>
      <c r="AH35" s="1" t="str">
        <f>""</f>
        <v/>
      </c>
      <c r="AI35" s="1" t="str">
        <f>""</f>
        <v/>
      </c>
      <c r="AJ35" s="1" t="str">
        <f>""</f>
        <v/>
      </c>
      <c r="AK35" s="1" t="str">
        <f>""</f>
        <v/>
      </c>
      <c r="AL35" s="1" t="str">
        <f>""</f>
        <v/>
      </c>
      <c r="AM35" s="1" t="str">
        <f>""</f>
        <v/>
      </c>
      <c r="AN35" s="1" t="str">
        <f>""</f>
        <v/>
      </c>
      <c r="AO35" s="1" t="str">
        <f>""</f>
        <v/>
      </c>
      <c r="AP35" s="1" t="str">
        <f>""</f>
        <v/>
      </c>
      <c r="AQ35" s="1" t="str">
        <f>"الأردن"</f>
        <v>الأردن</v>
      </c>
      <c r="AR35" s="1" t="str">
        <f>"كلية تدريب عمان "</f>
        <v xml:space="preserve">كلية تدريب عمان </v>
      </c>
      <c r="AS35" s="1" t="str">
        <f>""</f>
        <v/>
      </c>
      <c r="AT35" s="1" t="str">
        <f>"سجلات طبية في كلية حطين غير موجودة بالخيارات"</f>
        <v>سجلات طبية في كلية حطين غير موجودة بالخيارات</v>
      </c>
      <c r="AU35" s="1" t="str">
        <f>"91.5"</f>
        <v>91.5</v>
      </c>
      <c r="AV35" s="1" t="str">
        <f>"ممتاز"</f>
        <v>ممتاز</v>
      </c>
      <c r="AW35" s="1" t="str">
        <f>"ام الحيران الثانوية للبنات"</f>
        <v>ام الحيران الثانوية للبنات</v>
      </c>
      <c r="AX35" s="1" t="str">
        <f>"ممتاز"</f>
        <v>ممتاز</v>
      </c>
      <c r="AY35" s="1" t="str">
        <f>"الأردن"</f>
        <v>الأردن</v>
      </c>
      <c r="AZ35" s="1" t="str">
        <f>"75"</f>
        <v>75</v>
      </c>
    </row>
    <row r="36" spans="1:52" x14ac:dyDescent="0.25">
      <c r="A36" s="1">
        <v>35</v>
      </c>
      <c r="B36" s="1" t="str">
        <f>"daniahmohammed1231@gmail.com"</f>
        <v>daniahmohammed1231@gmail.com</v>
      </c>
      <c r="C36" s="1" t="str">
        <f>"2024-01-02 18:58:26 UTC"</f>
        <v>2024-01-02 18:58:26 UTC</v>
      </c>
      <c r="D36" s="1" t="str">
        <f>"daniah  mohammed  magableh  "</f>
        <v xml:space="preserve">daniah  mohammed  magableh  </v>
      </c>
      <c r="E36" s="1" t="str">
        <f>"24"</f>
        <v>24</v>
      </c>
      <c r="F36" s="1" t="str">
        <f>""</f>
        <v/>
      </c>
      <c r="G36" s="1" t="str">
        <f>"0"</f>
        <v>0</v>
      </c>
      <c r="H36" s="1" t="str">
        <f t="shared" si="14"/>
        <v>أنثى</v>
      </c>
      <c r="I36" s="1" t="str">
        <f t="shared" si="16"/>
        <v>الأردن;عمان;مواطن</v>
      </c>
      <c r="J36" s="1" t="str">
        <f>"17-04-2001"</f>
        <v>17-04-2001</v>
      </c>
      <c r="K36" s="1" t="str">
        <f>"تكنولوجيا المعلومات - البرمجيات و تطوير مواقع الإنترنت"</f>
        <v>تكنولوجيا المعلومات - البرمجيات و تطوير مواقع الإنترنت</v>
      </c>
      <c r="L36" s="1" t="str">
        <f t="shared" si="0"/>
        <v>career_connect</v>
      </c>
      <c r="M36" s="1" t="str">
        <f>"لا يوجد في لا يوجد"</f>
        <v>لا يوجد في لا يوجد</v>
      </c>
      <c r="N36" s="1" t="str">
        <f>""</f>
        <v/>
      </c>
      <c r="O36" s="1" t="str">
        <f>""</f>
        <v/>
      </c>
      <c r="P36" s="1" t="str">
        <f>"لا"</f>
        <v>لا</v>
      </c>
      <c r="Q36" s="1" t="str">
        <f t="shared" si="12"/>
        <v>لا</v>
      </c>
      <c r="R36" s="1" t="str">
        <f t="shared" si="8"/>
        <v>لا</v>
      </c>
      <c r="S36" s="1" t="str">
        <f t="shared" si="5"/>
        <v>لا</v>
      </c>
      <c r="T36" s="1" t="str">
        <f t="shared" si="15"/>
        <v>اعزب</v>
      </c>
      <c r="U36" s="1" t="str">
        <f t="shared" si="2"/>
        <v>أردني</v>
      </c>
      <c r="V36" s="1" t="str">
        <f>"2000279509"</f>
        <v>2000279509</v>
      </c>
      <c r="W36" s="1" t="str">
        <f>"0777201695"</f>
        <v>0777201695</v>
      </c>
      <c r="X36" s="1" t="str">
        <f>"بكالوريوس جامعي"</f>
        <v>بكالوريوس جامعي</v>
      </c>
      <c r="Y36" s="1" t="str">
        <f>""</f>
        <v/>
      </c>
      <c r="Z36" s="1" t="str">
        <f>""</f>
        <v/>
      </c>
      <c r="AA36" s="1" t="str">
        <f>""</f>
        <v/>
      </c>
      <c r="AB36" s="1" t="str">
        <f>""</f>
        <v/>
      </c>
      <c r="AC36" s="1" t="str">
        <f>""</f>
        <v/>
      </c>
      <c r="AD36" s="1" t="str">
        <f>""</f>
        <v/>
      </c>
      <c r="AE36" s="1" t="str">
        <f>"الأردن"</f>
        <v>الأردن</v>
      </c>
      <c r="AF36" s="1" t="str">
        <f>"جامعة اليرموك "</f>
        <v xml:space="preserve">جامعة اليرموك </v>
      </c>
      <c r="AG36" s="1" t="str">
        <f>""</f>
        <v/>
      </c>
      <c r="AH36" s="1" t="str">
        <f>"الامن السيبراني"</f>
        <v>الامن السيبراني</v>
      </c>
      <c r="AI36" s="1" t="str">
        <f>"70"</f>
        <v>70</v>
      </c>
      <c r="AJ36" s="1" t="str">
        <f>"جيد جدا "</f>
        <v xml:space="preserve">جيد جدا </v>
      </c>
      <c r="AK36" s="1" t="str">
        <f>""</f>
        <v/>
      </c>
      <c r="AL36" s="1" t="str">
        <f>""</f>
        <v/>
      </c>
      <c r="AM36" s="1" t="str">
        <f>""</f>
        <v/>
      </c>
      <c r="AN36" s="1" t="str">
        <f>""</f>
        <v/>
      </c>
      <c r="AO36" s="1" t="str">
        <f>""</f>
        <v/>
      </c>
      <c r="AP36" s="1" t="str">
        <f>""</f>
        <v/>
      </c>
      <c r="AQ36" s="1" t="str">
        <f>""</f>
        <v/>
      </c>
      <c r="AR36" s="1" t="str">
        <f>""</f>
        <v/>
      </c>
      <c r="AS36" s="1" t="str">
        <f>""</f>
        <v/>
      </c>
      <c r="AT36" s="1" t="str">
        <f>""</f>
        <v/>
      </c>
      <c r="AU36" s="1" t="str">
        <f>""</f>
        <v/>
      </c>
      <c r="AV36" s="1" t="str">
        <f>""</f>
        <v/>
      </c>
      <c r="AW36" s="1" t="str">
        <f>"مدرسه البنات"</f>
        <v>مدرسه البنات</v>
      </c>
      <c r="AX36" s="1" t="str">
        <f>"توجيهي علمي"</f>
        <v>توجيهي علمي</v>
      </c>
      <c r="AY36" s="1" t="str">
        <f>"الأردن"</f>
        <v>الأردن</v>
      </c>
      <c r="AZ36" s="1" t="str">
        <f>"85"</f>
        <v>85</v>
      </c>
    </row>
    <row r="37" spans="1:52" x14ac:dyDescent="0.25">
      <c r="A37" s="1">
        <v>36</v>
      </c>
      <c r="B37" s="1" t="str">
        <f>"saharqasim67@gmail.com"</f>
        <v>saharqasim67@gmail.com</v>
      </c>
      <c r="C37" s="1" t="str">
        <f>"2024-01-17 21:13:39 UTC"</f>
        <v>2024-01-17 21:13:39 UTC</v>
      </c>
      <c r="D37" s="1" t="str">
        <f>"Sahar  Qasim Yousef Abdullah "</f>
        <v xml:space="preserve">Sahar  Qasim Yousef Abdullah </v>
      </c>
      <c r="E37" s="1" t="str">
        <f>"25"</f>
        <v>25</v>
      </c>
      <c r="F37" s="1" t="str">
        <f>"Process and cleaning validation officer"</f>
        <v>Process and cleaning validation officer</v>
      </c>
      <c r="G37" s="1" t="str">
        <f>"2"</f>
        <v>2</v>
      </c>
      <c r="H37" s="1" t="str">
        <f t="shared" si="14"/>
        <v>أنثى</v>
      </c>
      <c r="I37" s="1" t="str">
        <f t="shared" si="16"/>
        <v>الأردن;عمان;مواطن</v>
      </c>
      <c r="J37" s="1" t="str">
        <f>"18-01-2000"</f>
        <v>18-01-2000</v>
      </c>
      <c r="K37" s="1" t="str">
        <f>"مراقبة و ضبط الجودة"</f>
        <v>مراقبة و ضبط الجودة</v>
      </c>
      <c r="L37" s="1" t="str">
        <f t="shared" si="0"/>
        <v>career_connect</v>
      </c>
      <c r="M37" s="1" t="str">
        <f>"Process and cleaning validفيion officer في Jordan  "</f>
        <v xml:space="preserve">Process and cleaning validفيion officer في Jordan  </v>
      </c>
      <c r="N37" s="1" t="str">
        <f>"الصيدلة"</f>
        <v>الصيدلة</v>
      </c>
      <c r="O37" s="1" t="str">
        <f>""</f>
        <v/>
      </c>
      <c r="P37" s="1" t="str">
        <f>"لا"</f>
        <v>لا</v>
      </c>
      <c r="Q37" s="1" t="str">
        <f t="shared" si="12"/>
        <v>لا</v>
      </c>
      <c r="R37" s="1" t="str">
        <f t="shared" si="8"/>
        <v>لا</v>
      </c>
      <c r="S37" s="1" t="str">
        <f t="shared" si="5"/>
        <v>لا</v>
      </c>
      <c r="T37" s="1" t="str">
        <f t="shared" si="15"/>
        <v>اعزب</v>
      </c>
      <c r="U37" s="1" t="str">
        <f t="shared" si="2"/>
        <v>أردني</v>
      </c>
      <c r="V37" s="1" t="str">
        <f>"2000050663"</f>
        <v>2000050663</v>
      </c>
      <c r="W37" s="1" t="str">
        <f>"0789782639"</f>
        <v>0789782639</v>
      </c>
      <c r="X37" s="1" t="str">
        <f>"بكالوريوس جامعي"</f>
        <v>بكالوريوس جامعي</v>
      </c>
      <c r="Y37" s="1" t="str">
        <f>""</f>
        <v/>
      </c>
      <c r="Z37" s="1" t="str">
        <f>""</f>
        <v/>
      </c>
      <c r="AA37" s="1" t="str">
        <f>""</f>
        <v/>
      </c>
      <c r="AB37" s="1" t="str">
        <f>""</f>
        <v/>
      </c>
      <c r="AC37" s="1" t="str">
        <f>""</f>
        <v/>
      </c>
      <c r="AD37" s="1" t="str">
        <f>""</f>
        <v/>
      </c>
      <c r="AE37" s="1" t="str">
        <f>"الأردن"</f>
        <v>الأردن</v>
      </c>
      <c r="AF37" s="1" t="str">
        <f>"الجامعة الهاشمية "</f>
        <v xml:space="preserve">الجامعة الهاشمية </v>
      </c>
      <c r="AG37" s="1" t="str">
        <f>""</f>
        <v/>
      </c>
      <c r="AH37" s="1" t="str">
        <f>"Medical laboratory science "</f>
        <v xml:space="preserve">Medical laboratory science </v>
      </c>
      <c r="AI37" s="1" t="str">
        <f>"3.22"</f>
        <v>3.22</v>
      </c>
      <c r="AJ37" s="1" t="str">
        <f>"جيد جدا "</f>
        <v xml:space="preserve">جيد جدا </v>
      </c>
      <c r="AK37" s="1" t="str">
        <f>""</f>
        <v/>
      </c>
      <c r="AL37" s="1" t="str">
        <f>""</f>
        <v/>
      </c>
      <c r="AM37" s="1" t="str">
        <f>""</f>
        <v/>
      </c>
      <c r="AN37" s="1" t="str">
        <f>""</f>
        <v/>
      </c>
      <c r="AO37" s="1" t="str">
        <f>""</f>
        <v/>
      </c>
      <c r="AP37" s="1" t="str">
        <f>""</f>
        <v/>
      </c>
      <c r="AQ37" s="1" t="str">
        <f>""</f>
        <v/>
      </c>
      <c r="AR37" s="1" t="str">
        <f>""</f>
        <v/>
      </c>
      <c r="AS37" s="1" t="str">
        <f>""</f>
        <v/>
      </c>
      <c r="AT37" s="1" t="str">
        <f>""</f>
        <v/>
      </c>
      <c r="AU37" s="1" t="str">
        <f>""</f>
        <v/>
      </c>
      <c r="AV37" s="1" t="str">
        <f>""</f>
        <v/>
      </c>
      <c r="AW37" s="1" t="str">
        <f>"Yarmouk secondary school "</f>
        <v xml:space="preserve">Yarmouk secondary school </v>
      </c>
      <c r="AX37" s="1" t="str">
        <f>"Secondary governmental "</f>
        <v xml:space="preserve">Secondary governmental </v>
      </c>
      <c r="AY37" s="1" t="str">
        <f>"Jordan "</f>
        <v xml:space="preserve">Jordan </v>
      </c>
      <c r="AZ37" s="1" t="str">
        <f>"90.8"</f>
        <v>90.8</v>
      </c>
    </row>
    <row r="38" spans="1:52" x14ac:dyDescent="0.25">
      <c r="A38" s="1">
        <v>37</v>
      </c>
      <c r="B38" s="1" t="str">
        <f>"rashasami1111999@gmail.com"</f>
        <v>rashasami1111999@gmail.com</v>
      </c>
      <c r="C38" s="1" t="str">
        <f>"2024-02-06 14:09:08 UTC"</f>
        <v>2024-02-06 14:09:08 UTC</v>
      </c>
      <c r="D38" s="1" t="str">
        <f>"رشا سامي  محمود الحوراني "</f>
        <v xml:space="preserve">رشا سامي  محمود الحوراني </v>
      </c>
      <c r="E38" s="1" t="str">
        <f>"26"</f>
        <v>26</v>
      </c>
      <c r="F38" s="1" t="str">
        <f>"اخصائية تغذية"</f>
        <v>اخصائية تغذية</v>
      </c>
      <c r="G38" s="1" t="str">
        <f>"5"</f>
        <v>5</v>
      </c>
      <c r="H38" s="1" t="str">
        <f t="shared" si="14"/>
        <v>أنثى</v>
      </c>
      <c r="I38" s="1" t="str">
        <f t="shared" si="16"/>
        <v>الأردن;عمان;مواطن</v>
      </c>
      <c r="J38" s="1" t="str">
        <f>"01-11-1999"</f>
        <v>01-11-1999</v>
      </c>
      <c r="K38" s="1" t="str">
        <f>"العناية الصحية - أخرى"</f>
        <v>العناية الصحية - أخرى</v>
      </c>
      <c r="L38" s="1" t="str">
        <f t="shared" si="0"/>
        <v>career_connect</v>
      </c>
      <c r="M38" s="1" t="str">
        <f>"اخصائية تغذية في عيادة الدكتور محمد صلاح اخصائي جهاز هضمي وكبد "</f>
        <v xml:space="preserve">اخصائية تغذية في عيادة الدكتور محمد صلاح اخصائي جهاز هضمي وكبد </v>
      </c>
      <c r="N38" s="1" t="str">
        <f>"العناية الصحية و الخدمات الطبية"</f>
        <v>العناية الصحية و الخدمات الطبية</v>
      </c>
      <c r="O38" s="1" t="str">
        <f>""</f>
        <v/>
      </c>
      <c r="P38" s="1" t="str">
        <f>"نعم"</f>
        <v>نعم</v>
      </c>
      <c r="Q38" s="1" t="str">
        <f t="shared" si="12"/>
        <v>لا</v>
      </c>
      <c r="R38" s="1" t="str">
        <f t="shared" si="8"/>
        <v>لا</v>
      </c>
      <c r="S38" s="1" t="str">
        <f t="shared" si="5"/>
        <v>لا</v>
      </c>
      <c r="T38" s="1" t="str">
        <f t="shared" si="15"/>
        <v>اعزب</v>
      </c>
      <c r="U38" s="1" t="str">
        <f t="shared" si="2"/>
        <v>أردني</v>
      </c>
      <c r="V38" s="1" t="str">
        <f>"9992052478"</f>
        <v>9992052478</v>
      </c>
      <c r="W38" s="1" t="str">
        <f>"0781045281"</f>
        <v>0781045281</v>
      </c>
      <c r="X38" s="1" t="str">
        <f>"بكالوريوس جامعي"</f>
        <v>بكالوريوس جامعي</v>
      </c>
      <c r="Y38" s="1" t="str">
        <f>""</f>
        <v/>
      </c>
      <c r="Z38" s="1" t="str">
        <f>""</f>
        <v/>
      </c>
      <c r="AA38" s="1" t="str">
        <f>""</f>
        <v/>
      </c>
      <c r="AB38" s="1" t="str">
        <f>""</f>
        <v/>
      </c>
      <c r="AC38" s="1" t="str">
        <f>""</f>
        <v/>
      </c>
      <c r="AD38" s="1" t="str">
        <f>""</f>
        <v/>
      </c>
      <c r="AE38" s="1" t="str">
        <f>"الأردن"</f>
        <v>الأردن</v>
      </c>
      <c r="AF38" s="1" t="str">
        <f>"الجامعة الاردنية "</f>
        <v xml:space="preserve">الجامعة الاردنية </v>
      </c>
      <c r="AG38" s="1" t="str">
        <f>""</f>
        <v/>
      </c>
      <c r="AH38" s="1" t="str">
        <f>"تغذية الإنسان والحميات "</f>
        <v xml:space="preserve">تغذية الإنسان والحميات </v>
      </c>
      <c r="AI38" s="1" t="str">
        <f>"2.5"</f>
        <v>2.5</v>
      </c>
      <c r="AJ38" s="1" t="str">
        <f>"جيد"</f>
        <v>جيد</v>
      </c>
      <c r="AK38" s="1" t="str">
        <f>""</f>
        <v/>
      </c>
      <c r="AL38" s="1" t="str">
        <f>""</f>
        <v/>
      </c>
      <c r="AM38" s="1" t="str">
        <f>""</f>
        <v/>
      </c>
      <c r="AN38" s="1" t="str">
        <f>""</f>
        <v/>
      </c>
      <c r="AO38" s="1" t="str">
        <f>""</f>
        <v/>
      </c>
      <c r="AP38" s="1" t="str">
        <f>""</f>
        <v/>
      </c>
      <c r="AQ38" s="1" t="str">
        <f>""</f>
        <v/>
      </c>
      <c r="AR38" s="1" t="str">
        <f>""</f>
        <v/>
      </c>
      <c r="AS38" s="1" t="str">
        <f>""</f>
        <v/>
      </c>
      <c r="AT38" s="1" t="str">
        <f>""</f>
        <v/>
      </c>
      <c r="AU38" s="1" t="str">
        <f>""</f>
        <v/>
      </c>
      <c r="AV38" s="1" t="str">
        <f>""</f>
        <v/>
      </c>
      <c r="AW38" s="1" t="str">
        <f>"النزهة الثانوية"</f>
        <v>النزهة الثانوية</v>
      </c>
      <c r="AX38" s="1" t="str">
        <f>"جيد "</f>
        <v xml:space="preserve">جيد </v>
      </c>
      <c r="AY38" s="1" t="str">
        <f>"الاردن"</f>
        <v>الاردن</v>
      </c>
      <c r="AZ38" s="1" t="str">
        <f>"90"</f>
        <v>90</v>
      </c>
    </row>
    <row r="39" spans="1:52" x14ac:dyDescent="0.25">
      <c r="A39" s="1">
        <v>38</v>
      </c>
      <c r="B39" s="1" t="str">
        <f>"danasaeh@yahoo.com"</f>
        <v>danasaeh@yahoo.com</v>
      </c>
      <c r="C39" s="1" t="str">
        <f>"2024-02-21 12:19:49 UTC"</f>
        <v>2024-02-21 12:19:49 UTC</v>
      </c>
      <c r="D39" s="1" t="str">
        <f>"dana bara abd raoof saeh"</f>
        <v>dana bara abd raoof saeh</v>
      </c>
      <c r="E39" s="1" t="str">
        <f>"26"</f>
        <v>26</v>
      </c>
      <c r="F39" s="1" t="str">
        <f>""</f>
        <v/>
      </c>
      <c r="G39" s="1" t="str">
        <f>"0"</f>
        <v>0</v>
      </c>
      <c r="H39" s="1" t="str">
        <f t="shared" si="14"/>
        <v>أنثى</v>
      </c>
      <c r="I39" s="1" t="str">
        <f t="shared" si="16"/>
        <v>الأردن;عمان;مواطن</v>
      </c>
      <c r="J39" s="1" t="str">
        <f>"18-10-1999"</f>
        <v>18-10-1999</v>
      </c>
      <c r="K39" s="1" t="str">
        <f>"العناية الصحية - الصيدلة"</f>
        <v>العناية الصحية - الصيدلة</v>
      </c>
      <c r="L39" s="1" t="str">
        <f t="shared" si="0"/>
        <v>career_connect</v>
      </c>
      <c r="M39" s="1" t="str">
        <f>"لا يوجد في لا يوجد"</f>
        <v>لا يوجد في لا يوجد</v>
      </c>
      <c r="N39" s="1" t="str">
        <f>""</f>
        <v/>
      </c>
      <c r="O39" s="1" t="str">
        <f>""</f>
        <v/>
      </c>
      <c r="P39" s="1" t="str">
        <f>"نعم"</f>
        <v>نعم</v>
      </c>
      <c r="Q39" s="1" t="str">
        <f t="shared" si="12"/>
        <v>لا</v>
      </c>
      <c r="R39" s="1" t="str">
        <f t="shared" si="8"/>
        <v>لا</v>
      </c>
      <c r="S39" s="1" t="str">
        <f t="shared" si="5"/>
        <v>لا</v>
      </c>
      <c r="T39" s="1" t="str">
        <f t="shared" si="15"/>
        <v>اعزب</v>
      </c>
      <c r="U39" s="1" t="str">
        <f t="shared" si="2"/>
        <v>أردني</v>
      </c>
      <c r="V39" s="1" t="str">
        <f>"9992049691"</f>
        <v>9992049691</v>
      </c>
      <c r="W39" s="1" t="str">
        <f>"9627888070665"</f>
        <v>9627888070665</v>
      </c>
      <c r="X39" s="1" t="str">
        <f>"بكالوريوس جامعي"</f>
        <v>بكالوريوس جامعي</v>
      </c>
      <c r="Y39" s="1" t="str">
        <f>""</f>
        <v/>
      </c>
      <c r="Z39" s="1" t="str">
        <f>""</f>
        <v/>
      </c>
      <c r="AA39" s="1" t="str">
        <f>""</f>
        <v/>
      </c>
      <c r="AB39" s="1" t="str">
        <f>""</f>
        <v/>
      </c>
      <c r="AC39" s="1" t="str">
        <f>""</f>
        <v/>
      </c>
      <c r="AD39" s="1" t="str">
        <f>""</f>
        <v/>
      </c>
      <c r="AE39" s="1" t="str">
        <f>"الأردن"</f>
        <v>الأردن</v>
      </c>
      <c r="AF39" s="1" t="str">
        <f>"جامعة العلوم والتكنولوجيا الاردنية "</f>
        <v xml:space="preserve">جامعة العلوم والتكنولوجيا الاردنية </v>
      </c>
      <c r="AG39" s="1" t="str">
        <f>""</f>
        <v/>
      </c>
      <c r="AH39" s="1" t="str">
        <f>"doctor of pharmacy "</f>
        <v xml:space="preserve">doctor of pharmacy </v>
      </c>
      <c r="AI39" s="1" t="str">
        <f>"3"</f>
        <v>3</v>
      </c>
      <c r="AJ39" s="1" t="str">
        <f>"جيد جدا "</f>
        <v xml:space="preserve">جيد جدا </v>
      </c>
      <c r="AK39" s="1" t="str">
        <f>""</f>
        <v/>
      </c>
      <c r="AL39" s="1" t="str">
        <f>""</f>
        <v/>
      </c>
      <c r="AM39" s="1" t="str">
        <f>""</f>
        <v/>
      </c>
      <c r="AN39" s="1" t="str">
        <f>""</f>
        <v/>
      </c>
      <c r="AO39" s="1" t="str">
        <f>""</f>
        <v/>
      </c>
      <c r="AP39" s="1" t="str">
        <f>""</f>
        <v/>
      </c>
      <c r="AQ39" s="1" t="str">
        <f>""</f>
        <v/>
      </c>
      <c r="AR39" s="1" t="str">
        <f>""</f>
        <v/>
      </c>
      <c r="AS39" s="1" t="str">
        <f>""</f>
        <v/>
      </c>
      <c r="AT39" s="1" t="str">
        <f>""</f>
        <v/>
      </c>
      <c r="AU39" s="1" t="str">
        <f>""</f>
        <v/>
      </c>
      <c r="AV39" s="1" t="str">
        <f>""</f>
        <v/>
      </c>
      <c r="AW39" s="1" t="str">
        <f>"dur al manthor school "</f>
        <v xml:space="preserve">dur al manthor school </v>
      </c>
      <c r="AX39" s="1" t="str">
        <f>"high school "</f>
        <v xml:space="preserve">high school </v>
      </c>
      <c r="AY39" s="1" t="str">
        <f>"amman"</f>
        <v>amman</v>
      </c>
      <c r="AZ39" s="1" t="str">
        <f>"88"</f>
        <v>88</v>
      </c>
    </row>
    <row r="40" spans="1:52" x14ac:dyDescent="0.25">
      <c r="A40" s="1">
        <v>39</v>
      </c>
      <c r="B40" s="1" t="str">
        <f>"ahmedhammad8765@gmail.com"</f>
        <v>ahmedhammad8765@gmail.com</v>
      </c>
      <c r="C40" s="1" t="str">
        <f>"2024-04-18 20:13:51 UTC"</f>
        <v>2024-04-18 20:13:51 UTC</v>
      </c>
      <c r="D40" s="1" t="str">
        <f>"Ahmad Mustafa  Khalil Hammad"</f>
        <v>Ahmad Mustafa  Khalil Hammad</v>
      </c>
      <c r="E40" s="1" t="str">
        <f>"24"</f>
        <v>24</v>
      </c>
      <c r="F40" s="1" t="str">
        <f>"Data Scientist"</f>
        <v>Data Scientist</v>
      </c>
      <c r="G40" s="1" t="str">
        <f>"2"</f>
        <v>2</v>
      </c>
      <c r="H40" s="1" t="str">
        <f>"ذكر"</f>
        <v>ذكر</v>
      </c>
      <c r="I40" s="1" t="str">
        <f t="shared" si="16"/>
        <v>الأردن;عمان;مواطن</v>
      </c>
      <c r="J40" s="1" t="str">
        <f>"05-12-2001"</f>
        <v>05-12-2001</v>
      </c>
      <c r="K40" s="1" t="str">
        <f>"تكنولوجيا المعلومات - البرمجيات و تطوير مواقع الإنترنت"</f>
        <v>تكنولوجيا المعلومات - البرمجيات و تطوير مواقع الإنترنت</v>
      </c>
      <c r="L40" s="1" t="str">
        <f t="shared" si="0"/>
        <v>career_connect</v>
      </c>
      <c r="M40" s="1" t="str">
        <f>"Dفيa Scientist في Desaisiv"</f>
        <v>Dفيa Scientist في Desaisiv</v>
      </c>
      <c r="N40" s="1" t="str">
        <f>"العناية الصحية و الخدمات الطبية"</f>
        <v>العناية الصحية و الخدمات الطبية</v>
      </c>
      <c r="O40" s="1" t="str">
        <f>""</f>
        <v/>
      </c>
      <c r="P40" s="1" t="str">
        <f>"لا"</f>
        <v>لا</v>
      </c>
      <c r="Q40" s="1" t="str">
        <f t="shared" si="12"/>
        <v>لا</v>
      </c>
      <c r="R40" s="1" t="str">
        <f t="shared" si="8"/>
        <v>لا</v>
      </c>
      <c r="S40" s="1" t="str">
        <f t="shared" si="5"/>
        <v>لا</v>
      </c>
      <c r="T40" s="1" t="str">
        <f t="shared" si="15"/>
        <v>اعزب</v>
      </c>
      <c r="U40" s="1" t="str">
        <f t="shared" si="2"/>
        <v>أردني</v>
      </c>
      <c r="V40" s="1" t="str">
        <f>"2000424062"</f>
        <v>2000424062</v>
      </c>
      <c r="W40" s="1" t="str">
        <f>"0788818756"</f>
        <v>0788818756</v>
      </c>
      <c r="X40" s="1" t="str">
        <f>"بكالوريوس جامعي"</f>
        <v>بكالوريوس جامعي</v>
      </c>
      <c r="Y40" s="1" t="str">
        <f>""</f>
        <v/>
      </c>
      <c r="Z40" s="1" t="str">
        <f>""</f>
        <v/>
      </c>
      <c r="AA40" s="1" t="str">
        <f>""</f>
        <v/>
      </c>
      <c r="AB40" s="1" t="str">
        <f>""</f>
        <v/>
      </c>
      <c r="AC40" s="1" t="str">
        <f>""</f>
        <v/>
      </c>
      <c r="AD40" s="1" t="str">
        <f>""</f>
        <v/>
      </c>
      <c r="AE40" s="1" t="str">
        <f>"الأردن"</f>
        <v>الأردن</v>
      </c>
      <c r="AF40" s="1" t="str">
        <f>"جامعة الشرق الاوسط "</f>
        <v xml:space="preserve">جامعة الشرق الاوسط </v>
      </c>
      <c r="AG40" s="1" t="str">
        <f>""</f>
        <v/>
      </c>
      <c r="AH40" s="1" t="str">
        <f>"Artificial Intelligence "</f>
        <v xml:space="preserve">Artificial Intelligence </v>
      </c>
      <c r="AI40" s="1" t="str">
        <f>"3.94"</f>
        <v>3.94</v>
      </c>
      <c r="AJ40" s="1" t="str">
        <f>"ممتاز"</f>
        <v>ممتاز</v>
      </c>
      <c r="AK40" s="1" t="str">
        <f>""</f>
        <v/>
      </c>
      <c r="AL40" s="1" t="str">
        <f>""</f>
        <v/>
      </c>
      <c r="AM40" s="1" t="str">
        <f>""</f>
        <v/>
      </c>
      <c r="AN40" s="1" t="str">
        <f>""</f>
        <v/>
      </c>
      <c r="AO40" s="1" t="str">
        <f>""</f>
        <v/>
      </c>
      <c r="AP40" s="1" t="str">
        <f>""</f>
        <v/>
      </c>
      <c r="AQ40" s="1" t="str">
        <f>""</f>
        <v/>
      </c>
      <c r="AR40" s="1" t="str">
        <f>""</f>
        <v/>
      </c>
      <c r="AS40" s="1" t="str">
        <f>""</f>
        <v/>
      </c>
      <c r="AT40" s="1" t="str">
        <f>""</f>
        <v/>
      </c>
      <c r="AU40" s="1" t="str">
        <f>""</f>
        <v/>
      </c>
      <c r="AV40" s="1" t="str">
        <f>""</f>
        <v/>
      </c>
      <c r="AW40" s="1" t="str">
        <f>"Muwaqqar"</f>
        <v>Muwaqqar</v>
      </c>
      <c r="AX40" s="1" t="str">
        <f>"مدرسة الموقر الثانوية للبنين"</f>
        <v>مدرسة الموقر الثانوية للبنين</v>
      </c>
      <c r="AY40" s="1" t="str">
        <f>"Jordan"</f>
        <v>Jordan</v>
      </c>
      <c r="AZ40" s="1" t="str">
        <f>"79.7"</f>
        <v>79.7</v>
      </c>
    </row>
    <row r="41" spans="1:52" x14ac:dyDescent="0.25">
      <c r="A41" s="1">
        <v>40</v>
      </c>
      <c r="B41" s="1" t="str">
        <f>"vjfhgkg@gmail.com"</f>
        <v>vjfhgkg@gmail.com</v>
      </c>
      <c r="C41" s="1" t="str">
        <f>"2024-07-17 13:11:18 UTC"</f>
        <v>2024-07-17 13:11:18 UTC</v>
      </c>
      <c r="D41" s="1" t="str">
        <f>"محمد عمر  محمود الحرافشه"</f>
        <v>محمد عمر  محمود الحرافشه</v>
      </c>
      <c r="E41" s="1" t="str">
        <f>"29"</f>
        <v>29</v>
      </c>
      <c r="F41" s="1" t="str">
        <f>"مراقب صحه عامه"</f>
        <v>مراقب صحه عامه</v>
      </c>
      <c r="G41" s="1" t="str">
        <f>"8"</f>
        <v>8</v>
      </c>
      <c r="H41" s="1" t="str">
        <f>"ذكر"</f>
        <v>ذكر</v>
      </c>
      <c r="I41" s="1" t="str">
        <f t="shared" si="16"/>
        <v>الأردن;عمان;مواطن</v>
      </c>
      <c r="J41" s="1" t="str">
        <f>"18-10-1996"</f>
        <v>18-10-1996</v>
      </c>
      <c r="K41" s="1" t="str">
        <f>"translation missing: ar.all_job_role_names.monitoring_evaluation"</f>
        <v>translation missing: ar.all_job_role_names.monitoring_evaluation</v>
      </c>
      <c r="L41" s="1" t="str">
        <f t="shared" si="0"/>
        <v>career_connect</v>
      </c>
      <c r="M41" s="1" t="str">
        <f>"مراقب صحه عامه في كثيره"</f>
        <v>مراقب صحه عامه في كثيره</v>
      </c>
      <c r="N41" s="1" t="str">
        <f>"إدارة و خدمات المرافق"</f>
        <v>إدارة و خدمات المرافق</v>
      </c>
      <c r="O41" s="1" t="str">
        <f>""</f>
        <v/>
      </c>
      <c r="P41" s="1" t="str">
        <f>"نعم"</f>
        <v>نعم</v>
      </c>
      <c r="Q41" s="1" t="str">
        <f t="shared" si="12"/>
        <v>لا</v>
      </c>
      <c r="R41" s="1" t="str">
        <f t="shared" si="8"/>
        <v>لا</v>
      </c>
      <c r="S41" s="1" t="str">
        <f t="shared" si="5"/>
        <v>لا</v>
      </c>
      <c r="T41" s="1" t="str">
        <f t="shared" si="15"/>
        <v>اعزب</v>
      </c>
      <c r="U41" s="1" t="str">
        <f t="shared" si="2"/>
        <v>أردني</v>
      </c>
      <c r="V41" s="1" t="str">
        <f>"9961051754"</f>
        <v>9961051754</v>
      </c>
      <c r="W41" s="1" t="str">
        <f>"0789087787"</f>
        <v>0789087787</v>
      </c>
      <c r="X41" s="1" t="str">
        <f>"درجة المدرسة"</f>
        <v>درجة المدرسة</v>
      </c>
      <c r="Y41" s="1" t="str">
        <f>""</f>
        <v/>
      </c>
      <c r="Z41" s="1" t="str">
        <f>""</f>
        <v/>
      </c>
      <c r="AA41" s="1" t="str">
        <f>""</f>
        <v/>
      </c>
      <c r="AB41" s="1" t="str">
        <f>""</f>
        <v/>
      </c>
      <c r="AC41" s="1" t="str">
        <f>""</f>
        <v/>
      </c>
      <c r="AD41" s="1" t="str">
        <f>""</f>
        <v/>
      </c>
      <c r="AE41" s="1" t="str">
        <f>""</f>
        <v/>
      </c>
      <c r="AF41" s="1" t="str">
        <f>""</f>
        <v/>
      </c>
      <c r="AG41" s="1" t="str">
        <f>""</f>
        <v/>
      </c>
      <c r="AH41" s="1" t="str">
        <f>""</f>
        <v/>
      </c>
      <c r="AI41" s="1" t="str">
        <f>""</f>
        <v/>
      </c>
      <c r="AJ41" s="1" t="str">
        <f>""</f>
        <v/>
      </c>
      <c r="AK41" s="1" t="str">
        <f>""</f>
        <v/>
      </c>
      <c r="AL41" s="1" t="str">
        <f>""</f>
        <v/>
      </c>
      <c r="AM41" s="1" t="str">
        <f>""</f>
        <v/>
      </c>
      <c r="AN41" s="1" t="str">
        <f>""</f>
        <v/>
      </c>
      <c r="AO41" s="1" t="str">
        <f>""</f>
        <v/>
      </c>
      <c r="AP41" s="1" t="str">
        <f>""</f>
        <v/>
      </c>
      <c r="AQ41" s="1" t="str">
        <f>""</f>
        <v/>
      </c>
      <c r="AR41" s="1" t="str">
        <f>""</f>
        <v/>
      </c>
      <c r="AS41" s="1" t="str">
        <f>""</f>
        <v/>
      </c>
      <c r="AT41" s="1" t="str">
        <f>""</f>
        <v/>
      </c>
      <c r="AU41" s="1" t="str">
        <f>""</f>
        <v/>
      </c>
      <c r="AV41" s="1" t="str">
        <f>""</f>
        <v/>
      </c>
      <c r="AW41" s="1" t="str">
        <f>"arbid"</f>
        <v>arbid</v>
      </c>
      <c r="AX41" s="1" t="str">
        <f>"76"</f>
        <v>76</v>
      </c>
      <c r="AY41" s="1" t="str">
        <f>"jordan"</f>
        <v>jordan</v>
      </c>
      <c r="AZ41" s="1" t="str">
        <f>"88"</f>
        <v>88</v>
      </c>
    </row>
    <row r="42" spans="1:52" x14ac:dyDescent="0.25">
      <c r="A42" s="1">
        <v>41</v>
      </c>
      <c r="B42" s="1" t="str">
        <f>"a@alradaideh.info"</f>
        <v>a@alradaideh.info</v>
      </c>
      <c r="C42" s="1" t="str">
        <f>"2024-08-06 10:15:40 UTC"</f>
        <v>2024-08-06 10:15:40 UTC</v>
      </c>
      <c r="D42" s="1" t="str">
        <f>"Alia Nidal Atef Ali"</f>
        <v>Alia Nidal Atef Ali</v>
      </c>
      <c r="E42" s="1" t="str">
        <f>"33"</f>
        <v>33</v>
      </c>
      <c r="F42" s="1" t="str">
        <f>"Disability Assessor"</f>
        <v>Disability Assessor</v>
      </c>
      <c r="G42" s="1" t="str">
        <f>"12"</f>
        <v>12</v>
      </c>
      <c r="H42" s="1" t="str">
        <f>"ذكر"</f>
        <v>ذكر</v>
      </c>
      <c r="I42" s="1" t="str">
        <f t="shared" si="16"/>
        <v>الأردن;عمان;مواطن</v>
      </c>
      <c r="J42" s="1" t="str">
        <f>"17-11-1992"</f>
        <v>17-11-1992</v>
      </c>
      <c r="K42" s="1" t="str">
        <f>"الاستشارات"</f>
        <v>الاستشارات</v>
      </c>
      <c r="L42" s="1" t="str">
        <f t="shared" si="0"/>
        <v>career_connect</v>
      </c>
      <c r="M42" s="1" t="str">
        <f>"Disability Assessor في Capita PLC"</f>
        <v>Disability Assessor في Capita PLC</v>
      </c>
      <c r="N42" s="1" t="str">
        <f>"الاستشارات"</f>
        <v>الاستشارات</v>
      </c>
      <c r="O42" s="1" t="str">
        <f>""</f>
        <v/>
      </c>
      <c r="P42" s="1" t="str">
        <f>"لا"</f>
        <v>لا</v>
      </c>
      <c r="Q42" s="1" t="str">
        <f t="shared" si="12"/>
        <v>لا</v>
      </c>
      <c r="R42" s="1" t="str">
        <f t="shared" si="8"/>
        <v>لا</v>
      </c>
      <c r="S42" s="1" t="str">
        <f t="shared" si="5"/>
        <v>لا</v>
      </c>
      <c r="T42" s="1" t="str">
        <f>"متزوج"</f>
        <v>متزوج</v>
      </c>
      <c r="U42" s="1" t="str">
        <f t="shared" si="2"/>
        <v>أردني</v>
      </c>
      <c r="V42" s="1" t="str">
        <f>"2005116699"</f>
        <v>2005116699</v>
      </c>
      <c r="W42" s="1" t="str">
        <f>"0793362323"</f>
        <v>0793362323</v>
      </c>
      <c r="X42" s="1" t="str">
        <f>"بكالوريوس جامعي"</f>
        <v>بكالوريوس جامعي</v>
      </c>
      <c r="Y42" s="1" t="str">
        <f>""</f>
        <v/>
      </c>
      <c r="Z42" s="1" t="str">
        <f>""</f>
        <v/>
      </c>
      <c r="AA42" s="1" t="str">
        <f>""</f>
        <v/>
      </c>
      <c r="AB42" s="1" t="str">
        <f>""</f>
        <v/>
      </c>
      <c r="AC42" s="1" t="str">
        <f>""</f>
        <v/>
      </c>
      <c r="AD42" s="1" t="str">
        <f>""</f>
        <v/>
      </c>
      <c r="AE42" s="1" t="str">
        <f>"آخر"</f>
        <v>آخر</v>
      </c>
      <c r="AF42" s="1" t="str">
        <f>""</f>
        <v/>
      </c>
      <c r="AG42" s="1" t="str">
        <f>"HertfordshireUniveristy"</f>
        <v>HertfordshireUniveristy</v>
      </c>
      <c r="AH42" s="1" t="str">
        <f>"Adult Nursing"</f>
        <v>Adult Nursing</v>
      </c>
      <c r="AI42" s="1" t="str">
        <f>"99"</f>
        <v>99</v>
      </c>
      <c r="AJ42" s="1" t="str">
        <f>"ممتاز"</f>
        <v>ممتاز</v>
      </c>
      <c r="AK42" s="1" t="str">
        <f>""</f>
        <v/>
      </c>
      <c r="AL42" s="1" t="str">
        <f>""</f>
        <v/>
      </c>
      <c r="AM42" s="1" t="str">
        <f>""</f>
        <v/>
      </c>
      <c r="AN42" s="1" t="str">
        <f>""</f>
        <v/>
      </c>
      <c r="AO42" s="1" t="str">
        <f>""</f>
        <v/>
      </c>
      <c r="AP42" s="1" t="str">
        <f>""</f>
        <v/>
      </c>
      <c r="AQ42" s="1" t="str">
        <f>""</f>
        <v/>
      </c>
      <c r="AR42" s="1" t="str">
        <f>""</f>
        <v/>
      </c>
      <c r="AS42" s="1" t="str">
        <f>""</f>
        <v/>
      </c>
      <c r="AT42" s="1" t="str">
        <f>""</f>
        <v/>
      </c>
      <c r="AU42" s="1" t="str">
        <f>""</f>
        <v/>
      </c>
      <c r="AV42" s="1" t="str">
        <f>""</f>
        <v/>
      </c>
      <c r="AW42" s="1" t="str">
        <f>"St Peter's High School; Gloucester"</f>
        <v>St Peter's High School; Gloucester</v>
      </c>
      <c r="AX42" s="1" t="str">
        <f>"GCSE"</f>
        <v>GCSE</v>
      </c>
      <c r="AY42" s="1" t="str">
        <f>"United Kingdom"</f>
        <v>United Kingdom</v>
      </c>
      <c r="AZ42" s="1" t="str">
        <f>"90"</f>
        <v>90</v>
      </c>
    </row>
    <row r="43" spans="1:52" x14ac:dyDescent="0.25">
      <c r="A43" s="1">
        <v>42</v>
      </c>
      <c r="B43" s="1" t="str">
        <f>"marwa.miqdadi@gmail.com"</f>
        <v>marwa.miqdadi@gmail.com</v>
      </c>
      <c r="C43" s="1" t="str">
        <f>"2024-09-14 11:05:40 UTC"</f>
        <v>2024-09-14 11:05:40 UTC</v>
      </c>
      <c r="D43" s="1" t="str">
        <f>"مروه صالح محمد مقدادي"</f>
        <v>مروه صالح محمد مقدادي</v>
      </c>
      <c r="E43" s="1" t="str">
        <f>"27"</f>
        <v>27</v>
      </c>
      <c r="F43" s="1" t="str">
        <f>"اخصائية تغذية علاجية "</f>
        <v xml:space="preserve">اخصائية تغذية علاجية </v>
      </c>
      <c r="G43" s="1" t="str">
        <f>"1"</f>
        <v>1</v>
      </c>
      <c r="H43" s="1" t="str">
        <f t="shared" ref="H43:H49" si="17">"أنثى"</f>
        <v>أنثى</v>
      </c>
      <c r="I43" s="1" t="str">
        <f t="shared" si="16"/>
        <v>الأردن;عمان;مواطن</v>
      </c>
      <c r="J43" s="1" t="str">
        <f>"20-08-1998"</f>
        <v>20-08-1998</v>
      </c>
      <c r="K43" s="1" t="str">
        <f>"العناية الصحية - أخرى"</f>
        <v>العناية الصحية - أخرى</v>
      </c>
      <c r="L43" s="1" t="str">
        <f t="shared" si="0"/>
        <v>career_connect</v>
      </c>
      <c r="M43" s="1" t="str">
        <f>"اخصائية تغذية علاجية  في مستشفى اربد التخصصي"</f>
        <v>اخصائية تغذية علاجية  في مستشفى اربد التخصصي</v>
      </c>
      <c r="N43" s="1" t="str">
        <f>"العناية الصحية و الخدمات الطبية"</f>
        <v>العناية الصحية و الخدمات الطبية</v>
      </c>
      <c r="O43" s="1" t="str">
        <f>""</f>
        <v/>
      </c>
      <c r="P43" s="1" t="str">
        <f>"نعم"</f>
        <v>نعم</v>
      </c>
      <c r="Q43" s="1" t="str">
        <f>"نعم"</f>
        <v>نعم</v>
      </c>
      <c r="R43" s="1" t="str">
        <f t="shared" si="8"/>
        <v>لا</v>
      </c>
      <c r="S43" s="1" t="str">
        <f t="shared" si="5"/>
        <v>لا</v>
      </c>
      <c r="T43" s="1" t="str">
        <f t="shared" ref="T43:T49" si="18">"اعزب"</f>
        <v>اعزب</v>
      </c>
      <c r="U43" s="1" t="str">
        <f t="shared" si="2"/>
        <v>أردني</v>
      </c>
      <c r="V43" s="1" t="str">
        <f>"9982039992"</f>
        <v>9982039992</v>
      </c>
      <c r="W43" s="1" t="str">
        <f>"0796592302"</f>
        <v>0796592302</v>
      </c>
      <c r="X43" s="1" t="str">
        <f>"بكالوريوس جامعي"</f>
        <v>بكالوريوس جامعي</v>
      </c>
      <c r="Y43" s="1" t="str">
        <f>""</f>
        <v/>
      </c>
      <c r="Z43" s="1" t="str">
        <f>""</f>
        <v/>
      </c>
      <c r="AA43" s="1" t="str">
        <f>""</f>
        <v/>
      </c>
      <c r="AB43" s="1" t="str">
        <f>""</f>
        <v/>
      </c>
      <c r="AC43" s="1" t="str">
        <f>""</f>
        <v/>
      </c>
      <c r="AD43" s="1" t="str">
        <f>""</f>
        <v/>
      </c>
      <c r="AE43" s="1" t="str">
        <f>"الأردن"</f>
        <v>الأردن</v>
      </c>
      <c r="AF43" s="1" t="str">
        <f>"جامعة البلقاء التطبيقية "</f>
        <v xml:space="preserve">جامعة البلقاء التطبيقية </v>
      </c>
      <c r="AG43" s="1" t="str">
        <f>""</f>
        <v/>
      </c>
      <c r="AH43" s="1" t="str">
        <f>"التغذية والتصنيع الغذائي "</f>
        <v xml:space="preserve">التغذية والتصنيع الغذائي </v>
      </c>
      <c r="AI43" s="1" t="str">
        <f>"3.03"</f>
        <v>3.03</v>
      </c>
      <c r="AJ43" s="1" t="str">
        <f>"جيد جدا "</f>
        <v xml:space="preserve">جيد جدا </v>
      </c>
      <c r="AK43" s="1" t="str">
        <f>""</f>
        <v/>
      </c>
      <c r="AL43" s="1" t="str">
        <f>""</f>
        <v/>
      </c>
      <c r="AM43" s="1" t="str">
        <f>""</f>
        <v/>
      </c>
      <c r="AN43" s="1" t="str">
        <f>""</f>
        <v/>
      </c>
      <c r="AO43" s="1" t="str">
        <f>""</f>
        <v/>
      </c>
      <c r="AP43" s="1" t="str">
        <f>""</f>
        <v/>
      </c>
      <c r="AQ43" s="1" t="str">
        <f>""</f>
        <v/>
      </c>
      <c r="AR43" s="1" t="str">
        <f>""</f>
        <v/>
      </c>
      <c r="AS43" s="1" t="str">
        <f>""</f>
        <v/>
      </c>
      <c r="AT43" s="1" t="str">
        <f>""</f>
        <v/>
      </c>
      <c r="AU43" s="1" t="str">
        <f>""</f>
        <v/>
      </c>
      <c r="AV43" s="1" t="str">
        <f>""</f>
        <v/>
      </c>
      <c r="AW43" s="1" t="str">
        <f>"مدرسة بيت ايدس الثانوية للبنات "</f>
        <v xml:space="preserve">مدرسة بيت ايدس الثانوية للبنات </v>
      </c>
      <c r="AX43" s="1" t="str">
        <f>"الثانوية "</f>
        <v xml:space="preserve">الثانوية </v>
      </c>
      <c r="AY43" s="1" t="str">
        <f>"الاردن"</f>
        <v>الاردن</v>
      </c>
      <c r="AZ43" s="1" t="str">
        <f>"85"</f>
        <v>85</v>
      </c>
    </row>
    <row r="44" spans="1:52" x14ac:dyDescent="0.25">
      <c r="A44" s="1">
        <v>43</v>
      </c>
      <c r="B44" s="1" t="str">
        <f>"waedsuhailibrahem@gmsil.com"</f>
        <v>waedsuhailibrahem@gmsil.com</v>
      </c>
      <c r="C44" s="1" t="str">
        <f>"2024-10-16 16:21:16 UTC"</f>
        <v>2024-10-16 16:21:16 UTC</v>
      </c>
      <c r="D44" s="1" t="str">
        <f>"waed suhail  mohammad  Ibrahim "</f>
        <v xml:space="preserve">waed suhail  mohammad  Ibrahim </v>
      </c>
      <c r="E44" s="1" t="str">
        <f>"28"</f>
        <v>28</v>
      </c>
      <c r="F44" s="1" t="str">
        <f>"Nursing Clinical instructor "</f>
        <v xml:space="preserve">Nursing Clinical instructor </v>
      </c>
      <c r="G44" s="1" t="str">
        <f>"5"</f>
        <v>5</v>
      </c>
      <c r="H44" s="1" t="str">
        <f t="shared" si="17"/>
        <v>أنثى</v>
      </c>
      <c r="I44" s="1" t="str">
        <f t="shared" si="16"/>
        <v>الأردن;عمان;مواطن</v>
      </c>
      <c r="J44" s="1" t="str">
        <f>"26-05-1997"</f>
        <v>26-05-1997</v>
      </c>
      <c r="K44" s="1" t="str">
        <f>"التعليم و التدريب"</f>
        <v>التعليم و التدريب</v>
      </c>
      <c r="L44" s="1" t="str">
        <f t="shared" si="0"/>
        <v>career_connect</v>
      </c>
      <c r="M44" s="1" t="str">
        <f>"Nursing Clinical instructor  في University of Jordan "</f>
        <v xml:space="preserve">Nursing Clinical instructor  في University of Jordan </v>
      </c>
      <c r="N44" s="1" t="str">
        <f>"التعليم و التدريب"</f>
        <v>التعليم و التدريب</v>
      </c>
      <c r="O44" s="1" t="str">
        <f>""</f>
        <v/>
      </c>
      <c r="P44" s="1" t="str">
        <f>"نعم"</f>
        <v>نعم</v>
      </c>
      <c r="Q44" s="1" t="str">
        <f t="shared" ref="Q44:R64" si="19">"لا"</f>
        <v>لا</v>
      </c>
      <c r="R44" s="1" t="str">
        <f t="shared" si="8"/>
        <v>لا</v>
      </c>
      <c r="S44" s="1" t="str">
        <f t="shared" si="5"/>
        <v>لا</v>
      </c>
      <c r="T44" s="1" t="str">
        <f t="shared" si="18"/>
        <v>اعزب</v>
      </c>
      <c r="U44" s="1" t="str">
        <f t="shared" si="2"/>
        <v>أردني</v>
      </c>
      <c r="V44" s="1" t="str">
        <f>"9972022208"</f>
        <v>9972022208</v>
      </c>
      <c r="W44" s="1" t="str">
        <f>"0790051092"</f>
        <v>0790051092</v>
      </c>
      <c r="X44" s="1" t="str">
        <f>"ماجستير"</f>
        <v>ماجستير</v>
      </c>
      <c r="Y44" s="1" t="str">
        <f>"الأردن"</f>
        <v>الأردن</v>
      </c>
      <c r="Z44" s="1" t="str">
        <f>"الجامعة الاردنية "</f>
        <v xml:space="preserve">الجامعة الاردنية </v>
      </c>
      <c r="AA44" s="1" t="str">
        <f>""</f>
        <v/>
      </c>
      <c r="AB44" s="1" t="str">
        <f>"Public Health "</f>
        <v xml:space="preserve">Public Health </v>
      </c>
      <c r="AC44" s="1" t="str">
        <f>"3.59"</f>
        <v>3.59</v>
      </c>
      <c r="AD44" s="1" t="str">
        <f>" جيد جدا  "</f>
        <v xml:space="preserve"> جيد جدا  </v>
      </c>
      <c r="AE44" s="1" t="str">
        <f>"الأردن"</f>
        <v>الأردن</v>
      </c>
      <c r="AF44" s="1" t="str">
        <f>"الجامعة الاردنية "</f>
        <v xml:space="preserve">الجامعة الاردنية </v>
      </c>
      <c r="AG44" s="1" t="str">
        <f>""</f>
        <v/>
      </c>
      <c r="AH44" s="1" t="str">
        <f>"Nursing "</f>
        <v xml:space="preserve">Nursing </v>
      </c>
      <c r="AI44" s="1" t="str">
        <f>"3.65"</f>
        <v>3.65</v>
      </c>
      <c r="AJ44" s="1" t="str">
        <f>"ممتاز"</f>
        <v>ممتاز</v>
      </c>
      <c r="AK44" s="1" t="str">
        <f>""</f>
        <v/>
      </c>
      <c r="AL44" s="1" t="str">
        <f>""</f>
        <v/>
      </c>
      <c r="AM44" s="1" t="str">
        <f>""</f>
        <v/>
      </c>
      <c r="AN44" s="1" t="str">
        <f>""</f>
        <v/>
      </c>
      <c r="AO44" s="1" t="str">
        <f>""</f>
        <v/>
      </c>
      <c r="AP44" s="1" t="str">
        <f>""</f>
        <v/>
      </c>
      <c r="AQ44" s="1" t="str">
        <f>""</f>
        <v/>
      </c>
      <c r="AR44" s="1" t="str">
        <f>""</f>
        <v/>
      </c>
      <c r="AS44" s="1" t="str">
        <f>""</f>
        <v/>
      </c>
      <c r="AT44" s="1" t="str">
        <f>""</f>
        <v/>
      </c>
      <c r="AU44" s="1" t="str">
        <f>""</f>
        <v/>
      </c>
      <c r="AV44" s="1" t="str">
        <f>""</f>
        <v/>
      </c>
      <c r="AW44" s="1" t="str">
        <f>" high school Alyarmouk"</f>
        <v xml:space="preserve"> high school Alyarmouk</v>
      </c>
      <c r="AX44" s="1" t="str">
        <f>"Tawjihi/scientific stream"</f>
        <v>Tawjihi/scientific stream</v>
      </c>
      <c r="AY44" s="1" t="str">
        <f>"Jordan "</f>
        <v xml:space="preserve">Jordan </v>
      </c>
      <c r="AZ44" s="1" t="str">
        <f>"88.2"</f>
        <v>88.2</v>
      </c>
    </row>
    <row r="45" spans="1:52" x14ac:dyDescent="0.25">
      <c r="A45" s="1">
        <v>44</v>
      </c>
      <c r="B45" s="1" t="str">
        <f>"shahedmaged13@gamil.com"</f>
        <v>shahedmaged13@gamil.com</v>
      </c>
      <c r="C45" s="1" t="str">
        <f>"2024-11-09 08:05:54 UTC"</f>
        <v>2024-11-09 08:05:54 UTC</v>
      </c>
      <c r="D45" s="1" t="str">
        <f>"شهد  ماجد  جواد السحار"</f>
        <v>شهد  ماجد  جواد السحار</v>
      </c>
      <c r="E45" s="1" t="str">
        <f>"22"</f>
        <v>22</v>
      </c>
      <c r="F45" s="1" t="str">
        <f>"سكرتاريا طبية "</f>
        <v xml:space="preserve">سكرتاريا طبية </v>
      </c>
      <c r="G45" s="1" t="str">
        <f>"1"</f>
        <v>1</v>
      </c>
      <c r="H45" s="1" t="str">
        <f t="shared" si="17"/>
        <v>أنثى</v>
      </c>
      <c r="I45" s="1" t="str">
        <f t="shared" si="16"/>
        <v>الأردن;عمان;مواطن</v>
      </c>
      <c r="J45" s="1" t="str">
        <f>"13-10-2003"</f>
        <v>13-10-2003</v>
      </c>
      <c r="K45" s="1" t="str">
        <f>"الأعمال الإدارية و السكرتارية"</f>
        <v>الأعمال الإدارية و السكرتارية</v>
      </c>
      <c r="L45" s="1" t="str">
        <f t="shared" si="0"/>
        <v>career_connect</v>
      </c>
      <c r="M45" s="1" t="str">
        <f>"سكرتاريا طبية  في عيادة عيون "</f>
        <v xml:space="preserve">سكرتاريا طبية  في عيادة عيون </v>
      </c>
      <c r="N45" s="1" t="str">
        <f>"العناية الصحية و الخدمات الطبية"</f>
        <v>العناية الصحية و الخدمات الطبية</v>
      </c>
      <c r="O45" s="1" t="str">
        <f>""</f>
        <v/>
      </c>
      <c r="P45" s="1" t="str">
        <f>"لا"</f>
        <v>لا</v>
      </c>
      <c r="Q45" s="1" t="str">
        <f t="shared" si="19"/>
        <v>لا</v>
      </c>
      <c r="R45" s="1" t="str">
        <f t="shared" si="8"/>
        <v>لا</v>
      </c>
      <c r="S45" s="1" t="str">
        <f t="shared" si="5"/>
        <v>لا</v>
      </c>
      <c r="T45" s="1" t="str">
        <f t="shared" si="18"/>
        <v>اعزب</v>
      </c>
      <c r="U45" s="1" t="str">
        <f>"أبناء الأردنيات"</f>
        <v>أبناء الأردنيات</v>
      </c>
      <c r="V45" s="1" t="str">
        <f>""</f>
        <v/>
      </c>
      <c r="W45" s="1" t="str">
        <f>"0791762969"</f>
        <v>0791762969</v>
      </c>
      <c r="X45" s="1" t="str">
        <f>"دبلوم"</f>
        <v>دبلوم</v>
      </c>
      <c r="Y45" s="1" t="str">
        <f>""</f>
        <v/>
      </c>
      <c r="Z45" s="1" t="str">
        <f>""</f>
        <v/>
      </c>
      <c r="AA45" s="1" t="str">
        <f>""</f>
        <v/>
      </c>
      <c r="AB45" s="1" t="str">
        <f>""</f>
        <v/>
      </c>
      <c r="AC45" s="1" t="str">
        <f>""</f>
        <v/>
      </c>
      <c r="AD45" s="1" t="str">
        <f>""</f>
        <v/>
      </c>
      <c r="AE45" s="1" t="str">
        <f>""</f>
        <v/>
      </c>
      <c r="AF45" s="1" t="str">
        <f>""</f>
        <v/>
      </c>
      <c r="AG45" s="1" t="str">
        <f>""</f>
        <v/>
      </c>
      <c r="AH45" s="1" t="str">
        <f>""</f>
        <v/>
      </c>
      <c r="AI45" s="1" t="str">
        <f>""</f>
        <v/>
      </c>
      <c r="AJ45" s="1" t="str">
        <f>""</f>
        <v/>
      </c>
      <c r="AK45" s="1" t="str">
        <f>""</f>
        <v/>
      </c>
      <c r="AL45" s="1" t="str">
        <f>""</f>
        <v/>
      </c>
      <c r="AM45" s="1" t="str">
        <f>""</f>
        <v/>
      </c>
      <c r="AN45" s="1" t="str">
        <f>""</f>
        <v/>
      </c>
      <c r="AO45" s="1" t="str">
        <f>""</f>
        <v/>
      </c>
      <c r="AP45" s="1" t="str">
        <f>""</f>
        <v/>
      </c>
      <c r="AQ45" s="1" t="str">
        <f>"الأردن"</f>
        <v>الأردن</v>
      </c>
      <c r="AR45" s="1" t="str">
        <f>"كلية تدريب عمان "</f>
        <v xml:space="preserve">كلية تدريب عمان </v>
      </c>
      <c r="AS45" s="1" t="str">
        <f>""</f>
        <v/>
      </c>
      <c r="AT45" s="1" t="str">
        <f>"سكرتاريا تتفذية وادارة مكاتب"</f>
        <v>سكرتاريا تتفذية وادارة مكاتب</v>
      </c>
      <c r="AU45" s="1" t="str">
        <f>"76.4"</f>
        <v>76.4</v>
      </c>
      <c r="AV45" s="1" t="str">
        <f>"   جيد جدا "</f>
        <v xml:space="preserve">   جيد جدا </v>
      </c>
      <c r="AW45" s="1" t="str">
        <f>"مدرسة حي نزال الثانوية"</f>
        <v>مدرسة حي نزال الثانوية</v>
      </c>
      <c r="AX45" s="1" t="str">
        <f>"حكومية"</f>
        <v>حكومية</v>
      </c>
      <c r="AY45" s="1" t="str">
        <f>"الاردن"</f>
        <v>الاردن</v>
      </c>
      <c r="AZ45" s="1" t="str">
        <f>"80.7"</f>
        <v>80.7</v>
      </c>
    </row>
    <row r="46" spans="1:52" x14ac:dyDescent="0.25">
      <c r="A46" s="1">
        <v>45</v>
      </c>
      <c r="B46" s="1" t="str">
        <f>"mysns0446@gmail.com"</f>
        <v>mysns0446@gmail.com</v>
      </c>
      <c r="C46" s="1" t="str">
        <f>"2024-11-26 17:11:28 UTC"</f>
        <v>2024-11-26 17:11:28 UTC</v>
      </c>
      <c r="D46" s="1" t="str">
        <f>"Maysoon  Nasser Ali Samhan"</f>
        <v>Maysoon  Nasser Ali Samhan</v>
      </c>
      <c r="E46" s="1" t="str">
        <f>"39"</f>
        <v>39</v>
      </c>
      <c r="F46" s="1" t="str">
        <f>"Senior mri technologist "</f>
        <v xml:space="preserve">Senior mri technologist </v>
      </c>
      <c r="G46" s="1" t="str">
        <f>"13"</f>
        <v>13</v>
      </c>
      <c r="H46" s="1" t="str">
        <f t="shared" si="17"/>
        <v>أنثى</v>
      </c>
      <c r="I46" s="1" t="str">
        <f t="shared" si="16"/>
        <v>الأردن;عمان;مواطن</v>
      </c>
      <c r="J46" s="1" t="str">
        <f>"31-07-1986"</f>
        <v>31-07-1986</v>
      </c>
      <c r="K46" s="1" t="str">
        <f>"العناية الصحية - أخرى"</f>
        <v>العناية الصحية - أخرى</v>
      </c>
      <c r="L46" s="1" t="str">
        <f t="shared" si="0"/>
        <v>career_connect</v>
      </c>
      <c r="M46" s="1" t="str">
        <f>"Senior mri technologist  في Head of mri unit"</f>
        <v>Senior mri technologist  في Head of mri unit</v>
      </c>
      <c r="N46" s="1" t="str">
        <f>"العناية الصحية و الخدمات الطبية"</f>
        <v>العناية الصحية و الخدمات الطبية</v>
      </c>
      <c r="O46" s="1" t="str">
        <f>""</f>
        <v/>
      </c>
      <c r="P46" s="1" t="str">
        <f>"نعم"</f>
        <v>نعم</v>
      </c>
      <c r="Q46" s="1" t="str">
        <f t="shared" si="19"/>
        <v>لا</v>
      </c>
      <c r="R46" s="1" t="str">
        <f t="shared" si="8"/>
        <v>لا</v>
      </c>
      <c r="S46" s="1" t="str">
        <f t="shared" si="5"/>
        <v>لا</v>
      </c>
      <c r="T46" s="1" t="str">
        <f t="shared" si="18"/>
        <v>اعزب</v>
      </c>
      <c r="U46" s="1" t="str">
        <f t="shared" ref="U46:U54" si="20">"أردني"</f>
        <v>أردني</v>
      </c>
      <c r="V46" s="1" t="str">
        <f>"9862050665"</f>
        <v>9862050665</v>
      </c>
      <c r="W46" s="1" t="str">
        <f>"786079987"</f>
        <v>786079987</v>
      </c>
      <c r="X46" s="1" t="str">
        <f>"بكالوريوس جامعي"</f>
        <v>بكالوريوس جامعي</v>
      </c>
      <c r="Y46" s="1" t="str">
        <f>""</f>
        <v/>
      </c>
      <c r="Z46" s="1" t="str">
        <f>""</f>
        <v/>
      </c>
      <c r="AA46" s="1" t="str">
        <f>""</f>
        <v/>
      </c>
      <c r="AB46" s="1" t="str">
        <f>""</f>
        <v/>
      </c>
      <c r="AC46" s="1" t="str">
        <f>""</f>
        <v/>
      </c>
      <c r="AD46" s="1" t="str">
        <f>""</f>
        <v/>
      </c>
      <c r="AE46" s="1" t="str">
        <f t="shared" ref="AE46:AE55" si="21">"الأردن"</f>
        <v>الأردن</v>
      </c>
      <c r="AF46" s="1" t="str">
        <f>"جامعة العلوم والتكنولوجيا الاردنية "</f>
        <v xml:space="preserve">جامعة العلوم والتكنولوجيا الاردنية </v>
      </c>
      <c r="AG46" s="1" t="str">
        <f>""</f>
        <v/>
      </c>
      <c r="AH46" s="1" t="str">
        <f>"تكنولوجيا الاشعه "</f>
        <v xml:space="preserve">تكنولوجيا الاشعه </v>
      </c>
      <c r="AI46" s="1" t="str">
        <f>"67.5"</f>
        <v>67.5</v>
      </c>
      <c r="AJ46" s="1" t="str">
        <f>"مقبول"</f>
        <v>مقبول</v>
      </c>
      <c r="AK46" s="1" t="str">
        <f>""</f>
        <v/>
      </c>
      <c r="AL46" s="1" t="str">
        <f>""</f>
        <v/>
      </c>
      <c r="AM46" s="1" t="str">
        <f>""</f>
        <v/>
      </c>
      <c r="AN46" s="1" t="str">
        <f>""</f>
        <v/>
      </c>
      <c r="AO46" s="1" t="str">
        <f>""</f>
        <v/>
      </c>
      <c r="AP46" s="1" t="str">
        <f>""</f>
        <v/>
      </c>
      <c r="AQ46" s="1" t="str">
        <f>""</f>
        <v/>
      </c>
      <c r="AR46" s="1" t="str">
        <f>""</f>
        <v/>
      </c>
      <c r="AS46" s="1" t="str">
        <f>""</f>
        <v/>
      </c>
      <c r="AT46" s="1" t="str">
        <f>""</f>
        <v/>
      </c>
      <c r="AU46" s="1" t="str">
        <f>""</f>
        <v/>
      </c>
      <c r="AV46" s="1" t="str">
        <f>""</f>
        <v/>
      </c>
      <c r="AW46" s="1" t="str">
        <f>"الوكرة"</f>
        <v>الوكرة</v>
      </c>
      <c r="AX46" s="1" t="str">
        <f>"توجيهي"</f>
        <v>توجيهي</v>
      </c>
      <c r="AY46" s="1" t="str">
        <f>"قطر "</f>
        <v xml:space="preserve">قطر </v>
      </c>
      <c r="AZ46" s="1" t="str">
        <f>"94.5"</f>
        <v>94.5</v>
      </c>
    </row>
    <row r="47" spans="1:52" x14ac:dyDescent="0.25">
      <c r="A47" s="1">
        <v>46</v>
      </c>
      <c r="B47" s="1" t="str">
        <f>"nooraltal101@gmail.com"</f>
        <v>nooraltal101@gmail.com</v>
      </c>
      <c r="C47" s="1" t="str">
        <f>"2024-12-06 17:11:34 UTC"</f>
        <v>2024-12-06 17:11:34 UTC</v>
      </c>
      <c r="D47" s="1" t="str">
        <f>"نور  إبراهيم  رشاد  الطل"</f>
        <v>نور  إبراهيم  رشاد  الطل</v>
      </c>
      <c r="E47" s="1" t="str">
        <f>"24"</f>
        <v>24</v>
      </c>
      <c r="F47" s="1" t="str">
        <f>""</f>
        <v/>
      </c>
      <c r="G47" s="1" t="str">
        <f>"0"</f>
        <v>0</v>
      </c>
      <c r="H47" s="1" t="str">
        <f t="shared" si="17"/>
        <v>أنثى</v>
      </c>
      <c r="I47" s="1" t="str">
        <f>"الأردن;مادبا;مواطن"</f>
        <v>الأردن;مادبا;مواطن</v>
      </c>
      <c r="J47" s="1" t="str">
        <f>"01-10-2001"</f>
        <v>01-10-2001</v>
      </c>
      <c r="K47" s="1" t="str">
        <f>"العناية الصحية - أخرى"</f>
        <v>العناية الصحية - أخرى</v>
      </c>
      <c r="L47" s="1" t="str">
        <f t="shared" si="0"/>
        <v>career_connect</v>
      </c>
      <c r="M47" s="1" t="str">
        <f>"لا يوجد في لا يوجد"</f>
        <v>لا يوجد في لا يوجد</v>
      </c>
      <c r="N47" s="1" t="str">
        <f>""</f>
        <v/>
      </c>
      <c r="O47" s="1" t="str">
        <f>""</f>
        <v/>
      </c>
      <c r="P47" s="1" t="str">
        <f>"نعم"</f>
        <v>نعم</v>
      </c>
      <c r="Q47" s="1" t="str">
        <f t="shared" si="19"/>
        <v>لا</v>
      </c>
      <c r="R47" s="1" t="str">
        <f t="shared" si="8"/>
        <v>لا</v>
      </c>
      <c r="S47" s="1" t="str">
        <f t="shared" si="5"/>
        <v>لا</v>
      </c>
      <c r="T47" s="1" t="str">
        <f t="shared" si="18"/>
        <v>اعزب</v>
      </c>
      <c r="U47" s="1" t="str">
        <f t="shared" si="20"/>
        <v>أردني</v>
      </c>
      <c r="V47" s="1" t="str">
        <f>"2000374485"</f>
        <v>2000374485</v>
      </c>
      <c r="W47" s="1" t="str">
        <f>"0799222107"</f>
        <v>0799222107</v>
      </c>
      <c r="X47" s="1" t="str">
        <f>"بكالوريوس جامعي"</f>
        <v>بكالوريوس جامعي</v>
      </c>
      <c r="Y47" s="1" t="str">
        <f>""</f>
        <v/>
      </c>
      <c r="Z47" s="1" t="str">
        <f>""</f>
        <v/>
      </c>
      <c r="AA47" s="1" t="str">
        <f>""</f>
        <v/>
      </c>
      <c r="AB47" s="1" t="str">
        <f>""</f>
        <v/>
      </c>
      <c r="AC47" s="1" t="str">
        <f>""</f>
        <v/>
      </c>
      <c r="AD47" s="1" t="str">
        <f>""</f>
        <v/>
      </c>
      <c r="AE47" s="1" t="str">
        <f t="shared" si="21"/>
        <v>الأردن</v>
      </c>
      <c r="AF47" s="1" t="str">
        <f>"جامعة البلقاء التطبيقية "</f>
        <v xml:space="preserve">جامعة البلقاء التطبيقية </v>
      </c>
      <c r="AG47" s="1" t="str">
        <f>""</f>
        <v/>
      </c>
      <c r="AH47" s="1" t="str">
        <f>"المختبرات الطبية "</f>
        <v xml:space="preserve">المختبرات الطبية </v>
      </c>
      <c r="AI47" s="1" t="str">
        <f>"3.05"</f>
        <v>3.05</v>
      </c>
      <c r="AJ47" s="1" t="str">
        <f>"جيد جدا "</f>
        <v xml:space="preserve">جيد جدا </v>
      </c>
      <c r="AK47" s="1" t="str">
        <f>""</f>
        <v/>
      </c>
      <c r="AL47" s="1" t="str">
        <f>""</f>
        <v/>
      </c>
      <c r="AM47" s="1" t="str">
        <f>""</f>
        <v/>
      </c>
      <c r="AN47" s="1" t="str">
        <f>""</f>
        <v/>
      </c>
      <c r="AO47" s="1" t="str">
        <f>""</f>
        <v/>
      </c>
      <c r="AP47" s="1" t="str">
        <f>""</f>
        <v/>
      </c>
      <c r="AQ47" s="1" t="str">
        <f>""</f>
        <v/>
      </c>
      <c r="AR47" s="1" t="str">
        <f>""</f>
        <v/>
      </c>
      <c r="AS47" s="1" t="str">
        <f>""</f>
        <v/>
      </c>
      <c r="AT47" s="1" t="str">
        <f>""</f>
        <v/>
      </c>
      <c r="AU47" s="1" t="str">
        <f>""</f>
        <v/>
      </c>
      <c r="AV47" s="1" t="str">
        <f>""</f>
        <v/>
      </c>
      <c r="AW47" s="1" t="str">
        <f>"الأميرة بسمة"</f>
        <v>الأميرة بسمة</v>
      </c>
      <c r="AX47" s="1" t="str">
        <f>"ثانوي "</f>
        <v xml:space="preserve">ثانوي </v>
      </c>
      <c r="AY47" s="1" t="str">
        <f>"الأردن "</f>
        <v xml:space="preserve">الأردن </v>
      </c>
      <c r="AZ47" s="1" t="str">
        <f>"89.8"</f>
        <v>89.8</v>
      </c>
    </row>
    <row r="48" spans="1:52" x14ac:dyDescent="0.25">
      <c r="A48" s="1">
        <v>47</v>
      </c>
      <c r="B48" s="1" t="str">
        <f>"mervat_mahmoud95@outloo.com"</f>
        <v>mervat_mahmoud95@outloo.com</v>
      </c>
      <c r="C48" s="1" t="str">
        <f>"2024-12-24 20:39:54 UTC"</f>
        <v>2024-12-24 20:39:54 UTC</v>
      </c>
      <c r="D48" s="1" t="str">
        <f>"ميرفت محمود ابراهيم ابو الهيجاء"</f>
        <v>ميرفت محمود ابراهيم ابو الهيجاء</v>
      </c>
      <c r="E48" s="1" t="str">
        <f>"30"</f>
        <v>30</v>
      </c>
      <c r="F48" s="1" t="str">
        <f>"مساعد باحثمحلل احصائي ومحاضر"</f>
        <v>مساعد باحثمحلل احصائي ومحاضر</v>
      </c>
      <c r="G48" s="1" t="str">
        <f>"1"</f>
        <v>1</v>
      </c>
      <c r="H48" s="1" t="str">
        <f t="shared" si="17"/>
        <v>أنثى</v>
      </c>
      <c r="I48" s="1" t="str">
        <f>"الأردن;اربد;مواطن"</f>
        <v>الأردن;اربد;مواطن</v>
      </c>
      <c r="J48" s="1" t="str">
        <f>"16-02-1995"</f>
        <v>16-02-1995</v>
      </c>
      <c r="K48" s="1" t="str">
        <f>"التعليم و التدريب"</f>
        <v>التعليم و التدريب</v>
      </c>
      <c r="L48" s="1" t="str">
        <f t="shared" si="0"/>
        <v>career_connect</v>
      </c>
      <c r="M48" s="1" t="str">
        <f>"مساعد باحثمحلل احصائي ومحاضر في الجامعة الاردنية والجامعة الهاشمية"</f>
        <v>مساعد باحثمحلل احصائي ومحاضر في الجامعة الاردنية والجامعة الهاشمية</v>
      </c>
      <c r="N48" s="1" t="str">
        <f>"التعليم و التدريب"</f>
        <v>التعليم و التدريب</v>
      </c>
      <c r="O48" s="1" t="str">
        <f>""</f>
        <v/>
      </c>
      <c r="P48" s="1" t="str">
        <f>"لا"</f>
        <v>لا</v>
      </c>
      <c r="Q48" s="1" t="str">
        <f t="shared" si="19"/>
        <v>لا</v>
      </c>
      <c r="R48" s="1" t="str">
        <f t="shared" si="8"/>
        <v>لا</v>
      </c>
      <c r="S48" s="1" t="str">
        <f t="shared" si="5"/>
        <v>لا</v>
      </c>
      <c r="T48" s="1" t="str">
        <f t="shared" si="18"/>
        <v>اعزب</v>
      </c>
      <c r="U48" s="1" t="str">
        <f t="shared" si="20"/>
        <v>أردني</v>
      </c>
      <c r="V48" s="1" t="str">
        <f>"9952001943"</f>
        <v>9952001943</v>
      </c>
      <c r="W48" s="1" t="str">
        <f>"962797928266"</f>
        <v>962797928266</v>
      </c>
      <c r="X48" s="1" t="str">
        <f>"ماجستير"</f>
        <v>ماجستير</v>
      </c>
      <c r="Y48" s="1" t="str">
        <f>"الأردن"</f>
        <v>الأردن</v>
      </c>
      <c r="Z48" s="1" t="str">
        <f>"جامعة اليرموك "</f>
        <v xml:space="preserve">جامعة اليرموك </v>
      </c>
      <c r="AA48" s="1" t="str">
        <f>""</f>
        <v/>
      </c>
      <c r="AB48" s="1" t="str">
        <f>"احصاء"</f>
        <v>احصاء</v>
      </c>
      <c r="AC48" s="1" t="str">
        <f>"87.54"</f>
        <v>87.54</v>
      </c>
      <c r="AD48" s="1" t="str">
        <f>" جيد جدا  "</f>
        <v xml:space="preserve"> جيد جدا  </v>
      </c>
      <c r="AE48" s="1" t="str">
        <f t="shared" si="21"/>
        <v>الأردن</v>
      </c>
      <c r="AF48" s="1" t="str">
        <f>"جامعة اليرموك "</f>
        <v xml:space="preserve">جامعة اليرموك </v>
      </c>
      <c r="AG48" s="1" t="str">
        <f>""</f>
        <v/>
      </c>
      <c r="AH48" s="1" t="str">
        <f>"احصاء"</f>
        <v>احصاء</v>
      </c>
      <c r="AI48" s="1" t="str">
        <f>"76.7"</f>
        <v>76.7</v>
      </c>
      <c r="AJ48" s="1" t="str">
        <f>"جيد جدا "</f>
        <v xml:space="preserve">جيد جدا </v>
      </c>
      <c r="AK48" s="1" t="str">
        <f>""</f>
        <v/>
      </c>
      <c r="AL48" s="1" t="str">
        <f>""</f>
        <v/>
      </c>
      <c r="AM48" s="1" t="str">
        <f>""</f>
        <v/>
      </c>
      <c r="AN48" s="1" t="str">
        <f>""</f>
        <v/>
      </c>
      <c r="AO48" s="1" t="str">
        <f>""</f>
        <v/>
      </c>
      <c r="AP48" s="1" t="str">
        <f>""</f>
        <v/>
      </c>
      <c r="AQ48" s="1" t="str">
        <f>""</f>
        <v/>
      </c>
      <c r="AR48" s="1" t="str">
        <f>""</f>
        <v/>
      </c>
      <c r="AS48" s="1" t="str">
        <f>""</f>
        <v/>
      </c>
      <c r="AT48" s="1" t="str">
        <f>""</f>
        <v/>
      </c>
      <c r="AU48" s="1" t="str">
        <f>""</f>
        <v/>
      </c>
      <c r="AV48" s="1" t="str">
        <f>""</f>
        <v/>
      </c>
      <c r="AW48" s="1" t="str">
        <f>"فاطمة الزهراء الثانوية الشاملة للبنات  "</f>
        <v xml:space="preserve">فاطمة الزهراء الثانوية الشاملة للبنات  </v>
      </c>
      <c r="AX48" s="1" t="str">
        <f>"علمي"</f>
        <v>علمي</v>
      </c>
      <c r="AY48" s="1" t="str">
        <f>"الاردن"</f>
        <v>الاردن</v>
      </c>
      <c r="AZ48" s="1" t="str">
        <f>"81.4"</f>
        <v>81.4</v>
      </c>
    </row>
    <row r="49" spans="1:52" x14ac:dyDescent="0.25">
      <c r="A49" s="1">
        <v>48</v>
      </c>
      <c r="B49" s="1" t="str">
        <f>"sondosahmad129@gmail.com"</f>
        <v>sondosahmad129@gmail.com</v>
      </c>
      <c r="C49" s="1" t="str">
        <f>"2024-12-31 13:21:55 UTC"</f>
        <v>2024-12-31 13:21:55 UTC</v>
      </c>
      <c r="D49" s="1" t="str">
        <f>"Sondos Ahmad Hussein  Darweesh "</f>
        <v xml:space="preserve">Sondos Ahmad Hussein  Darweesh </v>
      </c>
      <c r="E49" s="1" t="str">
        <f>"30"</f>
        <v>30</v>
      </c>
      <c r="F49" s="1" t="str">
        <f>"Medical Laboratory Technician "</f>
        <v xml:space="preserve">Medical Laboratory Technician </v>
      </c>
      <c r="G49" s="1" t="str">
        <f>"5"</f>
        <v>5</v>
      </c>
      <c r="H49" s="1" t="str">
        <f t="shared" si="17"/>
        <v>أنثى</v>
      </c>
      <c r="I49" s="1" t="str">
        <f>"الأردن;عمان;مواطن"</f>
        <v>الأردن;عمان;مواطن</v>
      </c>
      <c r="J49" s="1" t="str">
        <f>"12-09-1995"</f>
        <v>12-09-1995</v>
      </c>
      <c r="K49" s="1" t="str">
        <f>"العناية الصحية - أخرى"</f>
        <v>العناية الصحية - أخرى</v>
      </c>
      <c r="L49" s="1" t="str">
        <f t="shared" si="0"/>
        <v>career_connect</v>
      </c>
      <c r="M49" s="1" t="str">
        <f>"Medical Laborفيory Technician  في Medical Lab"</f>
        <v>Medical Laborفيory Technician  في Medical Lab</v>
      </c>
      <c r="N49" s="1" t="str">
        <f>"العناية الصحية و الخدمات الطبية"</f>
        <v>العناية الصحية و الخدمات الطبية</v>
      </c>
      <c r="O49" s="1" t="str">
        <f>""</f>
        <v/>
      </c>
      <c r="P49" s="1" t="str">
        <f>"نعم"</f>
        <v>نعم</v>
      </c>
      <c r="Q49" s="1" t="str">
        <f t="shared" si="19"/>
        <v>لا</v>
      </c>
      <c r="R49" s="1" t="str">
        <f t="shared" si="8"/>
        <v>لا</v>
      </c>
      <c r="S49" s="1" t="str">
        <f t="shared" si="5"/>
        <v>لا</v>
      </c>
      <c r="T49" s="1" t="str">
        <f t="shared" si="18"/>
        <v>اعزب</v>
      </c>
      <c r="U49" s="1" t="str">
        <f t="shared" si="20"/>
        <v>أردني</v>
      </c>
      <c r="V49" s="1" t="str">
        <f>"9952060390"</f>
        <v>9952060390</v>
      </c>
      <c r="W49" s="1" t="str">
        <f>"0791969448"</f>
        <v>0791969448</v>
      </c>
      <c r="X49" s="1" t="str">
        <f>"بكالوريوس جامعي"</f>
        <v>بكالوريوس جامعي</v>
      </c>
      <c r="Y49" s="1" t="str">
        <f>""</f>
        <v/>
      </c>
      <c r="Z49" s="1" t="str">
        <f>""</f>
        <v/>
      </c>
      <c r="AA49" s="1" t="str">
        <f>""</f>
        <v/>
      </c>
      <c r="AB49" s="1" t="str">
        <f>""</f>
        <v/>
      </c>
      <c r="AC49" s="1" t="str">
        <f>""</f>
        <v/>
      </c>
      <c r="AD49" s="1" t="str">
        <f>""</f>
        <v/>
      </c>
      <c r="AE49" s="1" t="str">
        <f t="shared" si="21"/>
        <v>الأردن</v>
      </c>
      <c r="AF49" s="1" t="str">
        <f>"الجامعة الهاشمية "</f>
        <v xml:space="preserve">الجامعة الهاشمية </v>
      </c>
      <c r="AG49" s="1" t="str">
        <f>""</f>
        <v/>
      </c>
      <c r="AH49" s="1" t="str">
        <f>"العلوم الطبية المخبرية "</f>
        <v xml:space="preserve">العلوم الطبية المخبرية </v>
      </c>
      <c r="AI49" s="1" t="str">
        <f>"3.14"</f>
        <v>3.14</v>
      </c>
      <c r="AJ49" s="1" t="str">
        <f>"جيد جدا "</f>
        <v xml:space="preserve">جيد جدا </v>
      </c>
      <c r="AK49" s="1" t="str">
        <f>""</f>
        <v/>
      </c>
      <c r="AL49" s="1" t="str">
        <f>""</f>
        <v/>
      </c>
      <c r="AM49" s="1" t="str">
        <f>""</f>
        <v/>
      </c>
      <c r="AN49" s="1" t="str">
        <f>""</f>
        <v/>
      </c>
      <c r="AO49" s="1" t="str">
        <f>""</f>
        <v/>
      </c>
      <c r="AP49" s="1" t="str">
        <f>""</f>
        <v/>
      </c>
      <c r="AQ49" s="1" t="str">
        <f>""</f>
        <v/>
      </c>
      <c r="AR49" s="1" t="str">
        <f>""</f>
        <v/>
      </c>
      <c r="AS49" s="1" t="str">
        <f>""</f>
        <v/>
      </c>
      <c r="AT49" s="1" t="str">
        <f>""</f>
        <v/>
      </c>
      <c r="AU49" s="1" t="str">
        <f>""</f>
        <v/>
      </c>
      <c r="AV49" s="1" t="str">
        <f>""</f>
        <v/>
      </c>
      <c r="AW49" s="1" t="str">
        <f>"ثغرة الجب الثانوية "</f>
        <v xml:space="preserve">ثغرة الجب الثانوية </v>
      </c>
      <c r="AX49" s="1" t="str">
        <f>"ثانوية"</f>
        <v>ثانوية</v>
      </c>
      <c r="AY49" s="1" t="str">
        <f>"الاردن"</f>
        <v>الاردن</v>
      </c>
      <c r="AZ49" s="1" t="str">
        <f>"90.9"</f>
        <v>90.9</v>
      </c>
    </row>
    <row r="50" spans="1:52" x14ac:dyDescent="0.25">
      <c r="A50" s="1">
        <v>49</v>
      </c>
      <c r="B50" s="1" t="str">
        <f>"trq1971@hotmail.com"</f>
        <v>trq1971@hotmail.com</v>
      </c>
      <c r="C50" s="1" t="str">
        <f>"2025-01-07 15:48:05 UTC"</f>
        <v>2025-01-07 15:48:05 UTC</v>
      </c>
      <c r="D50" s="1" t="str">
        <f>"Tariq Hasan Ahmad Taqieddin"</f>
        <v>Tariq Hasan Ahmad Taqieddin</v>
      </c>
      <c r="E50" s="1" t="str">
        <f>"54"</f>
        <v>54</v>
      </c>
      <c r="F50" s="1" t="str">
        <f>"IT security consultant"</f>
        <v>IT security consultant</v>
      </c>
      <c r="G50" s="1" t="str">
        <f>"16"</f>
        <v>16</v>
      </c>
      <c r="H50" s="1" t="str">
        <f>"ذكر"</f>
        <v>ذكر</v>
      </c>
      <c r="I50" s="1" t="str">
        <f>"الأردن;الزرقاء;مواطن"</f>
        <v>الأردن;الزرقاء;مواطن</v>
      </c>
      <c r="J50" s="1" t="str">
        <f>"12-03-1971"</f>
        <v>12-03-1971</v>
      </c>
      <c r="K50" s="1" t="str">
        <f>"هندسة - الحاسبات"</f>
        <v>هندسة - الحاسبات</v>
      </c>
      <c r="L50" s="1" t="str">
        <f t="shared" si="0"/>
        <v>career_connect</v>
      </c>
      <c r="M50" s="1" t="str">
        <f>"IT security consultant في Prime Ministry"</f>
        <v>IT security consultant في Prime Ministry</v>
      </c>
      <c r="N50" s="1" t="str">
        <f>"الحكومة و القطاع العام"</f>
        <v>الحكومة و القطاع العام</v>
      </c>
      <c r="O50" s="1" t="str">
        <f>""</f>
        <v/>
      </c>
      <c r="P50" s="1" t="str">
        <f>"نعم"</f>
        <v>نعم</v>
      </c>
      <c r="Q50" s="1" t="str">
        <f t="shared" si="19"/>
        <v>لا</v>
      </c>
      <c r="R50" s="1" t="str">
        <f t="shared" si="8"/>
        <v>لا</v>
      </c>
      <c r="S50" s="1" t="str">
        <f t="shared" si="5"/>
        <v>لا</v>
      </c>
      <c r="T50" s="1" t="str">
        <f>"متزوج"</f>
        <v>متزوج</v>
      </c>
      <c r="U50" s="1" t="str">
        <f t="shared" si="20"/>
        <v>أردني</v>
      </c>
      <c r="V50" s="1" t="str">
        <f>"9711040731"</f>
        <v>9711040731</v>
      </c>
      <c r="W50" s="1" t="str">
        <f>"0798167323"</f>
        <v>0798167323</v>
      </c>
      <c r="X50" s="1" t="str">
        <f>"بكالوريوس جامعي"</f>
        <v>بكالوريوس جامعي</v>
      </c>
      <c r="Y50" s="1" t="str">
        <f>""</f>
        <v/>
      </c>
      <c r="Z50" s="1" t="str">
        <f>""</f>
        <v/>
      </c>
      <c r="AA50" s="1" t="str">
        <f>""</f>
        <v/>
      </c>
      <c r="AB50" s="1" t="str">
        <f>""</f>
        <v/>
      </c>
      <c r="AC50" s="1" t="str">
        <f>""</f>
        <v/>
      </c>
      <c r="AD50" s="1" t="str">
        <f>""</f>
        <v/>
      </c>
      <c r="AE50" s="1" t="str">
        <f t="shared" si="21"/>
        <v>الأردن</v>
      </c>
      <c r="AF50" s="1" t="str">
        <f>"جامعة البلقاء التطبيقية "</f>
        <v xml:space="preserve">جامعة البلقاء التطبيقية </v>
      </c>
      <c r="AG50" s="1" t="str">
        <f>""</f>
        <v/>
      </c>
      <c r="AH50" s="1" t="str">
        <f>"Computer engineering &amp; digital systems"</f>
        <v>Computer engineering &amp; digital systems</v>
      </c>
      <c r="AI50" s="1" t="str">
        <f>"73.7"</f>
        <v>73.7</v>
      </c>
      <c r="AJ50" s="1" t="str">
        <f>"جيد"</f>
        <v>جيد</v>
      </c>
      <c r="AK50" s="1" t="str">
        <f>""</f>
        <v/>
      </c>
      <c r="AL50" s="1" t="str">
        <f>""</f>
        <v/>
      </c>
      <c r="AM50" s="1" t="str">
        <f>""</f>
        <v/>
      </c>
      <c r="AN50" s="1" t="str">
        <f>""</f>
        <v/>
      </c>
      <c r="AO50" s="1" t="str">
        <f>""</f>
        <v/>
      </c>
      <c r="AP50" s="1" t="str">
        <f>""</f>
        <v/>
      </c>
      <c r="AQ50" s="1" t="str">
        <f>""</f>
        <v/>
      </c>
      <c r="AR50" s="1" t="str">
        <f>""</f>
        <v/>
      </c>
      <c r="AS50" s="1" t="str">
        <f>""</f>
        <v/>
      </c>
      <c r="AT50" s="1" t="str">
        <f>""</f>
        <v/>
      </c>
      <c r="AU50" s="1" t="str">
        <f>""</f>
        <v/>
      </c>
      <c r="AV50" s="1" t="str">
        <f>""</f>
        <v/>
      </c>
      <c r="AW50" s="1" t="str">
        <f>"Comprehensive high school"</f>
        <v>Comprehensive high school</v>
      </c>
      <c r="AX50" s="1" t="str">
        <f>"High school"</f>
        <v>High school</v>
      </c>
      <c r="AY50" s="1" t="str">
        <f>"Jordan"</f>
        <v>Jordan</v>
      </c>
      <c r="AZ50" s="1" t="str">
        <f>"86.3"</f>
        <v>86.3</v>
      </c>
    </row>
    <row r="51" spans="1:52" x14ac:dyDescent="0.25">
      <c r="A51" s="1">
        <v>50</v>
      </c>
      <c r="B51" s="1" t="str">
        <f>"zynasmayl04@gmail.com"</f>
        <v>zynasmayl04@gmail.com</v>
      </c>
      <c r="C51" s="1" t="str">
        <f>"2025-01-07 16:27:18 UTC"</f>
        <v>2025-01-07 16:27:18 UTC</v>
      </c>
      <c r="D51" s="1" t="str">
        <f>"زينب ماجد عبدالله اسماعيل"</f>
        <v>زينب ماجد عبدالله اسماعيل</v>
      </c>
      <c r="E51" s="1" t="str">
        <f>"30"</f>
        <v>30</v>
      </c>
      <c r="F51" s="1" t="str">
        <f>"اخصائيه نفسيه"</f>
        <v>اخصائيه نفسيه</v>
      </c>
      <c r="G51" s="1" t="str">
        <f>"2"</f>
        <v>2</v>
      </c>
      <c r="H51" s="1" t="str">
        <f>"أنثى"</f>
        <v>أنثى</v>
      </c>
      <c r="I51" s="1" t="str">
        <f>"الأردن;عمان;مواطن"</f>
        <v>الأردن;عمان;مواطن</v>
      </c>
      <c r="J51" s="1" t="str">
        <f>"27-05-1995"</f>
        <v>27-05-1995</v>
      </c>
      <c r="K51" s="1" t="str">
        <f>"translation missing: ar.all_job_role_names.monitoring_evaluation"</f>
        <v>translation missing: ar.all_job_role_names.monitoring_evaluation</v>
      </c>
      <c r="L51" s="1" t="str">
        <f t="shared" si="0"/>
        <v>career_connect</v>
      </c>
      <c r="M51" s="1" t="str">
        <f>"اخصائيه نفسيه في مركز الامل"</f>
        <v>اخصائيه نفسيه في مركز الامل</v>
      </c>
      <c r="N51" s="1" t="str">
        <f>"العناية الصحية و الخدمات الطبية"</f>
        <v>العناية الصحية و الخدمات الطبية</v>
      </c>
      <c r="O51" s="1" t="str">
        <f>""</f>
        <v/>
      </c>
      <c r="P51" s="1" t="str">
        <f>"لا"</f>
        <v>لا</v>
      </c>
      <c r="Q51" s="1" t="str">
        <f t="shared" si="19"/>
        <v>لا</v>
      </c>
      <c r="R51" s="1" t="str">
        <f t="shared" si="8"/>
        <v>لا</v>
      </c>
      <c r="S51" s="1" t="str">
        <f t="shared" si="5"/>
        <v>لا</v>
      </c>
      <c r="T51" s="1" t="str">
        <f>"اعزب"</f>
        <v>اعزب</v>
      </c>
      <c r="U51" s="1" t="str">
        <f t="shared" si="20"/>
        <v>أردني</v>
      </c>
      <c r="V51" s="1" t="str">
        <f>"9952022975"</f>
        <v>9952022975</v>
      </c>
      <c r="W51" s="1" t="str">
        <f>"0777219329"</f>
        <v>0777219329</v>
      </c>
      <c r="X51" s="1" t="str">
        <f>"بكالوريوس جامعي"</f>
        <v>بكالوريوس جامعي</v>
      </c>
      <c r="Y51" s="1" t="str">
        <f>""</f>
        <v/>
      </c>
      <c r="Z51" s="1" t="str">
        <f>""</f>
        <v/>
      </c>
      <c r="AA51" s="1" t="str">
        <f>""</f>
        <v/>
      </c>
      <c r="AB51" s="1" t="str">
        <f>""</f>
        <v/>
      </c>
      <c r="AC51" s="1" t="str">
        <f>""</f>
        <v/>
      </c>
      <c r="AD51" s="1" t="str">
        <f>""</f>
        <v/>
      </c>
      <c r="AE51" s="1" t="str">
        <f t="shared" si="21"/>
        <v>الأردن</v>
      </c>
      <c r="AF51" s="1" t="str">
        <f>"جامعة اليرموك "</f>
        <v xml:space="preserve">جامعة اليرموك </v>
      </c>
      <c r="AG51" s="1" t="str">
        <f>""</f>
        <v/>
      </c>
      <c r="AH51" s="1" t="str">
        <f>"ارشاد نفسي "</f>
        <v xml:space="preserve">ارشاد نفسي </v>
      </c>
      <c r="AI51" s="1" t="str">
        <f>"76"</f>
        <v>76</v>
      </c>
      <c r="AJ51" s="1" t="str">
        <f>"جيد جدا "</f>
        <v xml:space="preserve">جيد جدا </v>
      </c>
      <c r="AK51" s="1" t="str">
        <f>""</f>
        <v/>
      </c>
      <c r="AL51" s="1" t="str">
        <f>""</f>
        <v/>
      </c>
      <c r="AM51" s="1" t="str">
        <f>""</f>
        <v/>
      </c>
      <c r="AN51" s="1" t="str">
        <f>""</f>
        <v/>
      </c>
      <c r="AO51" s="1" t="str">
        <f>""</f>
        <v/>
      </c>
      <c r="AP51" s="1" t="str">
        <f>""</f>
        <v/>
      </c>
      <c r="AQ51" s="1" t="str">
        <f>""</f>
        <v/>
      </c>
      <c r="AR51" s="1" t="str">
        <f>""</f>
        <v/>
      </c>
      <c r="AS51" s="1" t="str">
        <f>""</f>
        <v/>
      </c>
      <c r="AT51" s="1" t="str">
        <f>""</f>
        <v/>
      </c>
      <c r="AU51" s="1" t="str">
        <f>""</f>
        <v/>
      </c>
      <c r="AV51" s="1" t="str">
        <f>""</f>
        <v/>
      </c>
      <c r="AW51" s="1" t="str">
        <f>"الاساسيه للبنات"</f>
        <v>الاساسيه للبنات</v>
      </c>
      <c r="AX51" s="1" t="str">
        <f>"IT"</f>
        <v>IT</v>
      </c>
      <c r="AY51" s="1" t="str">
        <f>"جرش"</f>
        <v>جرش</v>
      </c>
      <c r="AZ51" s="1" t="str">
        <f>"73.3"</f>
        <v>73.3</v>
      </c>
    </row>
    <row r="52" spans="1:52" x14ac:dyDescent="0.25">
      <c r="A52" s="1">
        <v>51</v>
      </c>
      <c r="B52" s="1" t="str">
        <f>"mutazyounes@gmail.com"</f>
        <v>mutazyounes@gmail.com</v>
      </c>
      <c r="C52" s="1" t="str">
        <f>"2025-01-08 05:48:03 UTC"</f>
        <v>2025-01-08 05:48:03 UTC</v>
      </c>
      <c r="D52" s="1" t="str">
        <f>"almotazbelah mohd ali bani younes"</f>
        <v>almotazbelah mohd ali bani younes</v>
      </c>
      <c r="E52" s="1" t="str">
        <f>"29"</f>
        <v>29</v>
      </c>
      <c r="F52" s="1" t="str">
        <f>"Data Scientist/ Programming Lead"</f>
        <v>Data Scientist/ Programming Lead</v>
      </c>
      <c r="G52" s="1" t="str">
        <f>"6"</f>
        <v>6</v>
      </c>
      <c r="H52" s="1" t="str">
        <f>"ذكر"</f>
        <v>ذكر</v>
      </c>
      <c r="I52" s="1" t="str">
        <f>"أمريكا;واشنطن;تأشيرة طالب"</f>
        <v>أمريكا;واشنطن;تأشيرة طالب</v>
      </c>
      <c r="J52" s="1" t="str">
        <f>"08-12-1996"</f>
        <v>08-12-1996</v>
      </c>
      <c r="K52" s="1" t="str">
        <f>"تكنولوجيا المعلومات - البرمجيات و تطوير مواقع الإنترنت"</f>
        <v>تكنولوجيا المعلومات - البرمجيات و تطوير مواقع الإنترنت</v>
      </c>
      <c r="L52" s="1" t="str">
        <f t="shared" si="0"/>
        <v>career_connect</v>
      </c>
      <c r="M52" s="1" t="str">
        <f>"Dفيa Scientist/ Programming Lead في office of mental health"</f>
        <v>Dفيa Scientist/ Programming Lead في office of mental health</v>
      </c>
      <c r="N52" s="1" t="str">
        <f>"العناية الصحية و الخدمات الطبية"</f>
        <v>العناية الصحية و الخدمات الطبية</v>
      </c>
      <c r="O52" s="1" t="str">
        <f>""</f>
        <v/>
      </c>
      <c r="P52" s="1" t="str">
        <f>"لا"</f>
        <v>لا</v>
      </c>
      <c r="Q52" s="1" t="str">
        <f t="shared" si="19"/>
        <v>لا</v>
      </c>
      <c r="R52" s="1" t="str">
        <f t="shared" si="8"/>
        <v>لا</v>
      </c>
      <c r="S52" s="1" t="str">
        <f t="shared" si="5"/>
        <v>لا</v>
      </c>
      <c r="T52" s="1" t="str">
        <f>"متزوج"</f>
        <v>متزوج</v>
      </c>
      <c r="U52" s="1" t="str">
        <f t="shared" si="20"/>
        <v>أردني</v>
      </c>
      <c r="V52" s="1" t="str">
        <f>"9961076426"</f>
        <v>9961076426</v>
      </c>
      <c r="W52" s="1" t="str">
        <f>"16412619124"</f>
        <v>16412619124</v>
      </c>
      <c r="X52" s="1" t="str">
        <f>"ماجستير"</f>
        <v>ماجستير</v>
      </c>
      <c r="Y52" s="1" t="str">
        <f>"الأردن"</f>
        <v>الأردن</v>
      </c>
      <c r="Z52" s="1" t="str">
        <f>"جامعة العلوم والتكنولوجيا الاردنية "</f>
        <v xml:space="preserve">جامعة العلوم والتكنولوجيا الاردنية </v>
      </c>
      <c r="AA52" s="1" t="str">
        <f>"MaharishiInternationalUniversity"</f>
        <v>MaharishiInternationalUniversity</v>
      </c>
      <c r="AB52" s="1" t="str">
        <f>"Computer Science"</f>
        <v>Computer Science</v>
      </c>
      <c r="AC52" s="1" t="str">
        <f>"3.8"</f>
        <v>3.8</v>
      </c>
      <c r="AD52" s="1" t="str">
        <f>"ممتاز"</f>
        <v>ممتاز</v>
      </c>
      <c r="AE52" s="1" t="str">
        <f t="shared" si="21"/>
        <v>الأردن</v>
      </c>
      <c r="AF52" s="1" t="str">
        <f>"جامعة البلقاء التطبيقية "</f>
        <v xml:space="preserve">جامعة البلقاء التطبيقية </v>
      </c>
      <c r="AG52" s="1" t="str">
        <f>""</f>
        <v/>
      </c>
      <c r="AH52" s="1" t="str">
        <f>"Computer Science"</f>
        <v>Computer Science</v>
      </c>
      <c r="AI52" s="1" t="str">
        <f>"3.64"</f>
        <v>3.64</v>
      </c>
      <c r="AJ52" s="1" t="str">
        <f>"جيد جدا "</f>
        <v xml:space="preserve">جيد جدا </v>
      </c>
      <c r="AK52" s="1" t="str">
        <f>""</f>
        <v/>
      </c>
      <c r="AL52" s="1" t="str">
        <f>""</f>
        <v/>
      </c>
      <c r="AM52" s="1" t="str">
        <f>""</f>
        <v/>
      </c>
      <c r="AN52" s="1" t="str">
        <f>""</f>
        <v/>
      </c>
      <c r="AO52" s="1" t="str">
        <f>""</f>
        <v/>
      </c>
      <c r="AP52" s="1" t="str">
        <f>""</f>
        <v/>
      </c>
      <c r="AQ52" s="1" t="str">
        <f>""</f>
        <v/>
      </c>
      <c r="AR52" s="1" t="str">
        <f>""</f>
        <v/>
      </c>
      <c r="AS52" s="1" t="str">
        <f>""</f>
        <v/>
      </c>
      <c r="AT52" s="1" t="str">
        <f>""</f>
        <v/>
      </c>
      <c r="AU52" s="1" t="str">
        <f>""</f>
        <v/>
      </c>
      <c r="AV52" s="1" t="str">
        <f>""</f>
        <v/>
      </c>
      <c r="AW52" s="1" t="str">
        <f>"Islamic School"</f>
        <v>Islamic School</v>
      </c>
      <c r="AX52" s="1" t="str">
        <f>"11"</f>
        <v>11</v>
      </c>
      <c r="AY52" s="1" t="str">
        <f>"Jordan"</f>
        <v>Jordan</v>
      </c>
      <c r="AZ52" s="1" t="str">
        <f>"93"</f>
        <v>93</v>
      </c>
    </row>
    <row r="53" spans="1:52" x14ac:dyDescent="0.25">
      <c r="A53" s="1">
        <v>52</v>
      </c>
      <c r="B53" s="1" t="str">
        <f>"naser-alqaydeh@outlook.com"</f>
        <v>naser-alqaydeh@outlook.com</v>
      </c>
      <c r="C53" s="1" t="str">
        <f>"2025-01-08 09:49:30 UTC"</f>
        <v>2025-01-08 09:49:30 UTC</v>
      </c>
      <c r="D53" s="1" t="str">
        <f>"Naser Ra'ed Sulieman Al-qaydeh"</f>
        <v>Naser Ra'ed Sulieman Al-qaydeh</v>
      </c>
      <c r="E53" s="1" t="str">
        <f>"28"</f>
        <v>28</v>
      </c>
      <c r="F53" s="1" t="str">
        <f>"ArtificialInntelligence Developer "</f>
        <v xml:space="preserve">ArtificialInntelligence Developer </v>
      </c>
      <c r="G53" s="1" t="str">
        <f>"3"</f>
        <v>3</v>
      </c>
      <c r="H53" s="1" t="str">
        <f>"ذكر"</f>
        <v>ذكر</v>
      </c>
      <c r="I53" s="1" t="str">
        <f>"الأردن;عمان;مواطن"</f>
        <v>الأردن;عمان;مواطن</v>
      </c>
      <c r="J53" s="1" t="str">
        <f>"04-07-1997"</f>
        <v>04-07-1997</v>
      </c>
      <c r="K53" s="1" t="str">
        <f>"تكنولوجيا المعلومات - البرمجيات و تطوير مواقع الإنترنت"</f>
        <v>تكنولوجيا المعلومات - البرمجيات و تطوير مواقع الإنترنت</v>
      </c>
      <c r="L53" s="1" t="str">
        <f t="shared" si="0"/>
        <v>career_connect</v>
      </c>
      <c r="M53" s="1" t="str">
        <f>"ArtificialInntelligence Developer  في FutureTec"</f>
        <v>ArtificialInntelligence Developer  في FutureTec</v>
      </c>
      <c r="N53" s="1" t="str">
        <f>"تكنولوجيا المعلومات و الحاسوب - البرمجيات و تطوير مواقع الإنترنت"</f>
        <v>تكنولوجيا المعلومات و الحاسوب - البرمجيات و تطوير مواقع الإنترنت</v>
      </c>
      <c r="O53" s="1" t="str">
        <f>""</f>
        <v/>
      </c>
      <c r="P53" s="1" t="str">
        <f>"لا"</f>
        <v>لا</v>
      </c>
      <c r="Q53" s="1" t="str">
        <f t="shared" si="19"/>
        <v>لا</v>
      </c>
      <c r="R53" s="1" t="str">
        <f>"نعم"</f>
        <v>نعم</v>
      </c>
      <c r="S53" s="1" t="str">
        <f t="shared" si="5"/>
        <v>لا</v>
      </c>
      <c r="T53" s="1" t="str">
        <f>"اعزب"</f>
        <v>اعزب</v>
      </c>
      <c r="U53" s="1" t="str">
        <f t="shared" si="20"/>
        <v>أردني</v>
      </c>
      <c r="V53" s="1" t="str">
        <f>"9971032645"</f>
        <v>9971032645</v>
      </c>
      <c r="W53" s="1" t="str">
        <f>"0795611749"</f>
        <v>0795611749</v>
      </c>
      <c r="X53" s="1" t="str">
        <f>"ماجستير"</f>
        <v>ماجستير</v>
      </c>
      <c r="Y53" s="1" t="str">
        <f>"الأردن"</f>
        <v>الأردن</v>
      </c>
      <c r="Z53" s="1" t="str">
        <f>"جامعة العلوم والتكنولوجيا الاردنية "</f>
        <v xml:space="preserve">جامعة العلوم والتكنولوجيا الاردنية </v>
      </c>
      <c r="AA53" s="1" t="str">
        <f>""</f>
        <v/>
      </c>
      <c r="AB53" s="1" t="str">
        <f>"Industrial Engineering "</f>
        <v xml:space="preserve">Industrial Engineering </v>
      </c>
      <c r="AC53" s="1" t="str">
        <f>"3.95"</f>
        <v>3.95</v>
      </c>
      <c r="AD53" s="1" t="str">
        <f>"ممتاز"</f>
        <v>ممتاز</v>
      </c>
      <c r="AE53" s="1" t="str">
        <f t="shared" si="21"/>
        <v>الأردن</v>
      </c>
      <c r="AF53" s="1" t="str">
        <f>"الجامعة الهاشمية "</f>
        <v xml:space="preserve">الجامعة الهاشمية </v>
      </c>
      <c r="AG53" s="1" t="str">
        <f>""</f>
        <v/>
      </c>
      <c r="AH53" s="1" t="str">
        <f>"Industrial Engineering"</f>
        <v>Industrial Engineering</v>
      </c>
      <c r="AI53" s="1" t="str">
        <f>"3.53"</f>
        <v>3.53</v>
      </c>
      <c r="AJ53" s="1" t="str">
        <f>"ممتاز"</f>
        <v>ممتاز</v>
      </c>
      <c r="AK53" s="1" t="str">
        <f>""</f>
        <v/>
      </c>
      <c r="AL53" s="1" t="str">
        <f>""</f>
        <v/>
      </c>
      <c r="AM53" s="1" t="str">
        <f>""</f>
        <v/>
      </c>
      <c r="AN53" s="1" t="str">
        <f>""</f>
        <v/>
      </c>
      <c r="AO53" s="1" t="str">
        <f>""</f>
        <v/>
      </c>
      <c r="AP53" s="1" t="str">
        <f>""</f>
        <v/>
      </c>
      <c r="AQ53" s="1" t="str">
        <f>""</f>
        <v/>
      </c>
      <c r="AR53" s="1" t="str">
        <f>""</f>
        <v/>
      </c>
      <c r="AS53" s="1" t="str">
        <f>""</f>
        <v/>
      </c>
      <c r="AT53" s="1" t="str">
        <f>""</f>
        <v/>
      </c>
      <c r="AU53" s="1" t="str">
        <f>""</f>
        <v/>
      </c>
      <c r="AV53" s="1" t="str">
        <f>""</f>
        <v/>
      </c>
      <c r="AW53" s="1" t="str">
        <f>"Al Fareed Model School "</f>
        <v xml:space="preserve">Al Fareed Model School </v>
      </c>
      <c r="AX53" s="1" t="str">
        <f>"Tawjihi"</f>
        <v>Tawjihi</v>
      </c>
      <c r="AY53" s="1" t="str">
        <f>"Jordan"</f>
        <v>Jordan</v>
      </c>
      <c r="AZ53" s="1" t="str">
        <f>"82.5"</f>
        <v>82.5</v>
      </c>
    </row>
    <row r="54" spans="1:52" x14ac:dyDescent="0.25">
      <c r="A54" s="1">
        <v>53</v>
      </c>
      <c r="B54" s="1" t="str">
        <f>"olaalqisi2020@gmail.com"</f>
        <v>olaalqisi2020@gmail.com</v>
      </c>
      <c r="C54" s="1" t="str">
        <f>"2025-01-08 10:03:51 UTC"</f>
        <v>2025-01-08 10:03:51 UTC</v>
      </c>
      <c r="D54" s="1" t="str">
        <f>"Ola Mohammed  Awad Alqisi"</f>
        <v>Ola Mohammed  Awad Alqisi</v>
      </c>
      <c r="E54" s="1" t="str">
        <f>"23"</f>
        <v>23</v>
      </c>
      <c r="F54" s="1" t="str">
        <f>""</f>
        <v/>
      </c>
      <c r="G54" s="1" t="str">
        <f>"0"</f>
        <v>0</v>
      </c>
      <c r="H54" s="1" t="str">
        <f>"أنثى"</f>
        <v>أنثى</v>
      </c>
      <c r="I54" s="1" t="str">
        <f>"الأردن;عمان;مواطن"</f>
        <v>الأردن;عمان;مواطن</v>
      </c>
      <c r="J54" s="1" t="str">
        <f>"09-02-2002"</f>
        <v>09-02-2002</v>
      </c>
      <c r="K54" s="1" t="str">
        <f>"العناية الصحية - أخرى"</f>
        <v>العناية الصحية - أخرى</v>
      </c>
      <c r="L54" s="1" t="str">
        <f t="shared" si="0"/>
        <v>career_connect</v>
      </c>
      <c r="M54" s="1" t="str">
        <f>"لا يوجد في لا يوجد"</f>
        <v>لا يوجد في لا يوجد</v>
      </c>
      <c r="N54" s="1" t="str">
        <f>""</f>
        <v/>
      </c>
      <c r="O54" s="1" t="str">
        <f>""</f>
        <v/>
      </c>
      <c r="P54" s="1" t="str">
        <f>"نعم"</f>
        <v>نعم</v>
      </c>
      <c r="Q54" s="1" t="str">
        <f t="shared" si="19"/>
        <v>لا</v>
      </c>
      <c r="R54" s="1" t="str">
        <f t="shared" si="19"/>
        <v>لا</v>
      </c>
      <c r="S54" s="1" t="str">
        <f t="shared" si="5"/>
        <v>لا</v>
      </c>
      <c r="T54" s="1" t="str">
        <f>"اعزب"</f>
        <v>اعزب</v>
      </c>
      <c r="U54" s="1" t="str">
        <f t="shared" si="20"/>
        <v>أردني</v>
      </c>
      <c r="V54" s="1" t="str">
        <f>"2000436813"</f>
        <v>2000436813</v>
      </c>
      <c r="W54" s="1" t="str">
        <f>"0770598393"</f>
        <v>0770598393</v>
      </c>
      <c r="X54" s="1" t="str">
        <f>"بكالوريوس جامعي"</f>
        <v>بكالوريوس جامعي</v>
      </c>
      <c r="Y54" s="1" t="str">
        <f>""</f>
        <v/>
      </c>
      <c r="Z54" s="1" t="str">
        <f>""</f>
        <v/>
      </c>
      <c r="AA54" s="1" t="str">
        <f>""</f>
        <v/>
      </c>
      <c r="AB54" s="1" t="str">
        <f>""</f>
        <v/>
      </c>
      <c r="AC54" s="1" t="str">
        <f>""</f>
        <v/>
      </c>
      <c r="AD54" s="1" t="str">
        <f>""</f>
        <v/>
      </c>
      <c r="AE54" s="1" t="str">
        <f t="shared" si="21"/>
        <v>الأردن</v>
      </c>
      <c r="AF54" s="1" t="str">
        <f>"الجامعة الهاشمية "</f>
        <v xml:space="preserve">الجامعة الهاشمية </v>
      </c>
      <c r="AG54" s="1" t="str">
        <f>""</f>
        <v/>
      </c>
      <c r="AH54" s="1" t="str">
        <f>"علوم طبية ومخبرية"</f>
        <v>علوم طبية ومخبرية</v>
      </c>
      <c r="AI54" s="1" t="str">
        <f>"3.47"</f>
        <v>3.47</v>
      </c>
      <c r="AJ54" s="1" t="str">
        <f>"جيد جدا "</f>
        <v xml:space="preserve">جيد جدا </v>
      </c>
      <c r="AK54" s="1" t="str">
        <f>""</f>
        <v/>
      </c>
      <c r="AL54" s="1" t="str">
        <f>""</f>
        <v/>
      </c>
      <c r="AM54" s="1" t="str">
        <f>""</f>
        <v/>
      </c>
      <c r="AN54" s="1" t="str">
        <f>""</f>
        <v/>
      </c>
      <c r="AO54" s="1" t="str">
        <f>""</f>
        <v/>
      </c>
      <c r="AP54" s="1" t="str">
        <f>""</f>
        <v/>
      </c>
      <c r="AQ54" s="1" t="str">
        <f>""</f>
        <v/>
      </c>
      <c r="AR54" s="1" t="str">
        <f>""</f>
        <v/>
      </c>
      <c r="AS54" s="1" t="str">
        <f>""</f>
        <v/>
      </c>
      <c r="AT54" s="1" t="str">
        <f>""</f>
        <v/>
      </c>
      <c r="AU54" s="1" t="str">
        <f>""</f>
        <v/>
      </c>
      <c r="AV54" s="1" t="str">
        <f>""</f>
        <v/>
      </c>
      <c r="AW54" s="1" t="str">
        <f>"ام الحارث الثانوية للبنات"</f>
        <v>ام الحارث الثانوية للبنات</v>
      </c>
      <c r="AX54" s="1" t="str">
        <f>"ممتاز"</f>
        <v>ممتاز</v>
      </c>
      <c r="AY54" s="1" t="str">
        <f>"الاردن"</f>
        <v>الاردن</v>
      </c>
      <c r="AZ54" s="1" t="str">
        <f>"96.1"</f>
        <v>96.1</v>
      </c>
    </row>
    <row r="55" spans="1:52" x14ac:dyDescent="0.25">
      <c r="A55" s="1">
        <v>54</v>
      </c>
      <c r="B55" s="1" t="str">
        <f>"hamza.f.shamieh@gmail.com"</f>
        <v>hamza.f.shamieh@gmail.com</v>
      </c>
      <c r="C55" s="1" t="str">
        <f>"2025-01-08 10:42:57 UTC"</f>
        <v>2025-01-08 10:42:57 UTC</v>
      </c>
      <c r="D55" s="1" t="str">
        <f>"Hamza Fayiz Mohammed Shamieh"</f>
        <v>Hamza Fayiz Mohammed Shamieh</v>
      </c>
      <c r="E55" s="1" t="str">
        <f>"28"</f>
        <v>28</v>
      </c>
      <c r="F55" s="1" t="str">
        <f>"Senior Data Scientist"</f>
        <v>Senior Data Scientist</v>
      </c>
      <c r="G55" s="1" t="str">
        <f>"5"</f>
        <v>5</v>
      </c>
      <c r="H55" s="1" t="str">
        <f>"ذكر"</f>
        <v>ذكر</v>
      </c>
      <c r="I55" s="1" t="str">
        <f>"الأردن;عمان;مواطن"</f>
        <v>الأردن;عمان;مواطن</v>
      </c>
      <c r="J55" s="1" t="str">
        <f>"17-04-1997"</f>
        <v>17-04-1997</v>
      </c>
      <c r="K55" s="1" t="str">
        <f>"البحث و التطوير"</f>
        <v>البحث و التطوير</v>
      </c>
      <c r="L55" s="1" t="str">
        <f t="shared" si="0"/>
        <v>career_connect</v>
      </c>
      <c r="M55" s="1" t="str">
        <f>"Senior Dفيa Scientist في Samsung R&amp;D Institute"</f>
        <v>Senior Dفيa Scientist في Samsung R&amp;D Institute</v>
      </c>
      <c r="N55" s="1" t="str">
        <f>"البحث و التطوير"</f>
        <v>البحث و التطوير</v>
      </c>
      <c r="O55" s="1" t="str">
        <f>""</f>
        <v/>
      </c>
      <c r="P55" s="1" t="str">
        <f>"نعم"</f>
        <v>نعم</v>
      </c>
      <c r="Q55" s="1" t="str">
        <f t="shared" si="19"/>
        <v>لا</v>
      </c>
      <c r="R55" s="1" t="str">
        <f t="shared" si="19"/>
        <v>لا</v>
      </c>
      <c r="S55" s="1" t="str">
        <f t="shared" si="5"/>
        <v>لا</v>
      </c>
      <c r="T55" s="1" t="str">
        <f>"متزوج"</f>
        <v>متزوج</v>
      </c>
      <c r="U55" s="1" t="str">
        <f>"أبناء الأردنيات"</f>
        <v>أبناء الأردنيات</v>
      </c>
      <c r="V55" s="1" t="str">
        <f>""</f>
        <v/>
      </c>
      <c r="W55" s="1" t="str">
        <f>"00962770500120"</f>
        <v>00962770500120</v>
      </c>
      <c r="X55" s="1" t="str">
        <f>"بكالوريوس جامعي"</f>
        <v>بكالوريوس جامعي</v>
      </c>
      <c r="Y55" s="1" t="str">
        <f>""</f>
        <v/>
      </c>
      <c r="Z55" s="1" t="str">
        <f>""</f>
        <v/>
      </c>
      <c r="AA55" s="1" t="str">
        <f>""</f>
        <v/>
      </c>
      <c r="AB55" s="1" t="str">
        <f>""</f>
        <v/>
      </c>
      <c r="AC55" s="1" t="str">
        <f>""</f>
        <v/>
      </c>
      <c r="AD55" s="1" t="str">
        <f>""</f>
        <v/>
      </c>
      <c r="AE55" s="1" t="str">
        <f t="shared" si="21"/>
        <v>الأردن</v>
      </c>
      <c r="AF55" s="1" t="str">
        <f>"الجامعة الاردنية "</f>
        <v xml:space="preserve">الجامعة الاردنية </v>
      </c>
      <c r="AG55" s="1" t="str">
        <f>""</f>
        <v/>
      </c>
      <c r="AH55" s="1" t="str">
        <f>"Electrical Engineering"</f>
        <v>Electrical Engineering</v>
      </c>
      <c r="AI55" s="1" t="str">
        <f>"2.7"</f>
        <v>2.7</v>
      </c>
      <c r="AJ55" s="1" t="str">
        <f>"جيد"</f>
        <v>جيد</v>
      </c>
      <c r="AK55" s="1" t="str">
        <f>""</f>
        <v/>
      </c>
      <c r="AL55" s="1" t="str">
        <f>""</f>
        <v/>
      </c>
      <c r="AM55" s="1" t="str">
        <f>""</f>
        <v/>
      </c>
      <c r="AN55" s="1" t="str">
        <f>""</f>
        <v/>
      </c>
      <c r="AO55" s="1" t="str">
        <f>""</f>
        <v/>
      </c>
      <c r="AP55" s="1" t="str">
        <f>""</f>
        <v/>
      </c>
      <c r="AQ55" s="1" t="str">
        <f>""</f>
        <v/>
      </c>
      <c r="AR55" s="1" t="str">
        <f>""</f>
        <v/>
      </c>
      <c r="AS55" s="1" t="str">
        <f>""</f>
        <v/>
      </c>
      <c r="AT55" s="1" t="str">
        <f>""</f>
        <v/>
      </c>
      <c r="AU55" s="1" t="str">
        <f>""</f>
        <v/>
      </c>
      <c r="AV55" s="1" t="str">
        <f>""</f>
        <v/>
      </c>
      <c r="AW55" s="1" t="str">
        <f>"King abdulaziz secondary school"</f>
        <v>King abdulaziz secondary school</v>
      </c>
      <c r="AX55" s="1" t="str">
        <f>"Secondary school"</f>
        <v>Secondary school</v>
      </c>
      <c r="AY55" s="1" t="str">
        <f>"Saudi Arabia"</f>
        <v>Saudi Arabia</v>
      </c>
      <c r="AZ55" s="1" t="str">
        <f>"99.5"</f>
        <v>99.5</v>
      </c>
    </row>
    <row r="56" spans="1:52" x14ac:dyDescent="0.25">
      <c r="A56" s="1">
        <v>55</v>
      </c>
      <c r="B56" s="1" t="str">
        <f>"asifyarawan@gmail.com"</f>
        <v>asifyarawan@gmail.com</v>
      </c>
      <c r="C56" s="1" t="str">
        <f>"2025-01-08 11:12:53 UTC"</f>
        <v>2025-01-08 11:12:53 UTC</v>
      </c>
      <c r="D56" s="1" t="str">
        <f>"Asif Yar  Yar  Yar"</f>
        <v>Asif Yar  Yar  Yar</v>
      </c>
      <c r="E56" s="1" t="str">
        <f>"27"</f>
        <v>27</v>
      </c>
      <c r="F56" s="1" t="str">
        <f>"Data Scientist"</f>
        <v>Data Scientist</v>
      </c>
      <c r="G56" s="1" t="str">
        <f>"4"</f>
        <v>4</v>
      </c>
      <c r="H56" s="1" t="str">
        <f>"ذكر"</f>
        <v>ذكر</v>
      </c>
      <c r="I56" s="1" t="str">
        <f>"إيرلندا;لتركني;تأشيرة إقامة قابلة للتحويل"</f>
        <v>إيرلندا;لتركني;تأشيرة إقامة قابلة للتحويل</v>
      </c>
      <c r="J56" s="1" t="str">
        <f>"10-02-1998"</f>
        <v>10-02-1998</v>
      </c>
      <c r="K56" s="1" t="str">
        <f>"هندسة - بحرية"</f>
        <v>هندسة - بحرية</v>
      </c>
      <c r="L56" s="1" t="str">
        <f t="shared" si="0"/>
        <v>career_connect</v>
      </c>
      <c r="M56" s="1" t="str">
        <f>"Dفيa Scientist في Pakistan Navy"</f>
        <v>Dفيa Scientist في Pakistan Navy</v>
      </c>
      <c r="N56" s="1" t="str">
        <f>"البحث و التطوير"</f>
        <v>البحث و التطوير</v>
      </c>
      <c r="O56" s="1" t="str">
        <f>""</f>
        <v/>
      </c>
      <c r="P56" s="1" t="str">
        <f>"لا"</f>
        <v>لا</v>
      </c>
      <c r="Q56" s="1" t="str">
        <f t="shared" si="19"/>
        <v>لا</v>
      </c>
      <c r="R56" s="1" t="str">
        <f t="shared" si="19"/>
        <v>لا</v>
      </c>
      <c r="S56" s="1" t="str">
        <f t="shared" si="5"/>
        <v>لا</v>
      </c>
      <c r="T56" s="1" t="str">
        <f t="shared" ref="T56:T64" si="22">"اعزب"</f>
        <v>اعزب</v>
      </c>
      <c r="U56" s="1" t="str">
        <f>"أخرى"</f>
        <v>أخرى</v>
      </c>
      <c r="V56" s="1" t="str">
        <f>""</f>
        <v/>
      </c>
      <c r="W56" s="1" t="str">
        <f>"353831691739"</f>
        <v>353831691739</v>
      </c>
      <c r="X56" s="1" t="str">
        <f>"ماجستير"</f>
        <v>ماجستير</v>
      </c>
      <c r="Y56" s="1" t="str">
        <f>"آخر"</f>
        <v>آخر</v>
      </c>
      <c r="Z56" s="1" t="str">
        <f>""</f>
        <v/>
      </c>
      <c r="AA56" s="1" t="str">
        <f>"UniversityofSargodha"</f>
        <v>UniversityofSargodha</v>
      </c>
      <c r="AB56" s="1" t="str">
        <f>"Computer Science"</f>
        <v>Computer Science</v>
      </c>
      <c r="AC56" s="1" t="str">
        <f>"3.44"</f>
        <v>3.44</v>
      </c>
      <c r="AD56" s="1" t="str">
        <f>"ممتاز"</f>
        <v>ممتاز</v>
      </c>
      <c r="AE56" s="1" t="str">
        <f>"آخر"</f>
        <v>آخر</v>
      </c>
      <c r="AF56" s="1" t="str">
        <f>""</f>
        <v/>
      </c>
      <c r="AG56" s="1" t="str">
        <f>"Universityofsargodha"</f>
        <v>Universityofsargodha</v>
      </c>
      <c r="AH56" s="1" t="str">
        <f>"Software Engineering"</f>
        <v>Software Engineering</v>
      </c>
      <c r="AI56" s="1" t="str">
        <f>"3.12"</f>
        <v>3.12</v>
      </c>
      <c r="AJ56" s="1" t="str">
        <f>"جيد جدا "</f>
        <v xml:space="preserve">جيد جدا </v>
      </c>
      <c r="AK56" s="1" t="str">
        <f>""</f>
        <v/>
      </c>
      <c r="AL56" s="1" t="str">
        <f>""</f>
        <v/>
      </c>
      <c r="AM56" s="1" t="str">
        <f>""</f>
        <v/>
      </c>
      <c r="AN56" s="1" t="str">
        <f>""</f>
        <v/>
      </c>
      <c r="AO56" s="1" t="str">
        <f>""</f>
        <v/>
      </c>
      <c r="AP56" s="1" t="str">
        <f>""</f>
        <v/>
      </c>
      <c r="AQ56" s="1" t="str">
        <f>""</f>
        <v/>
      </c>
      <c r="AR56" s="1" t="str">
        <f>""</f>
        <v/>
      </c>
      <c r="AS56" s="1" t="str">
        <f>""</f>
        <v/>
      </c>
      <c r="AT56" s="1" t="str">
        <f>""</f>
        <v/>
      </c>
      <c r="AU56" s="1" t="str">
        <f>""</f>
        <v/>
      </c>
      <c r="AV56" s="1" t="str">
        <f>""</f>
        <v/>
      </c>
      <c r="AW56" s="1" t="str">
        <f>"KIPS"</f>
        <v>KIPS</v>
      </c>
      <c r="AX56" s="1" t="str">
        <f>"Secondary"</f>
        <v>Secondary</v>
      </c>
      <c r="AY56" s="1" t="str">
        <f>"Pakistan"</f>
        <v>Pakistan</v>
      </c>
      <c r="AZ56" s="1" t="str">
        <f>"3"</f>
        <v>3</v>
      </c>
    </row>
    <row r="57" spans="1:52" x14ac:dyDescent="0.25">
      <c r="A57" s="1">
        <v>56</v>
      </c>
      <c r="B57" s="1" t="str">
        <f>"mohammadjalkhatib@oulook.com"</f>
        <v>mohammadjalkhatib@oulook.com</v>
      </c>
      <c r="C57" s="1" t="str">
        <f>"2025-01-08 17:42:00 UTC"</f>
        <v>2025-01-08 17:42:00 UTC</v>
      </c>
      <c r="D57" s="1" t="str">
        <f>"Mohammad Jamal Adel AlKhatib"</f>
        <v>Mohammad Jamal Adel AlKhatib</v>
      </c>
      <c r="E57" s="1" t="str">
        <f>"28"</f>
        <v>28</v>
      </c>
      <c r="F57" s="1" t="str">
        <f>"AI engineer - Team Lead."</f>
        <v>AI engineer - Team Lead.</v>
      </c>
      <c r="G57" s="1" t="str">
        <f>"5"</f>
        <v>5</v>
      </c>
      <c r="H57" s="1" t="str">
        <f>"ذكر"</f>
        <v>ذكر</v>
      </c>
      <c r="I57" s="1" t="str">
        <f>"الأردن;عمان;مواطن"</f>
        <v>الأردن;عمان;مواطن</v>
      </c>
      <c r="J57" s="1" t="str">
        <f>"25-05-1997"</f>
        <v>25-05-1997</v>
      </c>
      <c r="K57" s="1" t="str">
        <f>"تكنولوجيا المعلومات - البرمجيات و تطوير مواقع الإنترنت"</f>
        <v>تكنولوجيا المعلومات - البرمجيات و تطوير مواقع الإنترنت</v>
      </c>
      <c r="L57" s="1" t="str">
        <f t="shared" si="0"/>
        <v>career_connect</v>
      </c>
      <c r="M57" s="1" t="str">
        <f>"AI engineer - Team Lead. في MENADevs"</f>
        <v>AI engineer - Team Lead. في MENADevs</v>
      </c>
      <c r="N57" s="1" t="str">
        <f>"الهندسة"</f>
        <v>الهندسة</v>
      </c>
      <c r="O57" s="1" t="str">
        <f>""</f>
        <v/>
      </c>
      <c r="P57" s="1" t="str">
        <f>"لا"</f>
        <v>لا</v>
      </c>
      <c r="Q57" s="1" t="str">
        <f t="shared" si="19"/>
        <v>لا</v>
      </c>
      <c r="R57" s="1" t="str">
        <f t="shared" si="19"/>
        <v>لا</v>
      </c>
      <c r="S57" s="1" t="str">
        <f t="shared" si="5"/>
        <v>لا</v>
      </c>
      <c r="T57" s="1" t="str">
        <f t="shared" si="22"/>
        <v>اعزب</v>
      </c>
      <c r="U57" s="1" t="str">
        <f t="shared" ref="U57:U64" si="23">"أردني"</f>
        <v>أردني</v>
      </c>
      <c r="V57" s="1" t="str">
        <f>"9971023442"</f>
        <v>9971023442</v>
      </c>
      <c r="W57" s="1" t="str">
        <f>"00962799674160"</f>
        <v>00962799674160</v>
      </c>
      <c r="X57" s="1" t="str">
        <f>"ماجستير"</f>
        <v>ماجستير</v>
      </c>
      <c r="Y57" s="1" t="str">
        <f>"الأردن"</f>
        <v>الأردن</v>
      </c>
      <c r="Z57" s="1" t="str">
        <f>"الجامعة الاردنية "</f>
        <v xml:space="preserve">الجامعة الاردنية </v>
      </c>
      <c r="AA57" s="1" t="str">
        <f>""</f>
        <v/>
      </c>
      <c r="AB57" s="1" t="str">
        <f>"Artificial Intelligence and Robotics"</f>
        <v>Artificial Intelligence and Robotics</v>
      </c>
      <c r="AC57" s="1" t="str">
        <f>"3.7"</f>
        <v>3.7</v>
      </c>
      <c r="AD57" s="1" t="str">
        <f>"ممتاز"</f>
        <v>ممتاز</v>
      </c>
      <c r="AE57" s="1" t="str">
        <f t="shared" ref="AE57:AE64" si="24">"الأردن"</f>
        <v>الأردن</v>
      </c>
      <c r="AF57" s="1" t="str">
        <f>"الجامعة الاردنية "</f>
        <v xml:space="preserve">الجامعة الاردنية </v>
      </c>
      <c r="AG57" s="1" t="str">
        <f>""</f>
        <v/>
      </c>
      <c r="AH57" s="1" t="str">
        <f>"Mechanical Engineering"</f>
        <v>Mechanical Engineering</v>
      </c>
      <c r="AI57" s="1" t="str">
        <f>"2.7"</f>
        <v>2.7</v>
      </c>
      <c r="AJ57" s="1" t="str">
        <f>"جيد"</f>
        <v>جيد</v>
      </c>
      <c r="AK57" s="1" t="str">
        <f>""</f>
        <v/>
      </c>
      <c r="AL57" s="1" t="str">
        <f>""</f>
        <v/>
      </c>
      <c r="AM57" s="1" t="str">
        <f>""</f>
        <v/>
      </c>
      <c r="AN57" s="1" t="str">
        <f>""</f>
        <v/>
      </c>
      <c r="AO57" s="1" t="str">
        <f>""</f>
        <v/>
      </c>
      <c r="AP57" s="1" t="str">
        <f>""</f>
        <v/>
      </c>
      <c r="AQ57" s="1" t="str">
        <f>""</f>
        <v/>
      </c>
      <c r="AR57" s="1" t="str">
        <f>""</f>
        <v/>
      </c>
      <c r="AS57" s="1" t="str">
        <f>""</f>
        <v/>
      </c>
      <c r="AT57" s="1" t="str">
        <f>""</f>
        <v/>
      </c>
      <c r="AU57" s="1" t="str">
        <f>""</f>
        <v/>
      </c>
      <c r="AV57" s="1" t="str">
        <f>""</f>
        <v/>
      </c>
      <c r="AW57" s="1" t="str">
        <f>"Al Sarah School"</f>
        <v>Al Sarah School</v>
      </c>
      <c r="AX57" s="1" t="str">
        <f>"High School"</f>
        <v>High School</v>
      </c>
      <c r="AY57" s="1" t="str">
        <f>"Jordan"</f>
        <v>Jordan</v>
      </c>
      <c r="AZ57" s="1" t="str">
        <f>"87.7"</f>
        <v>87.7</v>
      </c>
    </row>
    <row r="58" spans="1:52" x14ac:dyDescent="0.25">
      <c r="A58" s="1">
        <v>57</v>
      </c>
      <c r="B58" s="1" t="str">
        <f>"yaraasem30@gmail.com"</f>
        <v>yaraasem30@gmail.com</v>
      </c>
      <c r="C58" s="1" t="str">
        <f>"2025-01-09 09:20:44 UTC"</f>
        <v>2025-01-09 09:20:44 UTC</v>
      </c>
      <c r="D58" s="1" t="str">
        <f>"Yara Asem Mohamed Said  Ismail "</f>
        <v xml:space="preserve">Yara Asem Mohamed Said  Ismail </v>
      </c>
      <c r="E58" s="1" t="str">
        <f>"23"</f>
        <v>23</v>
      </c>
      <c r="F58" s="1" t="str">
        <f>""</f>
        <v/>
      </c>
      <c r="G58" s="1" t="str">
        <f>"0"</f>
        <v>0</v>
      </c>
      <c r="H58" s="1" t="str">
        <f>"أنثى"</f>
        <v>أنثى</v>
      </c>
      <c r="I58" s="1" t="str">
        <f>"الأردن;عمان;مواطن"</f>
        <v>الأردن;عمان;مواطن</v>
      </c>
      <c r="J58" s="1" t="str">
        <f>"11-09-2002"</f>
        <v>11-09-2002</v>
      </c>
      <c r="K58" s="1" t="str">
        <f>"تكنولوجيا المعلومات - البرمجيات و تطوير مواقع الإنترنت"</f>
        <v>تكنولوجيا المعلومات - البرمجيات و تطوير مواقع الإنترنت</v>
      </c>
      <c r="L58" s="1" t="str">
        <f t="shared" si="0"/>
        <v>career_connect</v>
      </c>
      <c r="M58" s="1" t="str">
        <f>"لا يوجد في لا يوجد"</f>
        <v>لا يوجد في لا يوجد</v>
      </c>
      <c r="N58" s="1" t="str">
        <f>""</f>
        <v/>
      </c>
      <c r="O58" s="1" t="str">
        <f>""</f>
        <v/>
      </c>
      <c r="P58" s="1" t="str">
        <f>"نعم"</f>
        <v>نعم</v>
      </c>
      <c r="Q58" s="1" t="str">
        <f t="shared" si="19"/>
        <v>لا</v>
      </c>
      <c r="R58" s="1" t="str">
        <f t="shared" si="19"/>
        <v>لا</v>
      </c>
      <c r="S58" s="1" t="str">
        <f t="shared" si="5"/>
        <v>لا</v>
      </c>
      <c r="T58" s="1" t="str">
        <f t="shared" si="22"/>
        <v>اعزب</v>
      </c>
      <c r="U58" s="1" t="str">
        <f t="shared" si="23"/>
        <v>أردني</v>
      </c>
      <c r="V58" s="1" t="str">
        <f>"2000549008"</f>
        <v>2000549008</v>
      </c>
      <c r="W58" s="1" t="str">
        <f>"0786012454"</f>
        <v>0786012454</v>
      </c>
      <c r="X58" s="1" t="str">
        <f t="shared" ref="X58:X64" si="25">"بكالوريوس جامعي"</f>
        <v>بكالوريوس جامعي</v>
      </c>
      <c r="Y58" s="1" t="str">
        <f>""</f>
        <v/>
      </c>
      <c r="Z58" s="1" t="str">
        <f>""</f>
        <v/>
      </c>
      <c r="AA58" s="1" t="str">
        <f>""</f>
        <v/>
      </c>
      <c r="AB58" s="1" t="str">
        <f>""</f>
        <v/>
      </c>
      <c r="AC58" s="1" t="str">
        <f>""</f>
        <v/>
      </c>
      <c r="AD58" s="1" t="str">
        <f>""</f>
        <v/>
      </c>
      <c r="AE58" s="1" t="str">
        <f t="shared" si="24"/>
        <v>الأردن</v>
      </c>
      <c r="AF58" s="1" t="str">
        <f>"الجامعة الهاشمية "</f>
        <v xml:space="preserve">الجامعة الهاشمية </v>
      </c>
      <c r="AG58" s="1" t="str">
        <f>""</f>
        <v/>
      </c>
      <c r="AH58" s="1" t="str">
        <f>"CIS"</f>
        <v>CIS</v>
      </c>
      <c r="AI58" s="1" t="str">
        <f>"2.91"</f>
        <v>2.91</v>
      </c>
      <c r="AJ58" s="1" t="str">
        <f>"جيد"</f>
        <v>جيد</v>
      </c>
      <c r="AK58" s="1" t="str">
        <f>""</f>
        <v/>
      </c>
      <c r="AL58" s="1" t="str">
        <f>""</f>
        <v/>
      </c>
      <c r="AM58" s="1" t="str">
        <f>""</f>
        <v/>
      </c>
      <c r="AN58" s="1" t="str">
        <f>""</f>
        <v/>
      </c>
      <c r="AO58" s="1" t="str">
        <f>""</f>
        <v/>
      </c>
      <c r="AP58" s="1" t="str">
        <f>""</f>
        <v/>
      </c>
      <c r="AQ58" s="1" t="str">
        <f>""</f>
        <v/>
      </c>
      <c r="AR58" s="1" t="str">
        <f>""</f>
        <v/>
      </c>
      <c r="AS58" s="1" t="str">
        <f>""</f>
        <v/>
      </c>
      <c r="AT58" s="1" t="str">
        <f>""</f>
        <v/>
      </c>
      <c r="AU58" s="1" t="str">
        <f>""</f>
        <v/>
      </c>
      <c r="AV58" s="1" t="str">
        <f>""</f>
        <v/>
      </c>
      <c r="AW58" s="1" t="str">
        <f>"القادسية "</f>
        <v xml:space="preserve">القادسية </v>
      </c>
      <c r="AX58" s="1" t="str">
        <f>"متوسط"</f>
        <v>متوسط</v>
      </c>
      <c r="AY58" s="1" t="str">
        <f>"الاردن"</f>
        <v>الاردن</v>
      </c>
      <c r="AZ58" s="1" t="str">
        <f>"89"</f>
        <v>89</v>
      </c>
    </row>
    <row r="59" spans="1:52" x14ac:dyDescent="0.25">
      <c r="A59" s="1">
        <v>58</v>
      </c>
      <c r="B59" s="1" t="str">
        <f>"lanasaqel@gmail.com"</f>
        <v>lanasaqel@gmail.com</v>
      </c>
      <c r="C59" s="1" t="str">
        <f>"2025-01-09 21:43:17 UTC"</f>
        <v>2025-01-09 21:43:17 UTC</v>
      </c>
      <c r="D59" s="1" t="str">
        <f>"Lana Sergio Mohammad Aqel"</f>
        <v>Lana Sergio Mohammad Aqel</v>
      </c>
      <c r="E59" s="1" t="str">
        <f>"31"</f>
        <v>31</v>
      </c>
      <c r="F59" s="1" t="str">
        <f>"Clinical Nutritionist and Dietician Trainee "</f>
        <v xml:space="preserve">Clinical Nutritionist and Dietician Trainee </v>
      </c>
      <c r="G59" s="1" t="str">
        <f>"5"</f>
        <v>5</v>
      </c>
      <c r="H59" s="1" t="str">
        <f>"أنثى"</f>
        <v>أنثى</v>
      </c>
      <c r="I59" s="1" t="str">
        <f>"الأردن;عمان;مواطن"</f>
        <v>الأردن;عمان;مواطن</v>
      </c>
      <c r="J59" s="1" t="str">
        <f>"13-04-1994"</f>
        <v>13-04-1994</v>
      </c>
      <c r="K59" s="1" t="str">
        <f>"العناية الصحية - أخرى"</f>
        <v>العناية الصحية - أخرى</v>
      </c>
      <c r="L59" s="1" t="str">
        <f t="shared" si="0"/>
        <v>career_connect</v>
      </c>
      <c r="M59" s="1" t="str">
        <f>"Clinical Nutritionist and Dietician Trainee  في Abdali Hospital"</f>
        <v>Clinical Nutritionist and Dietician Trainee  في Abdali Hospital</v>
      </c>
      <c r="N59" s="1" t="str">
        <f>"العناية الصحية و الخدمات الطبية"</f>
        <v>العناية الصحية و الخدمات الطبية</v>
      </c>
      <c r="O59" s="1" t="str">
        <f>""</f>
        <v/>
      </c>
      <c r="P59" s="1" t="str">
        <f>"نعم"</f>
        <v>نعم</v>
      </c>
      <c r="Q59" s="1" t="str">
        <f t="shared" si="19"/>
        <v>لا</v>
      </c>
      <c r="R59" s="1" t="str">
        <f t="shared" si="19"/>
        <v>لا</v>
      </c>
      <c r="S59" s="1" t="str">
        <f t="shared" si="5"/>
        <v>لا</v>
      </c>
      <c r="T59" s="1" t="str">
        <f t="shared" si="22"/>
        <v>اعزب</v>
      </c>
      <c r="U59" s="1" t="str">
        <f t="shared" si="23"/>
        <v>أردني</v>
      </c>
      <c r="V59" s="1" t="str">
        <f>"2000151588"</f>
        <v>2000151588</v>
      </c>
      <c r="W59" s="1" t="str">
        <f>"0799456637"</f>
        <v>0799456637</v>
      </c>
      <c r="X59" s="1" t="str">
        <f t="shared" si="25"/>
        <v>بكالوريوس جامعي</v>
      </c>
      <c r="Y59" s="1" t="str">
        <f>""</f>
        <v/>
      </c>
      <c r="Z59" s="1" t="str">
        <f>""</f>
        <v/>
      </c>
      <c r="AA59" s="1" t="str">
        <f>""</f>
        <v/>
      </c>
      <c r="AB59" s="1" t="str">
        <f>""</f>
        <v/>
      </c>
      <c r="AC59" s="1" t="str">
        <f>""</f>
        <v/>
      </c>
      <c r="AD59" s="1" t="str">
        <f>""</f>
        <v/>
      </c>
      <c r="AE59" s="1" t="str">
        <f t="shared" si="24"/>
        <v>الأردن</v>
      </c>
      <c r="AF59" s="1" t="str">
        <f>"الجامعة الاردنية "</f>
        <v xml:space="preserve">الجامعة الاردنية </v>
      </c>
      <c r="AG59" s="1" t="str">
        <f>""</f>
        <v/>
      </c>
      <c r="AH59" s="1" t="str">
        <f>"Human Nutrition and Dietetics "</f>
        <v xml:space="preserve">Human Nutrition and Dietetics </v>
      </c>
      <c r="AI59" s="1" t="str">
        <f>"00000"</f>
        <v>00000</v>
      </c>
      <c r="AJ59" s="1" t="str">
        <f>"جيد"</f>
        <v>جيد</v>
      </c>
      <c r="AK59" s="1" t="str">
        <f>""</f>
        <v/>
      </c>
      <c r="AL59" s="1" t="str">
        <f>""</f>
        <v/>
      </c>
      <c r="AM59" s="1" t="str">
        <f>""</f>
        <v/>
      </c>
      <c r="AN59" s="1" t="str">
        <f>""</f>
        <v/>
      </c>
      <c r="AO59" s="1" t="str">
        <f>""</f>
        <v/>
      </c>
      <c r="AP59" s="1" t="str">
        <f>""</f>
        <v/>
      </c>
      <c r="AQ59" s="1" t="str">
        <f>""</f>
        <v/>
      </c>
      <c r="AR59" s="1" t="str">
        <f>""</f>
        <v/>
      </c>
      <c r="AS59" s="1" t="str">
        <f>""</f>
        <v/>
      </c>
      <c r="AT59" s="1" t="str">
        <f>""</f>
        <v/>
      </c>
      <c r="AU59" s="1" t="str">
        <f>""</f>
        <v/>
      </c>
      <c r="AV59" s="1" t="str">
        <f>""</f>
        <v/>
      </c>
      <c r="AW59" s="1" t="str">
        <f>"Queen Rania Al Abdallah Secondary School "</f>
        <v xml:space="preserve">Queen Rania Al Abdallah Secondary School </v>
      </c>
      <c r="AX59" s="1" t="str">
        <f>"Secondary School "</f>
        <v xml:space="preserve">Secondary School </v>
      </c>
      <c r="AY59" s="1" t="str">
        <f>"Jordan "</f>
        <v xml:space="preserve">Jordan </v>
      </c>
      <c r="AZ59" s="1" t="str">
        <f>"00000"</f>
        <v>00000</v>
      </c>
    </row>
    <row r="60" spans="1:52" x14ac:dyDescent="0.25">
      <c r="A60" s="1">
        <v>59</v>
      </c>
      <c r="B60" s="1" t="str">
        <f>"nabeelayyad98@gmail.com"</f>
        <v>nabeelayyad98@gmail.com</v>
      </c>
      <c r="C60" s="1" t="str">
        <f>"2025-01-10 13:20:33 UTC"</f>
        <v>2025-01-10 13:20:33 UTC</v>
      </c>
      <c r="D60" s="1" t="str">
        <f>"Nabeel Bassam Ayed Ayaad"</f>
        <v>Nabeel Bassam Ayed Ayaad</v>
      </c>
      <c r="E60" s="1" t="str">
        <f>"27"</f>
        <v>27</v>
      </c>
      <c r="F60" s="1" t="str">
        <f>"Senior data scientist"</f>
        <v>Senior data scientist</v>
      </c>
      <c r="G60" s="1" t="str">
        <f>"5"</f>
        <v>5</v>
      </c>
      <c r="H60" s="1" t="str">
        <f>"ذكر"</f>
        <v>ذكر</v>
      </c>
      <c r="I60" s="1" t="str">
        <f>"الأردن;عمان;مواطن"</f>
        <v>الأردن;عمان;مواطن</v>
      </c>
      <c r="J60" s="1" t="str">
        <f>"15-09-1998"</f>
        <v>15-09-1998</v>
      </c>
      <c r="K60" s="1" t="str">
        <f>"تكنولوجيا المعلومات - البرمجيات و تطوير مواقع الإنترنت"</f>
        <v>تكنولوجيا المعلومات - البرمجيات و تطوير مواقع الإنترنت</v>
      </c>
      <c r="L60" s="1" t="str">
        <f t="shared" si="0"/>
        <v>career_connect</v>
      </c>
      <c r="M60" s="1" t="str">
        <f>"Senior dفيa scientist في Deloitte"</f>
        <v>Senior dفيa scientist في Deloitte</v>
      </c>
      <c r="N60" s="1" t="str">
        <f>"الاستشارات"</f>
        <v>الاستشارات</v>
      </c>
      <c r="O60" s="1" t="str">
        <f>""</f>
        <v/>
      </c>
      <c r="P60" s="1" t="str">
        <f>"نعم"</f>
        <v>نعم</v>
      </c>
      <c r="Q60" s="1" t="str">
        <f t="shared" si="19"/>
        <v>لا</v>
      </c>
      <c r="R60" s="1" t="str">
        <f t="shared" si="19"/>
        <v>لا</v>
      </c>
      <c r="S60" s="1" t="str">
        <f t="shared" si="5"/>
        <v>لا</v>
      </c>
      <c r="T60" s="1" t="str">
        <f t="shared" si="22"/>
        <v>اعزب</v>
      </c>
      <c r="U60" s="1" t="str">
        <f t="shared" si="23"/>
        <v>أردني</v>
      </c>
      <c r="V60" s="1" t="str">
        <f>"9981048391"</f>
        <v>9981048391</v>
      </c>
      <c r="W60" s="1" t="str">
        <f>"0791078205"</f>
        <v>0791078205</v>
      </c>
      <c r="X60" s="1" t="str">
        <f t="shared" si="25"/>
        <v>بكالوريوس جامعي</v>
      </c>
      <c r="Y60" s="1" t="str">
        <f>""</f>
        <v/>
      </c>
      <c r="Z60" s="1" t="str">
        <f>""</f>
        <v/>
      </c>
      <c r="AA60" s="1" t="str">
        <f>""</f>
        <v/>
      </c>
      <c r="AB60" s="1" t="str">
        <f>""</f>
        <v/>
      </c>
      <c r="AC60" s="1" t="str">
        <f>""</f>
        <v/>
      </c>
      <c r="AD60" s="1" t="str">
        <f>""</f>
        <v/>
      </c>
      <c r="AE60" s="1" t="str">
        <f t="shared" si="24"/>
        <v>الأردن</v>
      </c>
      <c r="AF60" s="1" t="str">
        <f>"جامعة العلوم والتكنولوجيا الاردنية "</f>
        <v xml:space="preserve">جامعة العلوم والتكنولوجيا الاردنية </v>
      </c>
      <c r="AG60" s="1" t="str">
        <f>""</f>
        <v/>
      </c>
      <c r="AH60" s="1" t="str">
        <f>"Computer science "</f>
        <v xml:space="preserve">Computer science </v>
      </c>
      <c r="AI60" s="1" t="str">
        <f>"3.5"</f>
        <v>3.5</v>
      </c>
      <c r="AJ60" s="1" t="str">
        <f>"ممتاز"</f>
        <v>ممتاز</v>
      </c>
      <c r="AK60" s="1" t="str">
        <f>""</f>
        <v/>
      </c>
      <c r="AL60" s="1" t="str">
        <f>""</f>
        <v/>
      </c>
      <c r="AM60" s="1" t="str">
        <f>""</f>
        <v/>
      </c>
      <c r="AN60" s="1" t="str">
        <f>""</f>
        <v/>
      </c>
      <c r="AO60" s="1" t="str">
        <f>""</f>
        <v/>
      </c>
      <c r="AP60" s="1" t="str">
        <f>""</f>
        <v/>
      </c>
      <c r="AQ60" s="1" t="str">
        <f>""</f>
        <v/>
      </c>
      <c r="AR60" s="1" t="str">
        <f>""</f>
        <v/>
      </c>
      <c r="AS60" s="1" t="str">
        <f>""</f>
        <v/>
      </c>
      <c r="AT60" s="1" t="str">
        <f>""</f>
        <v/>
      </c>
      <c r="AU60" s="1" t="str">
        <f>""</f>
        <v/>
      </c>
      <c r="AV60" s="1" t="str">
        <f>""</f>
        <v/>
      </c>
      <c r="AW60" s="1" t="str">
        <f>"Al watan al arabi"</f>
        <v>Al watan al arabi</v>
      </c>
      <c r="AX60" s="1" t="str">
        <f>"12"</f>
        <v>12</v>
      </c>
      <c r="AY60" s="1" t="str">
        <f>"Jordan"</f>
        <v>Jordan</v>
      </c>
      <c r="AZ60" s="1" t="str">
        <f>"80"</f>
        <v>80</v>
      </c>
    </row>
    <row r="61" spans="1:52" x14ac:dyDescent="0.25">
      <c r="A61" s="1">
        <v>60</v>
      </c>
      <c r="B61" s="1" t="str">
        <f>"shaimaa.batayneh@gmail.com"</f>
        <v>shaimaa.batayneh@gmail.com</v>
      </c>
      <c r="C61" s="1" t="str">
        <f>"2025-01-10 22:55:10 UTC"</f>
        <v>2025-01-10 22:55:10 UTC</v>
      </c>
      <c r="D61" s="1" t="str">
        <f>"Shaimaa  Naser Jamil Albataineh "</f>
        <v xml:space="preserve">Shaimaa  Naser Jamil Albataineh </v>
      </c>
      <c r="E61" s="1" t="str">
        <f>"24"</f>
        <v>24</v>
      </c>
      <c r="F61" s="1" t="str">
        <f>""</f>
        <v/>
      </c>
      <c r="G61" s="1" t="str">
        <f>"0"</f>
        <v>0</v>
      </c>
      <c r="H61" s="1" t="str">
        <f>"أنثى"</f>
        <v>أنثى</v>
      </c>
      <c r="I61" s="1" t="str">
        <f>"الأردن;اربد;مواطن"</f>
        <v>الأردن;اربد;مواطن</v>
      </c>
      <c r="J61" s="1" t="str">
        <f>"15-06-2001"</f>
        <v>15-06-2001</v>
      </c>
      <c r="K61" s="1" t="str">
        <f>"هندسة - الحاسبات"</f>
        <v>هندسة - الحاسبات</v>
      </c>
      <c r="L61" s="1" t="str">
        <f t="shared" si="0"/>
        <v>career_connect</v>
      </c>
      <c r="M61" s="1" t="str">
        <f>"لا يوجد في لا يوجد"</f>
        <v>لا يوجد في لا يوجد</v>
      </c>
      <c r="N61" s="1" t="str">
        <f>""</f>
        <v/>
      </c>
      <c r="O61" s="1" t="str">
        <f>""</f>
        <v/>
      </c>
      <c r="P61" s="1" t="str">
        <f>"لا"</f>
        <v>لا</v>
      </c>
      <c r="Q61" s="1" t="str">
        <f t="shared" si="19"/>
        <v>لا</v>
      </c>
      <c r="R61" s="1" t="str">
        <f t="shared" si="19"/>
        <v>لا</v>
      </c>
      <c r="S61" s="1" t="str">
        <f t="shared" si="5"/>
        <v>لا</v>
      </c>
      <c r="T61" s="1" t="str">
        <f t="shared" si="22"/>
        <v>اعزب</v>
      </c>
      <c r="U61" s="1" t="str">
        <f t="shared" si="23"/>
        <v>أردني</v>
      </c>
      <c r="V61" s="1" t="str">
        <f>"2000305531"</f>
        <v>2000305531</v>
      </c>
      <c r="W61" s="1" t="str">
        <f>"0780989191"</f>
        <v>0780989191</v>
      </c>
      <c r="X61" s="1" t="str">
        <f t="shared" si="25"/>
        <v>بكالوريوس جامعي</v>
      </c>
      <c r="Y61" s="1" t="str">
        <f>""</f>
        <v/>
      </c>
      <c r="Z61" s="1" t="str">
        <f>""</f>
        <v/>
      </c>
      <c r="AA61" s="1" t="str">
        <f>""</f>
        <v/>
      </c>
      <c r="AB61" s="1" t="str">
        <f>""</f>
        <v/>
      </c>
      <c r="AC61" s="1" t="str">
        <f>""</f>
        <v/>
      </c>
      <c r="AD61" s="1" t="str">
        <f>""</f>
        <v/>
      </c>
      <c r="AE61" s="1" t="str">
        <f t="shared" si="24"/>
        <v>الأردن</v>
      </c>
      <c r="AF61" s="1" t="str">
        <f>"جامعة اليرموك "</f>
        <v xml:space="preserve">جامعة اليرموك </v>
      </c>
      <c r="AG61" s="1" t="str">
        <f>""</f>
        <v/>
      </c>
      <c r="AH61" s="1" t="str">
        <f>"Computer engineering "</f>
        <v xml:space="preserve">Computer engineering </v>
      </c>
      <c r="AI61" s="1" t="str">
        <f>"73.5"</f>
        <v>73.5</v>
      </c>
      <c r="AJ61" s="1" t="str">
        <f>"جيد"</f>
        <v>جيد</v>
      </c>
      <c r="AK61" s="1" t="str">
        <f>""</f>
        <v/>
      </c>
      <c r="AL61" s="1" t="str">
        <f>""</f>
        <v/>
      </c>
      <c r="AM61" s="1" t="str">
        <f>""</f>
        <v/>
      </c>
      <c r="AN61" s="1" t="str">
        <f>""</f>
        <v/>
      </c>
      <c r="AO61" s="1" t="str">
        <f>""</f>
        <v/>
      </c>
      <c r="AP61" s="1" t="str">
        <f>""</f>
        <v/>
      </c>
      <c r="AQ61" s="1" t="str">
        <f>""</f>
        <v/>
      </c>
      <c r="AR61" s="1" t="str">
        <f>""</f>
        <v/>
      </c>
      <c r="AS61" s="1" t="str">
        <f>""</f>
        <v/>
      </c>
      <c r="AT61" s="1" t="str">
        <f>""</f>
        <v/>
      </c>
      <c r="AU61" s="1" t="str">
        <f>""</f>
        <v/>
      </c>
      <c r="AV61" s="1" t="str">
        <f>""</f>
        <v/>
      </c>
      <c r="AW61" s="1" t="str">
        <f>"حكما الثانوية للبنات "</f>
        <v xml:space="preserve">حكما الثانوية للبنات </v>
      </c>
      <c r="AX61" s="1" t="str">
        <f>"ممتاز"</f>
        <v>ممتاز</v>
      </c>
      <c r="AY61" s="1" t="str">
        <f>"الأردن "</f>
        <v xml:space="preserve">الأردن </v>
      </c>
      <c r="AZ61" s="1" t="str">
        <f>"90.9"</f>
        <v>90.9</v>
      </c>
    </row>
    <row r="62" spans="1:52" x14ac:dyDescent="0.25">
      <c r="A62" s="1">
        <v>61</v>
      </c>
      <c r="B62" s="1" t="str">
        <f>"ahmed.m.alajlouni@gmail.com"</f>
        <v>ahmed.m.alajlouni@gmail.com</v>
      </c>
      <c r="C62" s="1" t="str">
        <f>"2025-01-10 23:17:25 UTC"</f>
        <v>2025-01-10 23:17:25 UTC</v>
      </c>
      <c r="D62" s="1" t="str">
        <f>"Ahmed Musa Khaled Al-Ajlouni"</f>
        <v>Ahmed Musa Khaled Al-Ajlouni</v>
      </c>
      <c r="E62" s="1" t="str">
        <f>"27"</f>
        <v>27</v>
      </c>
      <c r="F62" s="1" t="str">
        <f>"Data Scientist"</f>
        <v>Data Scientist</v>
      </c>
      <c r="G62" s="1" t="str">
        <f>"1"</f>
        <v>1</v>
      </c>
      <c r="H62" s="1" t="str">
        <f>"ذكر"</f>
        <v>ذكر</v>
      </c>
      <c r="I62" s="1" t="str">
        <f>"الأردن;عمان;مواطن"</f>
        <v>الأردن;عمان;مواطن</v>
      </c>
      <c r="J62" s="1" t="str">
        <f>"11-01-1998"</f>
        <v>11-01-1998</v>
      </c>
      <c r="K62" s="1" t="str">
        <f>"تكنولوجيا المعلومات - البرمجيات و تطوير مواقع الإنترنت"</f>
        <v>تكنولوجيا المعلومات - البرمجيات و تطوير مواقع الإنترنت</v>
      </c>
      <c r="L62" s="1" t="str">
        <f t="shared" si="0"/>
        <v>career_connect</v>
      </c>
      <c r="M62" s="1" t="str">
        <f>"Dفيa Scientist في Aumet"</f>
        <v>Dفيa Scientist في Aumet</v>
      </c>
      <c r="N62" s="1" t="str">
        <f>"الصيدلة"</f>
        <v>الصيدلة</v>
      </c>
      <c r="O62" s="1" t="str">
        <f>""</f>
        <v/>
      </c>
      <c r="P62" s="1" t="str">
        <f>"نعم"</f>
        <v>نعم</v>
      </c>
      <c r="Q62" s="1" t="str">
        <f t="shared" si="19"/>
        <v>لا</v>
      </c>
      <c r="R62" s="1" t="str">
        <f t="shared" si="19"/>
        <v>لا</v>
      </c>
      <c r="S62" s="1" t="str">
        <f t="shared" si="5"/>
        <v>لا</v>
      </c>
      <c r="T62" s="1" t="str">
        <f t="shared" si="22"/>
        <v>اعزب</v>
      </c>
      <c r="U62" s="1" t="str">
        <f t="shared" si="23"/>
        <v>أردني</v>
      </c>
      <c r="V62" s="1" t="str">
        <f>"9981000708"</f>
        <v>9981000708</v>
      </c>
      <c r="W62" s="1" t="str">
        <f>"00962799633601"</f>
        <v>00962799633601</v>
      </c>
      <c r="X62" s="1" t="str">
        <f t="shared" si="25"/>
        <v>بكالوريوس جامعي</v>
      </c>
      <c r="Y62" s="1" t="str">
        <f>""</f>
        <v/>
      </c>
      <c r="Z62" s="1" t="str">
        <f>""</f>
        <v/>
      </c>
      <c r="AA62" s="1" t="str">
        <f>""</f>
        <v/>
      </c>
      <c r="AB62" s="1" t="str">
        <f>""</f>
        <v/>
      </c>
      <c r="AC62" s="1" t="str">
        <f>""</f>
        <v/>
      </c>
      <c r="AD62" s="1" t="str">
        <f>""</f>
        <v/>
      </c>
      <c r="AE62" s="1" t="str">
        <f t="shared" si="24"/>
        <v>الأردن</v>
      </c>
      <c r="AF62" s="1" t="str">
        <f>"جامعة العلوم والتكنولوجيا الاردنية "</f>
        <v xml:space="preserve">جامعة العلوم والتكنولوجيا الاردنية </v>
      </c>
      <c r="AG62" s="1" t="str">
        <f>""</f>
        <v/>
      </c>
      <c r="AH62" s="1" t="str">
        <f>"Mechanical Engineering"</f>
        <v>Mechanical Engineering</v>
      </c>
      <c r="AI62" s="1" t="str">
        <f>"3.53"</f>
        <v>3.53</v>
      </c>
      <c r="AJ62" s="1" t="str">
        <f>"ممتاز"</f>
        <v>ممتاز</v>
      </c>
      <c r="AK62" s="1" t="str">
        <f>""</f>
        <v/>
      </c>
      <c r="AL62" s="1" t="str">
        <f>""</f>
        <v/>
      </c>
      <c r="AM62" s="1" t="str">
        <f>""</f>
        <v/>
      </c>
      <c r="AN62" s="1" t="str">
        <f>""</f>
        <v/>
      </c>
      <c r="AO62" s="1" t="str">
        <f>""</f>
        <v/>
      </c>
      <c r="AP62" s="1" t="str">
        <f>""</f>
        <v/>
      </c>
      <c r="AQ62" s="1" t="str">
        <f>""</f>
        <v/>
      </c>
      <c r="AR62" s="1" t="str">
        <f>""</f>
        <v/>
      </c>
      <c r="AS62" s="1" t="str">
        <f>""</f>
        <v/>
      </c>
      <c r="AT62" s="1" t="str">
        <f>""</f>
        <v/>
      </c>
      <c r="AU62" s="1" t="str">
        <f>""</f>
        <v/>
      </c>
      <c r="AV62" s="1" t="str">
        <f>""</f>
        <v/>
      </c>
      <c r="AW62" s="1" t="str">
        <f>"مدرسة النموذجية جامعة اليرموك"</f>
        <v>مدرسة النموذجية جامعة اليرموك</v>
      </c>
      <c r="AX62" s="1" t="str">
        <f>"ثانوي/وطني"</f>
        <v>ثانوي/وطني</v>
      </c>
      <c r="AY62" s="1" t="str">
        <f>"الأردن"</f>
        <v>الأردن</v>
      </c>
      <c r="AZ62" s="1" t="str">
        <f>"84.6"</f>
        <v>84.6</v>
      </c>
    </row>
    <row r="63" spans="1:52" x14ac:dyDescent="0.25">
      <c r="A63" s="1">
        <v>62</v>
      </c>
      <c r="B63" s="1" t="str">
        <f>"alkwamlhahmd4@gmail.com"</f>
        <v>alkwamlhahmd4@gmail.com</v>
      </c>
      <c r="C63" s="1" t="str">
        <f>"2025-01-12 18:52:08 UTC"</f>
        <v>2025-01-12 18:52:08 UTC</v>
      </c>
      <c r="D63" s="1" t="str">
        <f>"احمد هايل مطلق الكواملة"</f>
        <v>احمد هايل مطلق الكواملة</v>
      </c>
      <c r="E63" s="1" t="str">
        <f>"26"</f>
        <v>26</v>
      </c>
      <c r="F63" s="1" t="str">
        <f>"فني مختبر احياء دقيقة"</f>
        <v>فني مختبر احياء دقيقة</v>
      </c>
      <c r="G63" s="1" t="str">
        <f>"2"</f>
        <v>2</v>
      </c>
      <c r="H63" s="1" t="str">
        <f>"ذكر"</f>
        <v>ذكر</v>
      </c>
      <c r="I63" s="1" t="str">
        <f>"الأردن;مادبا;مواطن"</f>
        <v>الأردن;مادبا;مواطن</v>
      </c>
      <c r="J63" s="1" t="str">
        <f>"16-10-1999"</f>
        <v>16-10-1999</v>
      </c>
      <c r="K63" s="1" t="str">
        <f>"العناية الصحية - أخرى"</f>
        <v>العناية الصحية - أخرى</v>
      </c>
      <c r="L63" s="1" t="str">
        <f t="shared" si="0"/>
        <v>career_connect</v>
      </c>
      <c r="M63" s="1" t="str">
        <f>"فني مختبر احياء دقيقة في شركة توام للأجهزة والمستلزمات الطبية"</f>
        <v>فني مختبر احياء دقيقة في شركة توام للأجهزة والمستلزمات الطبية</v>
      </c>
      <c r="N63" s="1" t="str">
        <f>"التصنيع و الإنتاج"</f>
        <v>التصنيع و الإنتاج</v>
      </c>
      <c r="O63" s="1" t="str">
        <f>""</f>
        <v/>
      </c>
      <c r="P63" s="1" t="str">
        <f>"نعم"</f>
        <v>نعم</v>
      </c>
      <c r="Q63" s="1" t="str">
        <f t="shared" si="19"/>
        <v>لا</v>
      </c>
      <c r="R63" s="1" t="str">
        <f t="shared" si="19"/>
        <v>لا</v>
      </c>
      <c r="S63" s="1" t="str">
        <f t="shared" si="5"/>
        <v>لا</v>
      </c>
      <c r="T63" s="1" t="str">
        <f t="shared" si="22"/>
        <v>اعزب</v>
      </c>
      <c r="U63" s="1" t="str">
        <f t="shared" si="23"/>
        <v>أردني</v>
      </c>
      <c r="V63" s="1" t="str">
        <f>"9991051876"</f>
        <v>9991051876</v>
      </c>
      <c r="W63" s="1" t="str">
        <f>"00962770740980"</f>
        <v>00962770740980</v>
      </c>
      <c r="X63" s="1" t="str">
        <f t="shared" si="25"/>
        <v>بكالوريوس جامعي</v>
      </c>
      <c r="Y63" s="1" t="str">
        <f>""</f>
        <v/>
      </c>
      <c r="Z63" s="1" t="str">
        <f>""</f>
        <v/>
      </c>
      <c r="AA63" s="1" t="str">
        <f>""</f>
        <v/>
      </c>
      <c r="AB63" s="1" t="str">
        <f>""</f>
        <v/>
      </c>
      <c r="AC63" s="1" t="str">
        <f>""</f>
        <v/>
      </c>
      <c r="AD63" s="1" t="str">
        <f>""</f>
        <v/>
      </c>
      <c r="AE63" s="1" t="str">
        <f t="shared" si="24"/>
        <v>الأردن</v>
      </c>
      <c r="AF63" s="1" t="str">
        <f>"الجامعة الهاشمية "</f>
        <v xml:space="preserve">الجامعة الهاشمية </v>
      </c>
      <c r="AG63" s="1" t="str">
        <f>""</f>
        <v/>
      </c>
      <c r="AH63" s="1" t="str">
        <f>"تكنولوجيا حيوية"</f>
        <v>تكنولوجيا حيوية</v>
      </c>
      <c r="AI63" s="1" t="str">
        <f>"2.49"</f>
        <v>2.49</v>
      </c>
      <c r="AJ63" s="1" t="str">
        <f>"مقبول"</f>
        <v>مقبول</v>
      </c>
      <c r="AK63" s="1" t="str">
        <f>""</f>
        <v/>
      </c>
      <c r="AL63" s="1" t="str">
        <f>""</f>
        <v/>
      </c>
      <c r="AM63" s="1" t="str">
        <f>""</f>
        <v/>
      </c>
      <c r="AN63" s="1" t="str">
        <f>""</f>
        <v/>
      </c>
      <c r="AO63" s="1" t="str">
        <f>""</f>
        <v/>
      </c>
      <c r="AP63" s="1" t="str">
        <f>""</f>
        <v/>
      </c>
      <c r="AQ63" s="1" t="str">
        <f>""</f>
        <v/>
      </c>
      <c r="AR63" s="1" t="str">
        <f>""</f>
        <v/>
      </c>
      <c r="AS63" s="1" t="str">
        <f>""</f>
        <v/>
      </c>
      <c r="AT63" s="1" t="str">
        <f>""</f>
        <v/>
      </c>
      <c r="AU63" s="1" t="str">
        <f>""</f>
        <v/>
      </c>
      <c r="AV63" s="1" t="str">
        <f>""</f>
        <v/>
      </c>
      <c r="AW63" s="1" t="str">
        <f>"ذيبان الثانوية للبنين"</f>
        <v>ذيبان الثانوية للبنين</v>
      </c>
      <c r="AX63" s="1" t="str">
        <f>"توجيهي"</f>
        <v>توجيهي</v>
      </c>
      <c r="AY63" s="1" t="str">
        <f>"الاردن"</f>
        <v>الاردن</v>
      </c>
      <c r="AZ63" s="1" t="str">
        <f>"70.8"</f>
        <v>70.8</v>
      </c>
    </row>
    <row r="64" spans="1:52" x14ac:dyDescent="0.25">
      <c r="A64" s="1">
        <v>63</v>
      </c>
      <c r="B64" s="1" t="str">
        <f>"osamaalshobki54@gmail.com"</f>
        <v>osamaalshobki54@gmail.com</v>
      </c>
      <c r="C64" s="1" t="str">
        <f>"2025-01-13 21:17:13 UTC"</f>
        <v>2025-01-13 21:17:13 UTC</v>
      </c>
      <c r="D64" s="1" t="str">
        <f>"Osama Awad Mahmmoud Al shobaki"</f>
        <v>Osama Awad Mahmmoud Al shobaki</v>
      </c>
      <c r="E64" s="1" t="str">
        <f>"25"</f>
        <v>25</v>
      </c>
      <c r="F64" s="1" t="str">
        <f>"Quality control officer"</f>
        <v>Quality control officer</v>
      </c>
      <c r="G64" s="1" t="str">
        <f>"2"</f>
        <v>2</v>
      </c>
      <c r="H64" s="1" t="str">
        <f>"ذكر"</f>
        <v>ذكر</v>
      </c>
      <c r="I64" s="1" t="str">
        <f>"الأردن;عمان;مواطن"</f>
        <v>الأردن;عمان;مواطن</v>
      </c>
      <c r="J64" s="1" t="str">
        <f>"19-05-2000"</f>
        <v>19-05-2000</v>
      </c>
      <c r="K64" s="1" t="str">
        <f>"ضبط الجودة أو مراقبة الجودة"</f>
        <v>ضبط الجودة أو مراقبة الجودة</v>
      </c>
      <c r="L64" s="1" t="str">
        <f t="shared" si="0"/>
        <v>career_connect</v>
      </c>
      <c r="M64" s="1" t="str">
        <f>"Quality control officer في الولاء لخدمات الإعاشة "</f>
        <v xml:space="preserve">Quality control officer في الولاء لخدمات الإعاشة </v>
      </c>
      <c r="N64" s="1" t="str">
        <f>"التجهيزات الغذائية، خدمات الطعام و المطاعم"</f>
        <v>التجهيزات الغذائية، خدمات الطعام و المطاعم</v>
      </c>
      <c r="O64" s="1" t="str">
        <f>""</f>
        <v/>
      </c>
      <c r="P64" s="1" t="str">
        <f>"نعم"</f>
        <v>نعم</v>
      </c>
      <c r="Q64" s="1" t="str">
        <f t="shared" si="19"/>
        <v>لا</v>
      </c>
      <c r="R64" s="1" t="str">
        <f t="shared" si="19"/>
        <v>لا</v>
      </c>
      <c r="S64" s="1" t="str">
        <f t="shared" si="5"/>
        <v>لا</v>
      </c>
      <c r="T64" s="1" t="str">
        <f t="shared" si="22"/>
        <v>اعزب</v>
      </c>
      <c r="U64" s="1" t="str">
        <f t="shared" si="23"/>
        <v>أردني</v>
      </c>
      <c r="V64" s="1" t="str">
        <f>"2000077754"</f>
        <v>2000077754</v>
      </c>
      <c r="W64" s="1" t="str">
        <f>"0780777395"</f>
        <v>0780777395</v>
      </c>
      <c r="X64" s="1" t="str">
        <f t="shared" si="25"/>
        <v>بكالوريوس جامعي</v>
      </c>
      <c r="Y64" s="1" t="str">
        <f>""</f>
        <v/>
      </c>
      <c r="Z64" s="1" t="str">
        <f>""</f>
        <v/>
      </c>
      <c r="AA64" s="1" t="str">
        <f>""</f>
        <v/>
      </c>
      <c r="AB64" s="1" t="str">
        <f>""</f>
        <v/>
      </c>
      <c r="AC64" s="1" t="str">
        <f>""</f>
        <v/>
      </c>
      <c r="AD64" s="1" t="str">
        <f>""</f>
        <v/>
      </c>
      <c r="AE64" s="1" t="str">
        <f t="shared" si="24"/>
        <v>الأردن</v>
      </c>
      <c r="AF64" s="1" t="str">
        <f>"جامعة البلقاء التطبيقية "</f>
        <v xml:space="preserve">جامعة البلقاء التطبيقية </v>
      </c>
      <c r="AG64" s="1" t="str">
        <f>""</f>
        <v/>
      </c>
      <c r="AH64" s="1" t="str">
        <f>"التغذية و التصنيع الغذائي"</f>
        <v>التغذية و التصنيع الغذائي</v>
      </c>
      <c r="AI64" s="1" t="str">
        <f>"2.6"</f>
        <v>2.6</v>
      </c>
      <c r="AJ64" s="1" t="str">
        <f>"جيد"</f>
        <v>جيد</v>
      </c>
      <c r="AK64" s="1" t="str">
        <f>""</f>
        <v/>
      </c>
      <c r="AL64" s="1" t="str">
        <f>""</f>
        <v/>
      </c>
      <c r="AM64" s="1" t="str">
        <f>""</f>
        <v/>
      </c>
      <c r="AN64" s="1" t="str">
        <f>""</f>
        <v/>
      </c>
      <c r="AO64" s="1" t="str">
        <f>""</f>
        <v/>
      </c>
      <c r="AP64" s="1" t="str">
        <f>""</f>
        <v/>
      </c>
      <c r="AQ64" s="1" t="str">
        <f>""</f>
        <v/>
      </c>
      <c r="AR64" s="1" t="str">
        <f>""</f>
        <v/>
      </c>
      <c r="AS64" s="1" t="str">
        <f>""</f>
        <v/>
      </c>
      <c r="AT64" s="1" t="str">
        <f>""</f>
        <v/>
      </c>
      <c r="AU64" s="1" t="str">
        <f>""</f>
        <v/>
      </c>
      <c r="AV64" s="1" t="str">
        <f>""</f>
        <v/>
      </c>
      <c r="AW64" s="1" t="str">
        <f>"مدرسة البقعة الثانوية للبنين"</f>
        <v>مدرسة البقعة الثانوية للبنين</v>
      </c>
      <c r="AX64" s="1" t="str">
        <f>"ثانوية"</f>
        <v>ثانوية</v>
      </c>
      <c r="AY64" s="1" t="str">
        <f>"الاردن "</f>
        <v xml:space="preserve">الاردن </v>
      </c>
      <c r="AZ64" s="1" t="str">
        <f>"71"</f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2025-01-20T12:55:58Z</dcterms:modified>
</cp:coreProperties>
</file>