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aak\Documents\Research\"/>
    </mc:Choice>
  </mc:AlternateContent>
  <bookViews>
    <workbookView xWindow="0" yWindow="0" windowWidth="28800" windowHeight="12435" activeTab="2"/>
  </bookViews>
  <sheets>
    <sheet name="C9-HTS" sheetId="1" r:id="rId1"/>
    <sheet name="FLOW-DP" sheetId="2" r:id="rId2"/>
    <sheet name="Sheet1" sheetId="4" r:id="rId3"/>
    <sheet name="Generic C9 HTS Data" sheetId="3" r:id="rId4"/>
  </sheets>
  <calcPr calcId="152511"/>
</workbook>
</file>

<file path=xl/calcChain.xml><?xml version="1.0" encoding="utf-8"?>
<calcChain xmlns="http://schemas.openxmlformats.org/spreadsheetml/2006/main">
  <c r="B32" i="4" l="1"/>
  <c r="K29" i="4"/>
  <c r="J29" i="4"/>
  <c r="B29" i="4"/>
  <c r="B36" i="4" s="1"/>
  <c r="B39" i="4" s="1"/>
  <c r="J27" i="4"/>
  <c r="I26" i="4"/>
  <c r="J26" i="4" s="1"/>
  <c r="K26" i="4" s="1"/>
  <c r="I21" i="4"/>
  <c r="J21" i="4" s="1"/>
  <c r="K21" i="4" s="1"/>
  <c r="I20" i="4"/>
  <c r="J20" i="4" s="1"/>
  <c r="D17" i="4"/>
  <c r="C17" i="4"/>
  <c r="G16" i="4"/>
  <c r="I16" i="4" s="1"/>
  <c r="J16" i="4" s="1"/>
  <c r="K16" i="4" s="1"/>
  <c r="D16" i="4"/>
  <c r="I14" i="4"/>
  <c r="J14" i="4" s="1"/>
  <c r="K14" i="4" s="1"/>
  <c r="D14" i="4"/>
  <c r="C14" i="4"/>
  <c r="I13" i="4"/>
  <c r="J13" i="4" s="1"/>
  <c r="D13" i="4"/>
  <c r="N12" i="4"/>
  <c r="M12" i="4"/>
  <c r="L12" i="4"/>
  <c r="I12" i="4"/>
  <c r="I10" i="4"/>
  <c r="I27" i="4" s="1"/>
  <c r="C10" i="4"/>
  <c r="I9" i="4"/>
  <c r="J32" i="4" s="1"/>
  <c r="J8" i="4"/>
  <c r="B4" i="4"/>
  <c r="C24" i="4" s="1"/>
  <c r="N19" i="3"/>
  <c r="M19" i="3"/>
  <c r="L19" i="3"/>
  <c r="K19" i="3"/>
  <c r="K13" i="3"/>
  <c r="K14" i="3"/>
  <c r="K15" i="3"/>
  <c r="K16" i="3"/>
  <c r="K17" i="3"/>
  <c r="J14" i="3"/>
  <c r="J15" i="3"/>
  <c r="J16" i="3"/>
  <c r="J17" i="3"/>
  <c r="M12" i="2"/>
  <c r="N12" i="2"/>
  <c r="L12" i="2"/>
  <c r="K20" i="4" l="1"/>
  <c r="C18" i="4"/>
  <c r="C15" i="4"/>
  <c r="C21" i="4"/>
  <c r="C16" i="4"/>
  <c r="C9" i="4"/>
  <c r="C13" i="4"/>
  <c r="C25" i="4"/>
  <c r="K8" i="4"/>
  <c r="M14" i="4"/>
  <c r="L14" i="4"/>
  <c r="N14" i="4"/>
  <c r="J33" i="4"/>
  <c r="K32" i="4"/>
  <c r="K33" i="4" s="1"/>
  <c r="M16" i="4"/>
  <c r="L16" i="4"/>
  <c r="N16" i="4"/>
  <c r="K13" i="4"/>
  <c r="I15" i="4"/>
  <c r="I17" i="4"/>
  <c r="J17" i="4" s="1"/>
  <c r="K17" i="4" s="1"/>
  <c r="C12" i="4"/>
  <c r="C8" i="4"/>
  <c r="C20" i="4"/>
  <c r="C22" i="4"/>
  <c r="C23" i="4"/>
  <c r="K8" i="3"/>
  <c r="J32" i="3"/>
  <c r="J33" i="3" s="1"/>
  <c r="B32" i="3"/>
  <c r="K29" i="3"/>
  <c r="J29" i="3"/>
  <c r="B29" i="3"/>
  <c r="B36" i="3" s="1"/>
  <c r="B39" i="3" s="1"/>
  <c r="J27" i="3"/>
  <c r="J26" i="3"/>
  <c r="K26" i="3" s="1"/>
  <c r="I26" i="3"/>
  <c r="C24" i="3"/>
  <c r="C23" i="3"/>
  <c r="I21" i="3"/>
  <c r="J21" i="3" s="1"/>
  <c r="K21" i="3" s="1"/>
  <c r="I20" i="3"/>
  <c r="J20" i="3" s="1"/>
  <c r="K20" i="3" s="1"/>
  <c r="D17" i="3"/>
  <c r="G16" i="3"/>
  <c r="I17" i="3" s="1"/>
  <c r="D16" i="3"/>
  <c r="I15" i="3"/>
  <c r="I14" i="3"/>
  <c r="D14" i="3"/>
  <c r="J13" i="3"/>
  <c r="I13" i="3"/>
  <c r="D13" i="3"/>
  <c r="N12" i="3"/>
  <c r="M12" i="3"/>
  <c r="L12" i="3"/>
  <c r="I12" i="3"/>
  <c r="I10" i="3"/>
  <c r="I27" i="3" s="1"/>
  <c r="C10" i="3"/>
  <c r="I9" i="3"/>
  <c r="J8" i="3"/>
  <c r="B4" i="3"/>
  <c r="C22" i="3" s="1"/>
  <c r="J27" i="2"/>
  <c r="B4" i="2"/>
  <c r="C14" i="2" s="1"/>
  <c r="J8" i="2"/>
  <c r="K8" i="2" s="1"/>
  <c r="I9" i="2"/>
  <c r="I10" i="2"/>
  <c r="I12" i="2"/>
  <c r="I27" i="2" s="1"/>
  <c r="D13" i="2"/>
  <c r="I13" i="2"/>
  <c r="J13" i="2" s="1"/>
  <c r="D14" i="2"/>
  <c r="I14" i="2"/>
  <c r="J14" i="2" s="1"/>
  <c r="K14" i="2" s="1"/>
  <c r="D16" i="2"/>
  <c r="G16" i="2"/>
  <c r="I15" i="2" s="1"/>
  <c r="J15" i="2" s="1"/>
  <c r="K15" i="2" s="1"/>
  <c r="I16" i="2"/>
  <c r="J16" i="2" s="1"/>
  <c r="K16" i="2" s="1"/>
  <c r="D17" i="2"/>
  <c r="I17" i="2"/>
  <c r="J17" i="2" s="1"/>
  <c r="K17" i="2" s="1"/>
  <c r="I20" i="2"/>
  <c r="J20" i="2" s="1"/>
  <c r="K20" i="2" s="1"/>
  <c r="I21" i="2"/>
  <c r="J21" i="2"/>
  <c r="K21" i="2" s="1"/>
  <c r="I26" i="2"/>
  <c r="J26" i="2" s="1"/>
  <c r="K26" i="2" s="1"/>
  <c r="B29" i="2"/>
  <c r="J29" i="2"/>
  <c r="K29" i="2"/>
  <c r="B32" i="2"/>
  <c r="B36" i="2" s="1"/>
  <c r="B39" i="2" s="1"/>
  <c r="J32" i="2"/>
  <c r="K32" i="2" s="1"/>
  <c r="K33" i="2" s="1"/>
  <c r="B46" i="1"/>
  <c r="B40" i="1"/>
  <c r="B37" i="1"/>
  <c r="B44" i="1" s="1"/>
  <c r="B47" i="1" s="1"/>
  <c r="E33" i="1"/>
  <c r="B33" i="1"/>
  <c r="D33" i="1" s="1"/>
  <c r="E32" i="1"/>
  <c r="B32" i="1"/>
  <c r="D32" i="1" s="1"/>
  <c r="E31" i="1"/>
  <c r="B31" i="1"/>
  <c r="D31" i="1" s="1"/>
  <c r="B30" i="1"/>
  <c r="D30" i="1" s="1"/>
  <c r="E29" i="1"/>
  <c r="B29" i="1"/>
  <c r="E28" i="1"/>
  <c r="B28" i="1"/>
  <c r="D28" i="1" s="1"/>
  <c r="E25" i="1"/>
  <c r="D25" i="1"/>
  <c r="E24" i="1"/>
  <c r="D24" i="1"/>
  <c r="E23" i="1"/>
  <c r="D23" i="1"/>
  <c r="E22" i="1"/>
  <c r="D22" i="1"/>
  <c r="E21" i="1"/>
  <c r="D21" i="1"/>
  <c r="E20" i="1"/>
  <c r="D20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0" i="1"/>
  <c r="D10" i="1"/>
  <c r="E9" i="1"/>
  <c r="D9" i="1"/>
  <c r="E8" i="1"/>
  <c r="D8" i="1"/>
  <c r="B4" i="1"/>
  <c r="C24" i="1" s="1"/>
  <c r="M13" i="4" l="1"/>
  <c r="L13" i="4"/>
  <c r="N13" i="4"/>
  <c r="I18" i="4"/>
  <c r="J19" i="4" s="1"/>
  <c r="J15" i="4"/>
  <c r="M17" i="4"/>
  <c r="L17" i="4"/>
  <c r="N17" i="4"/>
  <c r="L17" i="3"/>
  <c r="M17" i="3"/>
  <c r="N17" i="3"/>
  <c r="L13" i="3"/>
  <c r="N13" i="3"/>
  <c r="M13" i="3"/>
  <c r="L14" i="3"/>
  <c r="M14" i="3"/>
  <c r="N14" i="3"/>
  <c r="C9" i="3"/>
  <c r="C16" i="3"/>
  <c r="C25" i="3"/>
  <c r="C13" i="3"/>
  <c r="C14" i="3"/>
  <c r="C15" i="3"/>
  <c r="C17" i="3"/>
  <c r="C18" i="3"/>
  <c r="C21" i="3"/>
  <c r="I16" i="3"/>
  <c r="K32" i="3"/>
  <c r="K33" i="3" s="1"/>
  <c r="C12" i="3"/>
  <c r="C8" i="3"/>
  <c r="C20" i="3"/>
  <c r="C10" i="2"/>
  <c r="C15" i="2"/>
  <c r="C21" i="2"/>
  <c r="C25" i="2"/>
  <c r="C13" i="2"/>
  <c r="C9" i="2"/>
  <c r="B34" i="1"/>
  <c r="D34" i="1" s="1"/>
  <c r="C24" i="2"/>
  <c r="C20" i="2"/>
  <c r="C16" i="2"/>
  <c r="C8" i="2"/>
  <c r="C18" i="2"/>
  <c r="J33" i="2"/>
  <c r="C22" i="2"/>
  <c r="E30" i="1"/>
  <c r="C12" i="2"/>
  <c r="C23" i="2"/>
  <c r="C17" i="2"/>
  <c r="M17" i="2"/>
  <c r="L17" i="2"/>
  <c r="N17" i="2"/>
  <c r="L15" i="2"/>
  <c r="N15" i="2"/>
  <c r="M15" i="2"/>
  <c r="M14" i="2"/>
  <c r="L14" i="2"/>
  <c r="N14" i="2"/>
  <c r="M16" i="2"/>
  <c r="L16" i="2"/>
  <c r="N16" i="2"/>
  <c r="K13" i="2"/>
  <c r="J18" i="2"/>
  <c r="I18" i="2"/>
  <c r="J19" i="2" s="1"/>
  <c r="E34" i="1"/>
  <c r="G34" i="1" s="1"/>
  <c r="C34" i="1"/>
  <c r="C9" i="1"/>
  <c r="C12" i="1"/>
  <c r="C14" i="1"/>
  <c r="C16" i="1"/>
  <c r="C18" i="1"/>
  <c r="C21" i="1"/>
  <c r="C23" i="1"/>
  <c r="C25" i="1"/>
  <c r="C28" i="1"/>
  <c r="C29" i="1"/>
  <c r="C30" i="1"/>
  <c r="C31" i="1"/>
  <c r="C32" i="1"/>
  <c r="C33" i="1"/>
  <c r="C8" i="1"/>
  <c r="C10" i="1"/>
  <c r="C13" i="1"/>
  <c r="C15" i="1"/>
  <c r="C17" i="1"/>
  <c r="C20" i="1"/>
  <c r="C22" i="1"/>
  <c r="D29" i="1"/>
  <c r="K15" i="4" l="1"/>
  <c r="J18" i="4"/>
  <c r="J18" i="3"/>
  <c r="L16" i="3"/>
  <c r="N16" i="3"/>
  <c r="M16" i="3"/>
  <c r="L15" i="3"/>
  <c r="M15" i="3"/>
  <c r="N15" i="3"/>
  <c r="K18" i="3"/>
  <c r="I18" i="3"/>
  <c r="J19" i="3" s="1"/>
  <c r="M13" i="2"/>
  <c r="M18" i="2" s="1"/>
  <c r="M19" i="2" s="1"/>
  <c r="L13" i="2"/>
  <c r="L18" i="2" s="1"/>
  <c r="L19" i="2" s="1"/>
  <c r="N13" i="2"/>
  <c r="N18" i="2" s="1"/>
  <c r="N19" i="2" s="1"/>
  <c r="K18" i="2"/>
  <c r="K19" i="2" s="1"/>
  <c r="N15" i="4" l="1"/>
  <c r="N18" i="4" s="1"/>
  <c r="N19" i="4" s="1"/>
  <c r="M15" i="4"/>
  <c r="M18" i="4" s="1"/>
  <c r="M19" i="4" s="1"/>
  <c r="L15" i="4"/>
  <c r="L18" i="4" s="1"/>
  <c r="L19" i="4" s="1"/>
  <c r="K18" i="4"/>
  <c r="K19" i="4" s="1"/>
  <c r="N18" i="3"/>
  <c r="M18" i="3"/>
  <c r="L18" i="3"/>
</calcChain>
</file>

<file path=xl/sharedStrings.xml><?xml version="1.0" encoding="utf-8"?>
<sst xmlns="http://schemas.openxmlformats.org/spreadsheetml/2006/main" count="250" uniqueCount="73">
  <si>
    <t>Channels in reactor</t>
  </si>
  <si>
    <t>Channels/pass</t>
  </si>
  <si>
    <t>SECTION</t>
  </si>
  <si>
    <t>VOLUME [m^3]</t>
  </si>
  <si>
    <t>Pressure</t>
  </si>
  <si>
    <t>Enthalpy</t>
  </si>
  <si>
    <t>Temperature</t>
  </si>
  <si>
    <t>Pass</t>
  </si>
  <si>
    <t>Vol/pass/channel</t>
  </si>
  <si>
    <t>Loop</t>
  </si>
  <si>
    <t>Reactor</t>
  </si>
  <si>
    <t>SG Outlet to Pump Suction</t>
  </si>
  <si>
    <t>Pump suction Nozzle</t>
  </si>
  <si>
    <t>Pump discharge</t>
  </si>
  <si>
    <t>Reactor Inlet Header</t>
  </si>
  <si>
    <t>Inlet feeders</t>
  </si>
  <si>
    <t>Inlet Endfitting</t>
  </si>
  <si>
    <t>Fuel channels</t>
  </si>
  <si>
    <t>Outlet Endfitting</t>
  </si>
  <si>
    <t>Outlet feeders</t>
  </si>
  <si>
    <t>Reactor Outlet Header</t>
  </si>
  <si>
    <t>ROH to SG Inlet Piping</t>
  </si>
  <si>
    <t>SG Inlet head</t>
  </si>
  <si>
    <t>SG U-tubes - lower region</t>
  </si>
  <si>
    <t>SG U-tubes - upper region</t>
  </si>
  <si>
    <t>SG Preheater section</t>
  </si>
  <si>
    <t>SG Outlet head</t>
  </si>
  <si>
    <t>Consolidated Regions</t>
  </si>
  <si>
    <t>SG U-tubes - total incl Preheater</t>
  </si>
  <si>
    <t>SG Total</t>
  </si>
  <si>
    <t>Fuel Channel Assemblies</t>
  </si>
  <si>
    <t>Feeders</t>
  </si>
  <si>
    <t>Headers</t>
  </si>
  <si>
    <t>Piping</t>
  </si>
  <si>
    <t>HT System</t>
  </si>
  <si>
    <t>Mass</t>
  </si>
  <si>
    <t>Mg</t>
  </si>
  <si>
    <t>Core Power</t>
  </si>
  <si>
    <t>MW</t>
  </si>
  <si>
    <t>Average channel power</t>
  </si>
  <si>
    <t>Time Averaged max channel power</t>
  </si>
  <si>
    <t>Max allowed channel power</t>
  </si>
  <si>
    <t>Enthalpy rise across core</t>
  </si>
  <si>
    <t>kJ/kg</t>
  </si>
  <si>
    <t>Channel Flows - high power region</t>
  </si>
  <si>
    <t>kg/s</t>
  </si>
  <si>
    <t>(Note core is flow-power matched)</t>
  </si>
  <si>
    <t>Channel Flows - low power region</t>
  </si>
  <si>
    <t>Channel Flows - core thermal average</t>
  </si>
  <si>
    <t>Channel flow Area</t>
  </si>
  <si>
    <t>m^2</t>
  </si>
  <si>
    <t>Average Mass Flux</t>
  </si>
  <si>
    <t>kg/m^2/s</t>
  </si>
  <si>
    <t>Hydraulic Diameter</t>
  </si>
  <si>
    <t>m</t>
  </si>
  <si>
    <t>dp(1.8*ref)</t>
  </si>
  <si>
    <t>a1</t>
  </si>
  <si>
    <t>a0</t>
  </si>
  <si>
    <t>Pump</t>
  </si>
  <si>
    <t>Flow</t>
  </si>
  <si>
    <t>ROH to SG Outlet</t>
  </si>
  <si>
    <t>RIH to ROH</t>
  </si>
  <si>
    <t>(Av of 120)</t>
  </si>
  <si>
    <t>FLOW</t>
  </si>
  <si>
    <t>Reff</t>
  </si>
  <si>
    <t>Kresist</t>
  </si>
  <si>
    <t>DP</t>
  </si>
  <si>
    <t>Ref Flow</t>
  </si>
  <si>
    <t>Ref Density</t>
  </si>
  <si>
    <t>Ref Flow Area</t>
  </si>
  <si>
    <t>GENERIC CANDU-9 HEAT TRANSPORT SYSTEM DATA</t>
  </si>
  <si>
    <t>[kPa]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</si>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</sst>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"/>
    <numFmt numFmtId="167" formatCode="0.000000"/>
    <numFmt numFmtId="168" formatCode="0.000E+00"/>
    <numFmt numFmtId="169" formatCode="0.0000E+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11"/>
      <name val="Arial"/>
      <family val="2"/>
    </font>
    <font>
      <sz val="10"/>
      <color indexed="13"/>
      <name val="Arial"/>
      <family val="2"/>
    </font>
    <font>
      <i/>
      <sz val="10"/>
      <color indexed="13"/>
      <name val="Arial"/>
      <family val="2"/>
    </font>
    <font>
      <sz val="8"/>
      <name val="Arial"/>
    </font>
    <font>
      <sz val="8"/>
      <name val="Arial"/>
      <family val="2"/>
    </font>
    <font>
      <i/>
      <sz val="8"/>
      <color indexed="13"/>
      <name val="Arial"/>
      <family val="2"/>
    </font>
    <font>
      <i/>
      <sz val="8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sz val="8"/>
      <color indexed="13"/>
      <name val="Arial"/>
      <family val="2"/>
    </font>
    <font>
      <b/>
      <i/>
      <sz val="8"/>
      <color indexed="13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10" xfId="0" applyFont="1" applyFill="1" applyBorder="1"/>
    <xf numFmtId="164" fontId="5" fillId="2" borderId="11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0" borderId="0" xfId="0" applyFont="1"/>
    <xf numFmtId="0" fontId="8" fillId="3" borderId="10" xfId="0" applyFont="1" applyFill="1" applyBorder="1"/>
    <xf numFmtId="164" fontId="8" fillId="3" borderId="11" xfId="0" applyNumberFormat="1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164" fontId="8" fillId="3" borderId="12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5" fillId="0" borderId="10" xfId="0" applyFont="1" applyFill="1" applyBorder="1"/>
    <xf numFmtId="164" fontId="5" fillId="0" borderId="11" xfId="0" applyNumberFormat="1" applyFont="1" applyFill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4" borderId="10" xfId="0" applyFill="1" applyBorder="1"/>
    <xf numFmtId="164" fontId="0" fillId="4" borderId="11" xfId="0" applyNumberFormat="1" applyFill="1" applyBorder="1" applyAlignment="1">
      <alignment horizontal="center"/>
    </xf>
    <xf numFmtId="165" fontId="4" fillId="4" borderId="1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/>
    <xf numFmtId="164" fontId="0" fillId="4" borderId="13" xfId="0" applyNumberForma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5" borderId="7" xfId="0" applyFont="1" applyFill="1" applyBorder="1"/>
    <xf numFmtId="164" fontId="4" fillId="0" borderId="0" xfId="0" applyNumberFormat="1" applyFont="1" applyBorder="1" applyAlignment="1">
      <alignment horizontal="center"/>
    </xf>
    <xf numFmtId="0" fontId="0" fillId="6" borderId="1" xfId="0" applyFill="1" applyBorder="1"/>
    <xf numFmtId="164" fontId="0" fillId="6" borderId="2" xfId="0" applyNumberForma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6" borderId="10" xfId="0" applyFill="1" applyBorder="1"/>
    <xf numFmtId="164" fontId="0" fillId="6" borderId="11" xfId="0" applyNumberFormat="1" applyFill="1" applyBorder="1" applyAlignment="1">
      <alignment horizontal="center"/>
    </xf>
    <xf numFmtId="165" fontId="4" fillId="6" borderId="10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0" fontId="0" fillId="5" borderId="10" xfId="0" applyFill="1" applyBorder="1"/>
    <xf numFmtId="164" fontId="0" fillId="5" borderId="11" xfId="0" applyNumberForma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5" fillId="2" borderId="5" xfId="0" applyFont="1" applyFill="1" applyBorder="1"/>
    <xf numFmtId="164" fontId="5" fillId="2" borderId="13" xfId="0" applyNumberFormat="1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5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2" fontId="0" fillId="0" borderId="0" xfId="0" applyNumberFormat="1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5" xfId="0" applyBorder="1"/>
    <xf numFmtId="2" fontId="0" fillId="0" borderId="0" xfId="0" applyNumberFormat="1"/>
    <xf numFmtId="0" fontId="4" fillId="0" borderId="0" xfId="0" applyFont="1"/>
    <xf numFmtId="0" fontId="0" fillId="0" borderId="0" xfId="0" applyBorder="1"/>
    <xf numFmtId="166" fontId="0" fillId="0" borderId="14" xfId="0" applyNumberFormat="1" applyBorder="1"/>
    <xf numFmtId="166" fontId="0" fillId="0" borderId="0" xfId="0" applyNumberFormat="1" applyBorder="1"/>
    <xf numFmtId="0" fontId="0" fillId="0" borderId="14" xfId="0" applyBorder="1"/>
    <xf numFmtId="0" fontId="2" fillId="0" borderId="15" xfId="0" applyFont="1" applyBorder="1"/>
    <xf numFmtId="165" fontId="0" fillId="0" borderId="14" xfId="0" applyNumberFormat="1" applyBorder="1"/>
    <xf numFmtId="165" fontId="0" fillId="0" borderId="3" xfId="0" applyNumberFormat="1" applyBorder="1"/>
    <xf numFmtId="166" fontId="10" fillId="0" borderId="0" xfId="0" applyNumberFormat="1" applyFont="1"/>
    <xf numFmtId="0" fontId="11" fillId="0" borderId="0" xfId="0" applyFont="1" applyFill="1" applyBorder="1"/>
    <xf numFmtId="167" fontId="12" fillId="3" borderId="11" xfId="0" applyNumberFormat="1" applyFont="1" applyFill="1" applyBorder="1" applyAlignment="1">
      <alignment horizontal="center"/>
    </xf>
    <xf numFmtId="168" fontId="10" fillId="0" borderId="0" xfId="0" applyNumberFormat="1" applyFont="1"/>
    <xf numFmtId="0" fontId="10" fillId="0" borderId="0" xfId="0" applyFont="1" applyBorder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0" fontId="11" fillId="0" borderId="14" xfId="0" applyFont="1" applyBorder="1"/>
    <xf numFmtId="0" fontId="11" fillId="0" borderId="13" xfId="0" applyFont="1" applyBorder="1"/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6" fontId="13" fillId="2" borderId="13" xfId="0" applyNumberFormat="1" applyFont="1" applyFill="1" applyBorder="1" applyAlignment="1">
      <alignment horizontal="center"/>
    </xf>
    <xf numFmtId="165" fontId="13" fillId="2" borderId="13" xfId="0" applyNumberFormat="1" applyFont="1" applyFill="1" applyBorder="1" applyAlignment="1">
      <alignment horizontal="center"/>
    </xf>
    <xf numFmtId="165" fontId="13" fillId="2" borderId="5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0" fillId="2" borderId="5" xfId="0" applyFill="1" applyBorder="1"/>
    <xf numFmtId="0" fontId="11" fillId="0" borderId="0" xfId="0" applyFont="1" applyBorder="1"/>
    <xf numFmtId="0" fontId="11" fillId="0" borderId="11" xfId="0" applyFont="1" applyBorder="1"/>
    <xf numFmtId="0" fontId="11" fillId="4" borderId="12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166" fontId="13" fillId="4" borderId="11" xfId="0" applyNumberFormat="1" applyFont="1" applyFill="1" applyBorder="1" applyAlignment="1">
      <alignment horizontal="center"/>
    </xf>
    <xf numFmtId="165" fontId="13" fillId="4" borderId="11" xfId="0" applyNumberFormat="1" applyFont="1" applyFill="1" applyBorder="1" applyAlignment="1">
      <alignment horizontal="center"/>
    </xf>
    <xf numFmtId="165" fontId="13" fillId="4" borderId="10" xfId="0" applyNumberFormat="1" applyFont="1" applyFill="1" applyBorder="1" applyAlignment="1">
      <alignment horizontal="center"/>
    </xf>
    <xf numFmtId="2" fontId="11" fillId="4" borderId="11" xfId="0" applyNumberFormat="1" applyFont="1" applyFill="1" applyBorder="1" applyAlignment="1">
      <alignment horizontal="center"/>
    </xf>
    <xf numFmtId="167" fontId="11" fillId="4" borderId="0" xfId="0" applyNumberFormat="1" applyFont="1" applyFill="1" applyBorder="1" applyAlignment="1">
      <alignment horizontal="center"/>
    </xf>
    <xf numFmtId="169" fontId="11" fillId="4" borderId="0" xfId="0" applyNumberFormat="1" applyFont="1" applyFill="1" applyBorder="1" applyAlignment="1">
      <alignment horizontal="center"/>
    </xf>
    <xf numFmtId="0" fontId="11" fillId="4" borderId="11" xfId="0" applyFont="1" applyFill="1" applyBorder="1"/>
    <xf numFmtId="167" fontId="11" fillId="0" borderId="0" xfId="0" applyNumberFormat="1" applyFont="1" applyBorder="1" applyAlignment="1">
      <alignment horizontal="center"/>
    </xf>
    <xf numFmtId="169" fontId="11" fillId="0" borderId="0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66" fontId="11" fillId="6" borderId="0" xfId="0" applyNumberFormat="1" applyFont="1" applyFill="1" applyBorder="1"/>
    <xf numFmtId="169" fontId="14" fillId="2" borderId="0" xfId="0" applyNumberFormat="1" applyFont="1" applyFill="1" applyBorder="1"/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165" fontId="15" fillId="0" borderId="10" xfId="0" applyNumberFormat="1" applyFont="1" applyFill="1" applyBorder="1" applyAlignment="1">
      <alignment horizontal="center"/>
    </xf>
    <xf numFmtId="2" fontId="14" fillId="0" borderId="11" xfId="0" applyNumberFormat="1" applyFont="1" applyFill="1" applyBorder="1" applyAlignment="1">
      <alignment horizontal="center"/>
    </xf>
    <xf numFmtId="0" fontId="14" fillId="2" borderId="11" xfId="0" applyFont="1" applyFill="1" applyBorder="1"/>
    <xf numFmtId="166" fontId="14" fillId="2" borderId="0" xfId="0" applyNumberFormat="1" applyFont="1" applyFill="1" applyBorder="1" applyAlignment="1">
      <alignment horizontal="center"/>
    </xf>
    <xf numFmtId="165" fontId="14" fillId="2" borderId="0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166" fontId="16" fillId="2" borderId="11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2" fontId="14" fillId="2" borderId="11" xfId="0" applyNumberFormat="1" applyFont="1" applyFill="1" applyBorder="1" applyAlignment="1">
      <alignment horizontal="center"/>
    </xf>
    <xf numFmtId="166" fontId="11" fillId="0" borderId="12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7" fillId="0" borderId="11" xfId="0" applyNumberFormat="1" applyFont="1" applyBorder="1" applyAlignment="1">
      <alignment horizontal="center"/>
    </xf>
    <xf numFmtId="167" fontId="13" fillId="0" borderId="11" xfId="0" applyNumberFormat="1" applyFont="1" applyBorder="1" applyAlignment="1">
      <alignment horizontal="center"/>
    </xf>
    <xf numFmtId="166" fontId="18" fillId="3" borderId="12" xfId="0" applyNumberFormat="1" applyFont="1" applyFill="1" applyBorder="1" applyAlignment="1">
      <alignment horizontal="center"/>
    </xf>
    <xf numFmtId="166" fontId="18" fillId="3" borderId="0" xfId="0" applyNumberFormat="1" applyFont="1" applyFill="1" applyBorder="1" applyAlignment="1">
      <alignment horizontal="center"/>
    </xf>
    <xf numFmtId="165" fontId="18" fillId="3" borderId="0" xfId="0" applyNumberFormat="1" applyFont="1" applyFill="1" applyBorder="1" applyAlignment="1">
      <alignment horizontal="center"/>
    </xf>
    <xf numFmtId="0" fontId="18" fillId="3" borderId="11" xfId="0" applyFont="1" applyFill="1" applyBorder="1"/>
    <xf numFmtId="0" fontId="18" fillId="3" borderId="12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165" fontId="19" fillId="3" borderId="11" xfId="0" applyNumberFormat="1" applyFont="1" applyFill="1" applyBorder="1" applyAlignment="1">
      <alignment horizontal="center"/>
    </xf>
    <xf numFmtId="166" fontId="12" fillId="3" borderId="11" xfId="0" applyNumberFormat="1" applyFont="1" applyFill="1" applyBorder="1" applyAlignment="1">
      <alignment horizontal="center"/>
    </xf>
    <xf numFmtId="165" fontId="12" fillId="3" borderId="10" xfId="0" applyNumberFormat="1" applyFont="1" applyFill="1" applyBorder="1" applyAlignment="1">
      <alignment horizontal="center"/>
    </xf>
    <xf numFmtId="2" fontId="18" fillId="3" borderId="11" xfId="0" applyNumberFormat="1" applyFont="1" applyFill="1" applyBorder="1" applyAlignment="1">
      <alignment horizontal="center"/>
    </xf>
    <xf numFmtId="0" fontId="14" fillId="2" borderId="12" xfId="0" applyFont="1" applyFill="1" applyBorder="1"/>
    <xf numFmtId="0" fontId="14" fillId="2" borderId="0" xfId="0" applyFont="1" applyFill="1" applyBorder="1"/>
    <xf numFmtId="166" fontId="0" fillId="0" borderId="0" xfId="0" applyNumberFormat="1"/>
    <xf numFmtId="0" fontId="11" fillId="0" borderId="3" xfId="0" applyFont="1" applyBorder="1"/>
    <xf numFmtId="167" fontId="11" fillId="4" borderId="3" xfId="0" applyNumberFormat="1" applyFont="1" applyFill="1" applyBorder="1" applyAlignment="1">
      <alignment horizontal="center"/>
    </xf>
    <xf numFmtId="0" fontId="11" fillId="4" borderId="3" xfId="0" applyFont="1" applyFill="1" applyBorder="1"/>
    <xf numFmtId="166" fontId="11" fillId="4" borderId="2" xfId="0" applyNumberFormat="1" applyFont="1" applyFill="1" applyBorder="1"/>
    <xf numFmtId="0" fontId="11" fillId="4" borderId="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K43" sqref="K43"/>
    </sheetView>
  </sheetViews>
  <sheetFormatPr defaultRowHeight="12.75" x14ac:dyDescent="0.2"/>
  <cols>
    <col min="1" max="1" width="32.28515625" customWidth="1"/>
    <col min="8" max="8" width="12.5703125" customWidth="1"/>
  </cols>
  <sheetData>
    <row r="1" spans="1:10" x14ac:dyDescent="0.2">
      <c r="A1" s="1" t="s">
        <v>70</v>
      </c>
    </row>
    <row r="2" spans="1:10" x14ac:dyDescent="0.2">
      <c r="A2" s="1"/>
    </row>
    <row r="3" spans="1:10" x14ac:dyDescent="0.2">
      <c r="A3" s="2" t="s">
        <v>0</v>
      </c>
      <c r="B3">
        <v>480</v>
      </c>
    </row>
    <row r="4" spans="1:10" x14ac:dyDescent="0.2">
      <c r="A4" t="s">
        <v>1</v>
      </c>
      <c r="B4">
        <f>B3/4</f>
        <v>120</v>
      </c>
      <c r="E4" s="3"/>
    </row>
    <row r="5" spans="1:10" ht="13.5" thickBot="1" x14ac:dyDescent="0.25"/>
    <row r="6" spans="1:10" ht="13.5" thickBot="1" x14ac:dyDescent="0.25">
      <c r="A6" s="4" t="s">
        <v>2</v>
      </c>
      <c r="B6" s="196" t="s">
        <v>3</v>
      </c>
      <c r="C6" s="197"/>
      <c r="D6" s="197"/>
      <c r="E6" s="198"/>
      <c r="F6" s="5" t="s">
        <v>4</v>
      </c>
      <c r="G6" s="5" t="s">
        <v>5</v>
      </c>
      <c r="H6" s="5" t="s">
        <v>6</v>
      </c>
    </row>
    <row r="7" spans="1:10" ht="26.25" thickBot="1" x14ac:dyDescent="0.25">
      <c r="A7" s="6"/>
      <c r="B7" s="7" t="s">
        <v>7</v>
      </c>
      <c r="C7" s="8" t="s">
        <v>8</v>
      </c>
      <c r="D7" s="9" t="s">
        <v>9</v>
      </c>
      <c r="E7" s="10" t="s">
        <v>10</v>
      </c>
      <c r="F7" s="11"/>
      <c r="G7" s="11"/>
      <c r="H7" s="6"/>
    </row>
    <row r="8" spans="1:10" x14ac:dyDescent="0.2">
      <c r="A8" s="12" t="s">
        <v>11</v>
      </c>
      <c r="B8" s="13">
        <v>4.1769999999999996</v>
      </c>
      <c r="C8" s="14">
        <f>B8/$B$4</f>
        <v>3.480833333333333E-2</v>
      </c>
      <c r="D8" s="15">
        <f>B8*2</f>
        <v>8.3539999999999992</v>
      </c>
      <c r="E8" s="16">
        <f>B8*4</f>
        <v>16.707999999999998</v>
      </c>
      <c r="F8" s="17">
        <v>9679</v>
      </c>
      <c r="G8" s="18">
        <v>1133.8</v>
      </c>
      <c r="H8" s="19"/>
    </row>
    <row r="9" spans="1:10" x14ac:dyDescent="0.2">
      <c r="A9" s="12" t="s">
        <v>12</v>
      </c>
      <c r="B9" s="13">
        <v>0.13900000000000001</v>
      </c>
      <c r="C9" s="14">
        <f>B9/$B$4</f>
        <v>1.1583333333333335E-3</v>
      </c>
      <c r="D9" s="15">
        <f t="shared" ref="D9:D25" si="0">B9*2</f>
        <v>0.27800000000000002</v>
      </c>
      <c r="E9" s="16">
        <f t="shared" ref="E9:E25" si="1">B9*4</f>
        <v>0.55600000000000005</v>
      </c>
      <c r="F9" s="20">
        <v>9679</v>
      </c>
      <c r="G9" s="21">
        <v>1133.8</v>
      </c>
      <c r="H9" s="22"/>
    </row>
    <row r="10" spans="1:10" x14ac:dyDescent="0.2">
      <c r="A10" s="12" t="s">
        <v>13</v>
      </c>
      <c r="B10" s="13">
        <v>1.7509999999999999</v>
      </c>
      <c r="C10" s="14">
        <f>B10/$B$4</f>
        <v>1.4591666666666666E-2</v>
      </c>
      <c r="D10" s="15">
        <f t="shared" si="0"/>
        <v>3.5019999999999998</v>
      </c>
      <c r="E10" s="16">
        <f t="shared" si="1"/>
        <v>7.0039999999999996</v>
      </c>
      <c r="F10" s="20">
        <v>11410</v>
      </c>
      <c r="G10" s="21">
        <v>1135.9000000000001</v>
      </c>
      <c r="H10" s="22"/>
    </row>
    <row r="11" spans="1:10" x14ac:dyDescent="0.2">
      <c r="A11" s="12"/>
      <c r="B11" s="13"/>
      <c r="C11" s="14"/>
      <c r="D11" s="15"/>
      <c r="E11" s="16"/>
      <c r="F11" s="20"/>
      <c r="G11" s="21"/>
      <c r="H11" s="22"/>
    </row>
    <row r="12" spans="1:10" x14ac:dyDescent="0.2">
      <c r="A12" s="23" t="s">
        <v>14</v>
      </c>
      <c r="B12" s="24">
        <v>1.41</v>
      </c>
      <c r="C12" s="25">
        <f t="shared" ref="C12:C18" si="2">B12/$B$4</f>
        <v>1.175E-2</v>
      </c>
      <c r="D12" s="26">
        <f t="shared" si="0"/>
        <v>2.82</v>
      </c>
      <c r="E12" s="27">
        <f t="shared" si="1"/>
        <v>5.64</v>
      </c>
      <c r="F12" s="28">
        <v>11380</v>
      </c>
      <c r="G12" s="29">
        <v>1135.8</v>
      </c>
      <c r="H12" s="30">
        <v>267.2</v>
      </c>
    </row>
    <row r="13" spans="1:10" x14ac:dyDescent="0.2">
      <c r="A13" s="12" t="s">
        <v>15</v>
      </c>
      <c r="B13" s="13">
        <v>4.2484999999999999</v>
      </c>
      <c r="C13" s="14">
        <f t="shared" si="2"/>
        <v>3.5404166666666667E-2</v>
      </c>
      <c r="D13" s="15">
        <f t="shared" si="0"/>
        <v>8.4969999999999999</v>
      </c>
      <c r="E13" s="16">
        <f t="shared" si="1"/>
        <v>16.994</v>
      </c>
      <c r="F13" s="20">
        <v>11380</v>
      </c>
      <c r="G13" s="21">
        <v>1135.8</v>
      </c>
      <c r="H13" s="22"/>
    </row>
    <row r="14" spans="1:10" x14ac:dyDescent="0.2">
      <c r="A14" s="12" t="s">
        <v>16</v>
      </c>
      <c r="B14" s="13">
        <v>3.7759999999999998</v>
      </c>
      <c r="C14" s="14">
        <f t="shared" si="2"/>
        <v>3.1466666666666664E-2</v>
      </c>
      <c r="D14" s="15">
        <f t="shared" si="0"/>
        <v>7.5519999999999996</v>
      </c>
      <c r="E14" s="16">
        <f t="shared" si="1"/>
        <v>15.103999999999999</v>
      </c>
      <c r="F14" s="20">
        <v>11215</v>
      </c>
      <c r="G14" s="21">
        <v>1135.7</v>
      </c>
      <c r="H14" s="22"/>
      <c r="J14" s="31"/>
    </row>
    <row r="15" spans="1:10" x14ac:dyDescent="0.2">
      <c r="A15" s="32" t="s">
        <v>17</v>
      </c>
      <c r="B15" s="33">
        <v>2.4329999999999998</v>
      </c>
      <c r="C15" s="34">
        <f t="shared" si="2"/>
        <v>2.0274999999999998E-2</v>
      </c>
      <c r="D15" s="35">
        <f t="shared" si="0"/>
        <v>4.8659999999999997</v>
      </c>
      <c r="E15" s="36">
        <f t="shared" si="1"/>
        <v>9.7319999999999993</v>
      </c>
      <c r="F15" s="37">
        <v>10690</v>
      </c>
      <c r="G15" s="38">
        <v>1236.8</v>
      </c>
      <c r="H15" s="39"/>
    </row>
    <row r="16" spans="1:10" x14ac:dyDescent="0.2">
      <c r="A16" s="12" t="s">
        <v>18</v>
      </c>
      <c r="B16" s="13">
        <v>3.79</v>
      </c>
      <c r="C16" s="14">
        <f t="shared" si="2"/>
        <v>3.1583333333333331E-2</v>
      </c>
      <c r="D16" s="15">
        <f t="shared" si="0"/>
        <v>7.58</v>
      </c>
      <c r="E16" s="16">
        <f t="shared" si="1"/>
        <v>15.16</v>
      </c>
      <c r="F16" s="20">
        <v>10193</v>
      </c>
      <c r="G16" s="21">
        <v>1350.1</v>
      </c>
      <c r="H16" s="22"/>
    </row>
    <row r="17" spans="1:8" x14ac:dyDescent="0.2">
      <c r="A17" s="12" t="s">
        <v>19</v>
      </c>
      <c r="B17" s="13">
        <v>7.8156999999999996</v>
      </c>
      <c r="C17" s="14">
        <f t="shared" si="2"/>
        <v>6.5130833333333332E-2</v>
      </c>
      <c r="D17" s="15">
        <f t="shared" si="0"/>
        <v>15.631399999999999</v>
      </c>
      <c r="E17" s="16">
        <f t="shared" si="1"/>
        <v>31.262799999999999</v>
      </c>
      <c r="F17" s="20">
        <v>10000</v>
      </c>
      <c r="G17" s="21">
        <v>1349.8</v>
      </c>
      <c r="H17" s="22"/>
    </row>
    <row r="18" spans="1:8" x14ac:dyDescent="0.2">
      <c r="A18" s="23" t="s">
        <v>20</v>
      </c>
      <c r="B18" s="24">
        <v>1.8080000000000001</v>
      </c>
      <c r="C18" s="25">
        <f t="shared" si="2"/>
        <v>1.5066666666666667E-2</v>
      </c>
      <c r="D18" s="26">
        <f t="shared" si="0"/>
        <v>3.6160000000000001</v>
      </c>
      <c r="E18" s="27">
        <f t="shared" si="1"/>
        <v>7.2320000000000002</v>
      </c>
      <c r="F18" s="28">
        <v>10000</v>
      </c>
      <c r="G18" s="29">
        <v>1349.8</v>
      </c>
      <c r="H18" s="30">
        <v>310</v>
      </c>
    </row>
    <row r="19" spans="1:8" x14ac:dyDescent="0.2">
      <c r="A19" s="40"/>
      <c r="B19" s="41"/>
      <c r="C19" s="42"/>
      <c r="D19" s="43"/>
      <c r="E19" s="44"/>
      <c r="F19" s="45"/>
      <c r="G19" s="46"/>
      <c r="H19" s="47"/>
    </row>
    <row r="20" spans="1:8" x14ac:dyDescent="0.2">
      <c r="A20" s="12" t="s">
        <v>21</v>
      </c>
      <c r="B20" s="13">
        <v>2.2320000000000002</v>
      </c>
      <c r="C20" s="14">
        <f t="shared" ref="C20:C25" si="3">B20/$B$4</f>
        <v>1.8600000000000002E-2</v>
      </c>
      <c r="D20" s="15">
        <f t="shared" si="0"/>
        <v>4.4640000000000004</v>
      </c>
      <c r="E20" s="16">
        <f t="shared" si="1"/>
        <v>8.9280000000000008</v>
      </c>
      <c r="F20" s="20">
        <v>9939.5</v>
      </c>
      <c r="G20" s="21">
        <v>1347.2</v>
      </c>
      <c r="H20" s="22"/>
    </row>
    <row r="21" spans="1:8" x14ac:dyDescent="0.2">
      <c r="A21" s="48" t="s">
        <v>22</v>
      </c>
      <c r="B21" s="49">
        <v>2.1240000000000001</v>
      </c>
      <c r="C21" s="50">
        <f t="shared" si="3"/>
        <v>1.77E-2</v>
      </c>
      <c r="D21" s="51">
        <f t="shared" si="0"/>
        <v>4.2480000000000002</v>
      </c>
      <c r="E21" s="52">
        <f t="shared" si="1"/>
        <v>8.4960000000000004</v>
      </c>
      <c r="F21" s="53">
        <v>9879</v>
      </c>
      <c r="G21" s="54">
        <v>1344.2</v>
      </c>
      <c r="H21" s="22"/>
    </row>
    <row r="22" spans="1:8" x14ac:dyDescent="0.2">
      <c r="A22" s="48" t="s">
        <v>23</v>
      </c>
      <c r="B22" s="49">
        <v>2.4380000000000002</v>
      </c>
      <c r="C22" s="50">
        <f t="shared" si="3"/>
        <v>2.0316666666666667E-2</v>
      </c>
      <c r="D22" s="51">
        <f t="shared" si="0"/>
        <v>4.8760000000000003</v>
      </c>
      <c r="E22" s="52">
        <f t="shared" si="1"/>
        <v>9.7520000000000007</v>
      </c>
      <c r="F22" s="53">
        <v>9879</v>
      </c>
      <c r="G22" s="54">
        <v>1344.2</v>
      </c>
      <c r="H22" s="22"/>
    </row>
    <row r="23" spans="1:8" x14ac:dyDescent="0.2">
      <c r="A23" s="48" t="s">
        <v>24</v>
      </c>
      <c r="B23" s="49">
        <v>9.1880000000000006</v>
      </c>
      <c r="C23" s="50">
        <f t="shared" si="3"/>
        <v>7.6566666666666672E-2</v>
      </c>
      <c r="D23" s="51">
        <f t="shared" si="0"/>
        <v>18.376000000000001</v>
      </c>
      <c r="E23" s="52">
        <f t="shared" si="1"/>
        <v>36.752000000000002</v>
      </c>
      <c r="F23" s="53">
        <v>9779</v>
      </c>
      <c r="G23" s="54">
        <v>1235.2</v>
      </c>
      <c r="H23" s="22"/>
    </row>
    <row r="24" spans="1:8" x14ac:dyDescent="0.2">
      <c r="A24" s="48" t="s">
        <v>25</v>
      </c>
      <c r="B24" s="49">
        <v>2.1659999999999999</v>
      </c>
      <c r="C24" s="50">
        <f t="shared" si="3"/>
        <v>1.805E-2</v>
      </c>
      <c r="D24" s="51">
        <f t="shared" si="0"/>
        <v>4.3319999999999999</v>
      </c>
      <c r="E24" s="52">
        <f t="shared" si="1"/>
        <v>8.6639999999999997</v>
      </c>
      <c r="F24" s="53">
        <v>9679</v>
      </c>
      <c r="G24" s="54">
        <v>1133.9000000000001</v>
      </c>
      <c r="H24" s="22"/>
    </row>
    <row r="25" spans="1:8" ht="13.5" thickBot="1" x14ac:dyDescent="0.25">
      <c r="A25" s="55" t="s">
        <v>26</v>
      </c>
      <c r="B25" s="56">
        <v>2.3969999999999998</v>
      </c>
      <c r="C25" s="57">
        <f t="shared" si="3"/>
        <v>1.9975E-2</v>
      </c>
      <c r="D25" s="58">
        <f t="shared" si="0"/>
        <v>4.7939999999999996</v>
      </c>
      <c r="E25" s="59">
        <f t="shared" si="1"/>
        <v>9.5879999999999992</v>
      </c>
      <c r="F25" s="60">
        <v>9679</v>
      </c>
      <c r="G25" s="61">
        <v>1133.9000000000001</v>
      </c>
      <c r="H25" s="62"/>
    </row>
    <row r="26" spans="1:8" ht="13.5" thickBot="1" x14ac:dyDescent="0.25">
      <c r="B26" s="63"/>
      <c r="C26" s="64"/>
      <c r="D26" s="63"/>
      <c r="E26" s="63"/>
    </row>
    <row r="27" spans="1:8" ht="13.5" thickBot="1" x14ac:dyDescent="0.25">
      <c r="A27" s="65" t="s">
        <v>27</v>
      </c>
      <c r="B27" s="15"/>
      <c r="C27" s="66"/>
      <c r="D27" s="15"/>
      <c r="E27" s="15"/>
    </row>
    <row r="28" spans="1:8" x14ac:dyDescent="0.2">
      <c r="A28" s="67" t="s">
        <v>28</v>
      </c>
      <c r="B28" s="68">
        <f>SUM(B22:B24)</f>
        <v>13.792000000000002</v>
      </c>
      <c r="C28" s="69">
        <f t="shared" ref="C28:C34" si="4">B28/$B$4</f>
        <v>0.11493333333333335</v>
      </c>
      <c r="D28" s="70">
        <f t="shared" ref="D28:D34" si="5">B28*2</f>
        <v>27.584000000000003</v>
      </c>
      <c r="E28" s="71">
        <f t="shared" ref="E28:E34" si="6">B28*4</f>
        <v>55.168000000000006</v>
      </c>
    </row>
    <row r="29" spans="1:8" x14ac:dyDescent="0.2">
      <c r="A29" s="72" t="s">
        <v>29</v>
      </c>
      <c r="B29" s="73">
        <f>SUM(B21:B25)</f>
        <v>18.312999999999999</v>
      </c>
      <c r="C29" s="74">
        <f t="shared" si="4"/>
        <v>0.15260833333333332</v>
      </c>
      <c r="D29" s="75">
        <f t="shared" si="5"/>
        <v>36.625999999999998</v>
      </c>
      <c r="E29" s="76">
        <f t="shared" si="6"/>
        <v>73.251999999999995</v>
      </c>
    </row>
    <row r="30" spans="1:8" x14ac:dyDescent="0.2">
      <c r="A30" s="77" t="s">
        <v>30</v>
      </c>
      <c r="B30" s="78">
        <f>SUM(B14:B16)</f>
        <v>9.9989999999999988</v>
      </c>
      <c r="C30" s="79">
        <f t="shared" si="4"/>
        <v>8.3324999999999996E-2</v>
      </c>
      <c r="D30" s="80">
        <f t="shared" si="5"/>
        <v>19.997999999999998</v>
      </c>
      <c r="E30" s="81">
        <f t="shared" si="6"/>
        <v>39.995999999999995</v>
      </c>
    </row>
    <row r="31" spans="1:8" x14ac:dyDescent="0.2">
      <c r="A31" s="12" t="s">
        <v>31</v>
      </c>
      <c r="B31" s="13">
        <f>B13+B17</f>
        <v>12.0642</v>
      </c>
      <c r="C31" s="14">
        <f t="shared" si="4"/>
        <v>0.100535</v>
      </c>
      <c r="D31" s="15">
        <f>B31*2</f>
        <v>24.128399999999999</v>
      </c>
      <c r="E31" s="16">
        <f t="shared" si="6"/>
        <v>48.256799999999998</v>
      </c>
    </row>
    <row r="32" spans="1:8" x14ac:dyDescent="0.2">
      <c r="A32" s="77" t="s">
        <v>32</v>
      </c>
      <c r="B32" s="78">
        <f>B12+B18</f>
        <v>3.218</v>
      </c>
      <c r="C32" s="79">
        <f t="shared" si="4"/>
        <v>2.6816666666666666E-2</v>
      </c>
      <c r="D32" s="80">
        <f t="shared" si="5"/>
        <v>6.4359999999999999</v>
      </c>
      <c r="E32" s="81">
        <f t="shared" si="6"/>
        <v>12.872</v>
      </c>
    </row>
    <row r="33" spans="1:8" x14ac:dyDescent="0.2">
      <c r="A33" s="77" t="s">
        <v>33</v>
      </c>
      <c r="B33" s="78">
        <f>SUM(B8:B10)+B20</f>
        <v>8.2989999999999995</v>
      </c>
      <c r="C33" s="79">
        <f t="shared" si="4"/>
        <v>6.9158333333333336E-2</v>
      </c>
      <c r="D33" s="80">
        <f>B33*2</f>
        <v>16.597999999999999</v>
      </c>
      <c r="E33" s="81">
        <f>B33*4</f>
        <v>33.195999999999998</v>
      </c>
    </row>
    <row r="34" spans="1:8" ht="13.5" thickBot="1" x14ac:dyDescent="0.25">
      <c r="A34" s="82" t="s">
        <v>34</v>
      </c>
      <c r="B34" s="83">
        <f>SUM(B29:B33)</f>
        <v>51.8932</v>
      </c>
      <c r="C34" s="84">
        <f t="shared" si="4"/>
        <v>0.43244333333333335</v>
      </c>
      <c r="D34" s="85">
        <f t="shared" si="5"/>
        <v>103.7864</v>
      </c>
      <c r="E34" s="86">
        <f t="shared" si="6"/>
        <v>207.5728</v>
      </c>
      <c r="F34" t="s">
        <v>35</v>
      </c>
      <c r="G34">
        <f>1/0.0011975*E34/1000</f>
        <v>173.33845511482255</v>
      </c>
      <c r="H34" t="s">
        <v>36</v>
      </c>
    </row>
    <row r="35" spans="1:8" ht="13.5" thickBot="1" x14ac:dyDescent="0.25"/>
    <row r="36" spans="1:8" x14ac:dyDescent="0.2">
      <c r="A36" s="87" t="s">
        <v>37</v>
      </c>
      <c r="B36" s="88">
        <v>2651</v>
      </c>
      <c r="C36" s="89" t="s">
        <v>38</v>
      </c>
    </row>
    <row r="37" spans="1:8" x14ac:dyDescent="0.2">
      <c r="A37" s="90" t="s">
        <v>39</v>
      </c>
      <c r="B37" s="91">
        <f>B36/B3</f>
        <v>5.5229166666666663</v>
      </c>
      <c r="C37" s="92" t="s">
        <v>38</v>
      </c>
    </row>
    <row r="38" spans="1:8" x14ac:dyDescent="0.2">
      <c r="A38" s="90" t="s">
        <v>40</v>
      </c>
      <c r="B38" s="91">
        <v>6.26</v>
      </c>
      <c r="C38" s="92" t="s">
        <v>38</v>
      </c>
    </row>
    <row r="39" spans="1:8" x14ac:dyDescent="0.2">
      <c r="A39" s="90" t="s">
        <v>41</v>
      </c>
      <c r="B39" s="91">
        <v>6.8</v>
      </c>
      <c r="C39" s="92" t="s">
        <v>38</v>
      </c>
    </row>
    <row r="40" spans="1:8" ht="13.5" thickBot="1" x14ac:dyDescent="0.25">
      <c r="A40" s="93" t="s">
        <v>42</v>
      </c>
      <c r="B40" s="94">
        <f>G16-G14</f>
        <v>214.39999999999986</v>
      </c>
      <c r="C40" s="95" t="s">
        <v>43</v>
      </c>
    </row>
    <row r="41" spans="1:8" ht="13.5" thickBot="1" x14ac:dyDescent="0.25">
      <c r="B41" s="96"/>
    </row>
    <row r="42" spans="1:8" x14ac:dyDescent="0.2">
      <c r="A42" s="87" t="s">
        <v>44</v>
      </c>
      <c r="B42" s="88">
        <v>27</v>
      </c>
      <c r="C42" s="89" t="s">
        <v>45</v>
      </c>
      <c r="D42" s="97" t="s">
        <v>46</v>
      </c>
    </row>
    <row r="43" spans="1:8" x14ac:dyDescent="0.2">
      <c r="A43" s="90" t="s">
        <v>47</v>
      </c>
      <c r="B43" s="98">
        <v>19</v>
      </c>
      <c r="C43" s="92" t="s">
        <v>45</v>
      </c>
    </row>
    <row r="44" spans="1:8" ht="13.5" thickBot="1" x14ac:dyDescent="0.25">
      <c r="A44" s="93" t="s">
        <v>48</v>
      </c>
      <c r="B44" s="99">
        <f>B37*1000/B40</f>
        <v>25.759872512437823</v>
      </c>
      <c r="C44" s="95" t="s">
        <v>45</v>
      </c>
    </row>
    <row r="45" spans="1:8" ht="13.5" thickBot="1" x14ac:dyDescent="0.25"/>
    <row r="46" spans="1:8" x14ac:dyDescent="0.2">
      <c r="A46" s="87" t="s">
        <v>49</v>
      </c>
      <c r="B46" s="88">
        <f>0.411/120</f>
        <v>3.4249999999999997E-3</v>
      </c>
      <c r="C46" s="89" t="s">
        <v>50</v>
      </c>
    </row>
    <row r="47" spans="1:8" x14ac:dyDescent="0.2">
      <c r="A47" s="90" t="s">
        <v>51</v>
      </c>
      <c r="B47" s="100">
        <f>B44/B46</f>
        <v>7521.1306605657883</v>
      </c>
      <c r="C47" s="92" t="s">
        <v>52</v>
      </c>
    </row>
    <row r="48" spans="1:8" ht="13.5" thickBot="1" x14ac:dyDescent="0.25">
      <c r="A48" s="93" t="s">
        <v>53</v>
      </c>
      <c r="B48" s="101">
        <v>7.4000000000000003E-3</v>
      </c>
      <c r="C48" s="95" t="s">
        <v>50</v>
      </c>
    </row>
  </sheetData>
  <mergeCells count="1">
    <mergeCell ref="B6:E6"/>
  </mergeCells>
  <pageMargins left="0.3" right="0.4" top="1" bottom="1" header="0.5" footer="0.5"/>
  <pageSetup orientation="portrait" verticalDpi="300" r:id="rId1"/>
  <headerFooter alignWithMargins="0">
    <oddFooter>&amp;L&amp;D    &amp;T&amp;C&amp;F&amp;RJ.C.Luxat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19" sqref="K19"/>
    </sheetView>
  </sheetViews>
  <sheetFormatPr defaultRowHeight="12.75" x14ac:dyDescent="0.2"/>
  <cols>
    <col min="1" max="1" width="32.42578125" customWidth="1"/>
    <col min="2" max="2" width="6.28515625" customWidth="1"/>
    <col min="3" max="3" width="7.85546875" customWidth="1"/>
    <col min="5" max="5" width="8.140625" customWidth="1"/>
    <col min="6" max="6" width="7.140625" customWidth="1"/>
    <col min="7" max="7" width="7.5703125" customWidth="1"/>
    <col min="9" max="9" width="8.28515625" customWidth="1"/>
    <col min="10" max="10" width="10" bestFit="1" customWidth="1"/>
    <col min="11" max="11" width="9.140625" customWidth="1"/>
  </cols>
  <sheetData>
    <row r="1" spans="1:15" x14ac:dyDescent="0.2">
      <c r="A1" s="1" t="s">
        <v>70</v>
      </c>
    </row>
    <row r="2" spans="1:15" x14ac:dyDescent="0.2">
      <c r="A2" s="1"/>
    </row>
    <row r="3" spans="1:15" x14ac:dyDescent="0.2">
      <c r="A3" s="2" t="s">
        <v>0</v>
      </c>
      <c r="B3">
        <v>480</v>
      </c>
    </row>
    <row r="4" spans="1:15" x14ac:dyDescent="0.2">
      <c r="A4" t="s">
        <v>1</v>
      </c>
      <c r="B4">
        <f>B3/4</f>
        <v>120</v>
      </c>
    </row>
    <row r="5" spans="1:15" ht="13.5" thickBot="1" x14ac:dyDescent="0.25"/>
    <row r="6" spans="1:15" ht="26.25" thickBot="1" x14ac:dyDescent="0.25">
      <c r="A6" s="4" t="s">
        <v>2</v>
      </c>
      <c r="B6" s="199" t="s">
        <v>3</v>
      </c>
      <c r="C6" s="200"/>
      <c r="D6" s="193" t="s">
        <v>69</v>
      </c>
      <c r="E6" s="192" t="s">
        <v>68</v>
      </c>
      <c r="F6" s="191" t="s">
        <v>67</v>
      </c>
      <c r="G6" s="5" t="s">
        <v>4</v>
      </c>
      <c r="H6" s="5" t="s">
        <v>5</v>
      </c>
      <c r="I6" s="190" t="s">
        <v>66</v>
      </c>
      <c r="J6" s="189" t="s">
        <v>65</v>
      </c>
      <c r="K6" s="189" t="s">
        <v>64</v>
      </c>
      <c r="L6" s="189" t="s">
        <v>63</v>
      </c>
      <c r="M6" s="88"/>
      <c r="N6" s="89"/>
    </row>
    <row r="7" spans="1:15" ht="33" thickBot="1" x14ac:dyDescent="0.25">
      <c r="A7" s="6"/>
      <c r="B7" s="188" t="s">
        <v>7</v>
      </c>
      <c r="C7" s="187" t="s">
        <v>8</v>
      </c>
      <c r="D7" s="186" t="s">
        <v>62</v>
      </c>
      <c r="E7" s="185"/>
      <c r="F7" s="184"/>
      <c r="G7" s="11"/>
      <c r="H7" s="11"/>
      <c r="I7" s="183" t="s">
        <v>71</v>
      </c>
      <c r="J7" s="101"/>
      <c r="K7" s="101"/>
      <c r="L7" s="182">
        <v>28</v>
      </c>
      <c r="M7" s="182">
        <v>25</v>
      </c>
      <c r="N7" s="181">
        <v>19</v>
      </c>
    </row>
    <row r="8" spans="1:15" x14ac:dyDescent="0.2">
      <c r="A8" s="12" t="s">
        <v>11</v>
      </c>
      <c r="B8" s="129">
        <v>4.1769999999999996</v>
      </c>
      <c r="C8" s="128">
        <f>B8/$B$4</f>
        <v>3.480833333333333E-2</v>
      </c>
      <c r="D8" s="127">
        <v>0.22209999999999999</v>
      </c>
      <c r="E8" s="127">
        <v>780.6</v>
      </c>
      <c r="F8" s="126">
        <v>2667.5</v>
      </c>
      <c r="G8" s="180">
        <v>9800</v>
      </c>
      <c r="H8" s="179">
        <v>1133.8</v>
      </c>
      <c r="I8" s="178">
        <v>121</v>
      </c>
      <c r="J8" s="177">
        <f>I8/F8^2</f>
        <v>1.7004995217345094E-5</v>
      </c>
      <c r="K8" s="176">
        <f>J8*E8</f>
        <v>1.3274099266659581E-2</v>
      </c>
      <c r="L8" s="175"/>
      <c r="M8" s="175"/>
      <c r="N8" s="89"/>
      <c r="O8" s="174"/>
    </row>
    <row r="9" spans="1:15" x14ac:dyDescent="0.2">
      <c r="A9" s="12" t="s">
        <v>12</v>
      </c>
      <c r="B9" s="140">
        <v>0.13900000000000001</v>
      </c>
      <c r="C9" s="139">
        <f>B9/$B$4</f>
        <v>1.1583333333333335E-3</v>
      </c>
      <c r="D9" s="138"/>
      <c r="E9" s="138">
        <v>780.6</v>
      </c>
      <c r="F9" s="137">
        <v>2667.5</v>
      </c>
      <c r="G9" s="136">
        <v>9679</v>
      </c>
      <c r="H9" s="135">
        <v>1133.8</v>
      </c>
      <c r="I9" s="123">
        <f>G10-G9</f>
        <v>1731</v>
      </c>
      <c r="J9" s="122"/>
      <c r="K9" s="122"/>
      <c r="L9" s="122"/>
      <c r="M9" s="122"/>
      <c r="N9" s="92"/>
    </row>
    <row r="10" spans="1:15" x14ac:dyDescent="0.2">
      <c r="A10" s="12" t="s">
        <v>13</v>
      </c>
      <c r="B10" s="140">
        <v>1.7509999999999999</v>
      </c>
      <c r="C10" s="139">
        <f>B10/$B$4</f>
        <v>1.4591666666666666E-2</v>
      </c>
      <c r="D10" s="138"/>
      <c r="E10" s="138">
        <v>780.6</v>
      </c>
      <c r="F10" s="137">
        <v>2667.5</v>
      </c>
      <c r="G10" s="136">
        <v>11410</v>
      </c>
      <c r="H10" s="135">
        <v>1135.9000000000001</v>
      </c>
      <c r="I10" s="123">
        <f>G10-G12</f>
        <v>30</v>
      </c>
      <c r="J10" s="122"/>
      <c r="K10" s="122"/>
      <c r="L10" s="122"/>
      <c r="M10" s="122"/>
      <c r="N10" s="92"/>
    </row>
    <row r="11" spans="1:15" x14ac:dyDescent="0.2">
      <c r="A11" s="12"/>
      <c r="B11" s="140"/>
      <c r="C11" s="139"/>
      <c r="D11" s="138"/>
      <c r="E11" s="138"/>
      <c r="F11" s="138"/>
      <c r="G11" s="136"/>
      <c r="H11" s="135"/>
      <c r="I11" s="123"/>
      <c r="J11" s="122"/>
      <c r="K11" s="122"/>
      <c r="L11" s="122"/>
      <c r="M11" s="122"/>
      <c r="N11" s="92"/>
    </row>
    <row r="12" spans="1:15" x14ac:dyDescent="0.2">
      <c r="A12" s="23" t="s">
        <v>14</v>
      </c>
      <c r="B12" s="156">
        <v>1.41</v>
      </c>
      <c r="C12" s="155">
        <f t="shared" ref="C12:C18" si="0">B12/$B$4</f>
        <v>1.175E-2</v>
      </c>
      <c r="D12" s="154"/>
      <c r="E12" s="154"/>
      <c r="F12" s="153">
        <v>2667.5</v>
      </c>
      <c r="G12" s="152">
        <v>11380</v>
      </c>
      <c r="H12" s="151">
        <v>1135.8</v>
      </c>
      <c r="I12" s="148">
        <f>G12-G18</f>
        <v>1380</v>
      </c>
      <c r="J12" s="173"/>
      <c r="K12" s="173"/>
      <c r="L12" s="173">
        <f>($F$13/L7)^2</f>
        <v>0.84903061224489806</v>
      </c>
      <c r="M12" s="173">
        <f t="shared" ref="M12:N12" si="1">($F$13/M7)^2</f>
        <v>1.065024</v>
      </c>
      <c r="N12" s="173">
        <f t="shared" si="1"/>
        <v>1.8438781163434903</v>
      </c>
    </row>
    <row r="13" spans="1:15" x14ac:dyDescent="0.2">
      <c r="A13" s="12" t="s">
        <v>15</v>
      </c>
      <c r="B13" s="140">
        <v>4.2484999999999999</v>
      </c>
      <c r="C13" s="139">
        <f t="shared" si="0"/>
        <v>3.5404166666666667E-2</v>
      </c>
      <c r="D13" s="161">
        <f>0.4332/120</f>
        <v>3.6099999999999999E-3</v>
      </c>
      <c r="E13" s="137">
        <v>780.6</v>
      </c>
      <c r="F13" s="160">
        <v>25.8</v>
      </c>
      <c r="G13" s="136">
        <v>11380</v>
      </c>
      <c r="H13" s="135">
        <v>1135.8</v>
      </c>
      <c r="I13" s="123">
        <f>G13-G14</f>
        <v>165</v>
      </c>
      <c r="J13" s="159">
        <f>I13/F13^2</f>
        <v>0.24788173787632956</v>
      </c>
      <c r="K13" s="158">
        <f>J13*E13</f>
        <v>193.49648458626285</v>
      </c>
      <c r="L13" s="158">
        <f t="shared" ref="L13:N17" si="2">$K13*L$12</f>
        <v>164.28443877551024</v>
      </c>
      <c r="M13" s="158">
        <f t="shared" si="2"/>
        <v>206.07840000000002</v>
      </c>
      <c r="N13" s="157">
        <f t="shared" si="2"/>
        <v>356.78393351800554</v>
      </c>
    </row>
    <row r="14" spans="1:15" x14ac:dyDescent="0.2">
      <c r="A14" s="12" t="s">
        <v>16</v>
      </c>
      <c r="B14" s="140">
        <v>3.7759999999999998</v>
      </c>
      <c r="C14" s="139">
        <f t="shared" si="0"/>
        <v>3.1466666666666664E-2</v>
      </c>
      <c r="D14" s="161">
        <f>0.7475/120</f>
        <v>6.2291666666666667E-3</v>
      </c>
      <c r="E14" s="137">
        <v>780.6</v>
      </c>
      <c r="F14" s="160">
        <v>25.8</v>
      </c>
      <c r="G14" s="136">
        <v>11215</v>
      </c>
      <c r="H14" s="135">
        <v>1135.7</v>
      </c>
      <c r="I14" s="123">
        <f>(G14-G15)/2</f>
        <v>262.5</v>
      </c>
      <c r="J14" s="159">
        <f>I14/F14^2</f>
        <v>0.39435731025779702</v>
      </c>
      <c r="K14" s="158">
        <f>J14*E14</f>
        <v>307.83531638723639</v>
      </c>
      <c r="L14" s="158">
        <f t="shared" si="2"/>
        <v>261.36160714285722</v>
      </c>
      <c r="M14" s="158">
        <f t="shared" si="2"/>
        <v>327.85200000000003</v>
      </c>
      <c r="N14" s="157">
        <f t="shared" si="2"/>
        <v>567.61080332409983</v>
      </c>
    </row>
    <row r="15" spans="1:15" x14ac:dyDescent="0.2">
      <c r="A15" s="32" t="s">
        <v>17</v>
      </c>
      <c r="B15" s="171">
        <v>2.4329999999999998</v>
      </c>
      <c r="C15" s="170">
        <f t="shared" si="0"/>
        <v>2.0274999999999998E-2</v>
      </c>
      <c r="D15" s="107">
        <v>3.49E-3</v>
      </c>
      <c r="E15" s="169">
        <v>780.6</v>
      </c>
      <c r="F15" s="168">
        <v>25.8</v>
      </c>
      <c r="G15" s="167">
        <v>10690</v>
      </c>
      <c r="H15" s="166">
        <v>1236.8</v>
      </c>
      <c r="I15" s="165">
        <f>(G14-G16)/2</f>
        <v>520.5</v>
      </c>
      <c r="J15" s="164">
        <f>I15/F15^2</f>
        <v>0.78195420948260319</v>
      </c>
      <c r="K15" s="164">
        <f>J15*E15</f>
        <v>610.3934559221201</v>
      </c>
      <c r="L15" s="163">
        <f t="shared" si="2"/>
        <v>518.24272959183679</v>
      </c>
      <c r="M15" s="163">
        <f t="shared" si="2"/>
        <v>650.08368000000007</v>
      </c>
      <c r="N15" s="162">
        <f t="shared" si="2"/>
        <v>1125.491135734072</v>
      </c>
    </row>
    <row r="16" spans="1:15" x14ac:dyDescent="0.2">
      <c r="A16" s="12" t="s">
        <v>18</v>
      </c>
      <c r="B16" s="140">
        <v>3.79</v>
      </c>
      <c r="C16" s="139">
        <f t="shared" si="0"/>
        <v>3.1583333333333331E-2</v>
      </c>
      <c r="D16" s="161">
        <f>0.7548/120</f>
        <v>6.2900000000000005E-3</v>
      </c>
      <c r="E16" s="137">
        <v>780.6</v>
      </c>
      <c r="F16" s="160">
        <v>25.8</v>
      </c>
      <c r="G16" s="136">
        <f>10193-19</f>
        <v>10174</v>
      </c>
      <c r="H16" s="135">
        <v>1350.1</v>
      </c>
      <c r="I16" s="123">
        <f>(G15-G16)/2</f>
        <v>258</v>
      </c>
      <c r="J16" s="159">
        <f>I16/F16^2</f>
        <v>0.38759689922480622</v>
      </c>
      <c r="K16" s="158">
        <f>J16*E16</f>
        <v>302.55813953488376</v>
      </c>
      <c r="L16" s="158">
        <f t="shared" si="2"/>
        <v>256.88112244897968</v>
      </c>
      <c r="M16" s="158">
        <f t="shared" si="2"/>
        <v>322.23168000000004</v>
      </c>
      <c r="N16" s="157">
        <f t="shared" si="2"/>
        <v>557.88033240997243</v>
      </c>
    </row>
    <row r="17" spans="1:14" x14ac:dyDescent="0.2">
      <c r="A17" s="12" t="s">
        <v>19</v>
      </c>
      <c r="B17" s="140">
        <v>7.8156999999999996</v>
      </c>
      <c r="C17" s="139">
        <f t="shared" si="0"/>
        <v>6.5130833333333332E-2</v>
      </c>
      <c r="D17" s="161">
        <f>0.4724/120</f>
        <v>3.9366666666666664E-3</v>
      </c>
      <c r="E17" s="137">
        <v>780.6</v>
      </c>
      <c r="F17" s="160">
        <v>25.8</v>
      </c>
      <c r="G17" s="136">
        <v>10000</v>
      </c>
      <c r="H17" s="135">
        <v>1349.8</v>
      </c>
      <c r="I17" s="123">
        <f>G16-G17</f>
        <v>174</v>
      </c>
      <c r="J17" s="159">
        <f>I17/F17^2</f>
        <v>0.26140255994231115</v>
      </c>
      <c r="K17" s="158">
        <f>J17*E17</f>
        <v>204.0508382909681</v>
      </c>
      <c r="L17" s="158">
        <f t="shared" si="2"/>
        <v>173.24540816326532</v>
      </c>
      <c r="M17" s="158">
        <f t="shared" si="2"/>
        <v>217.31904</v>
      </c>
      <c r="N17" s="157">
        <f t="shared" si="2"/>
        <v>376.24487534626041</v>
      </c>
    </row>
    <row r="18" spans="1:14" x14ac:dyDescent="0.2">
      <c r="A18" s="23" t="s">
        <v>20</v>
      </c>
      <c r="B18" s="156">
        <v>1.8080000000000001</v>
      </c>
      <c r="C18" s="155">
        <f t="shared" si="0"/>
        <v>1.5066666666666667E-2</v>
      </c>
      <c r="D18" s="154"/>
      <c r="E18" s="154"/>
      <c r="F18" s="153">
        <v>2667.5</v>
      </c>
      <c r="G18" s="152">
        <v>10000</v>
      </c>
      <c r="H18" s="151">
        <v>1349.8</v>
      </c>
      <c r="I18" s="148">
        <f t="shared" ref="I18:N18" si="3">SUM(I13:I17)</f>
        <v>1380</v>
      </c>
      <c r="J18" s="150">
        <f t="shared" si="3"/>
        <v>2.0731927167838471</v>
      </c>
      <c r="K18" s="149">
        <f t="shared" si="3"/>
        <v>1618.3342347214714</v>
      </c>
      <c r="L18" s="148">
        <f t="shared" si="3"/>
        <v>1374.0153061224491</v>
      </c>
      <c r="M18" s="148">
        <f t="shared" si="3"/>
        <v>1723.5648000000003</v>
      </c>
      <c r="N18" s="148">
        <f t="shared" si="3"/>
        <v>2984.0110803324105</v>
      </c>
    </row>
    <row r="19" spans="1:14" x14ac:dyDescent="0.2">
      <c r="A19" s="23" t="s">
        <v>61</v>
      </c>
      <c r="B19" s="147"/>
      <c r="C19" s="146"/>
      <c r="D19" s="145"/>
      <c r="E19" s="145"/>
      <c r="F19" s="145"/>
      <c r="G19" s="144"/>
      <c r="H19" s="143"/>
      <c r="I19" s="123"/>
      <c r="J19" s="142">
        <f>I18/F18^2</f>
        <v>1.9394126776806802E-4</v>
      </c>
      <c r="K19" s="141">
        <f>K18*F13^2/$E$17</f>
        <v>1380.0000000000002</v>
      </c>
      <c r="L19" s="141">
        <f>L18*L$7^2/$E$17</f>
        <v>1380.0000000000002</v>
      </c>
      <c r="M19" s="141">
        <f>M18*M$7^2/$E$17</f>
        <v>1380.0000000000002</v>
      </c>
      <c r="N19" s="141">
        <f>N18*N$7^2/$E$17</f>
        <v>1380.0000000000002</v>
      </c>
    </row>
    <row r="20" spans="1:14" x14ac:dyDescent="0.2">
      <c r="A20" s="12" t="s">
        <v>21</v>
      </c>
      <c r="B20" s="140">
        <v>2.2320000000000002</v>
      </c>
      <c r="C20" s="139">
        <f t="shared" ref="C20:C25" si="4">B20/$B$4</f>
        <v>1.8600000000000002E-2</v>
      </c>
      <c r="D20" s="138">
        <v>0.37540000000000001</v>
      </c>
      <c r="E20" s="138">
        <v>780.6</v>
      </c>
      <c r="F20" s="137">
        <v>2667.5</v>
      </c>
      <c r="G20" s="136">
        <v>9939.5</v>
      </c>
      <c r="H20" s="135">
        <v>1347.2</v>
      </c>
      <c r="I20" s="123">
        <f>G18-G20</f>
        <v>60.5</v>
      </c>
      <c r="J20" s="134">
        <f>I20/F20^2</f>
        <v>8.5024976086725468E-6</v>
      </c>
      <c r="K20" s="133">
        <f>J20*E20</f>
        <v>6.6370496333297904E-3</v>
      </c>
      <c r="L20" s="122"/>
      <c r="M20" s="122"/>
      <c r="N20" s="92"/>
    </row>
    <row r="21" spans="1:14" x14ac:dyDescent="0.2">
      <c r="A21" s="48" t="s">
        <v>22</v>
      </c>
      <c r="B21" s="129">
        <v>2.1240000000000001</v>
      </c>
      <c r="C21" s="128">
        <f t="shared" si="4"/>
        <v>1.77E-2</v>
      </c>
      <c r="D21" s="127">
        <v>0.6774</v>
      </c>
      <c r="E21" s="127">
        <v>780.6</v>
      </c>
      <c r="F21" s="126">
        <v>2667.5</v>
      </c>
      <c r="G21" s="125">
        <v>9939.5</v>
      </c>
      <c r="H21" s="124">
        <v>1344.2</v>
      </c>
      <c r="I21" s="132">
        <f>G21-G25</f>
        <v>139.5</v>
      </c>
      <c r="J21" s="131">
        <f>I21/F21^2</f>
        <v>1.960493250264166E-5</v>
      </c>
      <c r="K21" s="130">
        <f>J21*E21</f>
        <v>1.530361031156208E-2</v>
      </c>
      <c r="L21" s="122"/>
      <c r="M21" s="122"/>
      <c r="N21" s="92"/>
    </row>
    <row r="22" spans="1:14" x14ac:dyDescent="0.2">
      <c r="A22" s="48" t="s">
        <v>23</v>
      </c>
      <c r="B22" s="129">
        <v>2.4380000000000002</v>
      </c>
      <c r="C22" s="128">
        <f t="shared" si="4"/>
        <v>2.0316666666666667E-2</v>
      </c>
      <c r="D22" s="127">
        <v>0.6774</v>
      </c>
      <c r="E22" s="127">
        <v>780.6</v>
      </c>
      <c r="F22" s="126">
        <v>2667.5</v>
      </c>
      <c r="G22" s="125">
        <v>9900</v>
      </c>
      <c r="H22" s="124">
        <v>1344.2</v>
      </c>
      <c r="I22" s="123"/>
      <c r="J22" s="122"/>
      <c r="K22" s="122"/>
      <c r="L22" s="122"/>
      <c r="M22" s="122"/>
      <c r="N22" s="92"/>
    </row>
    <row r="23" spans="1:14" x14ac:dyDescent="0.2">
      <c r="A23" s="48" t="s">
        <v>24</v>
      </c>
      <c r="B23" s="129">
        <v>9.1880000000000006</v>
      </c>
      <c r="C23" s="128">
        <f t="shared" si="4"/>
        <v>7.6566666666666672E-2</v>
      </c>
      <c r="D23" s="127">
        <v>0.6774</v>
      </c>
      <c r="E23" s="127">
        <v>780.6</v>
      </c>
      <c r="F23" s="126">
        <v>2667.5</v>
      </c>
      <c r="G23" s="125">
        <v>9879</v>
      </c>
      <c r="H23" s="124">
        <v>1235.2</v>
      </c>
      <c r="I23" s="123"/>
      <c r="J23" s="122"/>
      <c r="K23" s="122"/>
      <c r="L23" s="122"/>
      <c r="M23" s="122"/>
      <c r="N23" s="92"/>
    </row>
    <row r="24" spans="1:14" x14ac:dyDescent="0.2">
      <c r="A24" s="48" t="s">
        <v>25</v>
      </c>
      <c r="B24" s="129">
        <v>2.1659999999999999</v>
      </c>
      <c r="C24" s="128">
        <f t="shared" si="4"/>
        <v>1.805E-2</v>
      </c>
      <c r="D24" s="127">
        <v>0.6774</v>
      </c>
      <c r="E24" s="127">
        <v>780.6</v>
      </c>
      <c r="F24" s="126">
        <v>2667.5</v>
      </c>
      <c r="G24" s="125">
        <v>9859</v>
      </c>
      <c r="H24" s="124">
        <v>1133.9000000000001</v>
      </c>
      <c r="I24" s="123"/>
      <c r="J24" s="122"/>
      <c r="K24" s="122"/>
      <c r="L24" s="122"/>
      <c r="M24" s="122"/>
      <c r="N24" s="92"/>
    </row>
    <row r="25" spans="1:14" x14ac:dyDescent="0.2">
      <c r="A25" s="48" t="s">
        <v>26</v>
      </c>
      <c r="B25" s="129">
        <v>2.3969999999999998</v>
      </c>
      <c r="C25" s="128">
        <f t="shared" si="4"/>
        <v>1.9975E-2</v>
      </c>
      <c r="D25" s="127">
        <v>0.6774</v>
      </c>
      <c r="E25" s="127">
        <v>780.6</v>
      </c>
      <c r="F25" s="126">
        <v>2667.5</v>
      </c>
      <c r="G25" s="125">
        <v>9800</v>
      </c>
      <c r="H25" s="124">
        <v>1133.9000000000001</v>
      </c>
      <c r="I25" s="123"/>
      <c r="J25" s="122"/>
      <c r="K25" s="122"/>
      <c r="L25" s="122"/>
      <c r="M25" s="122"/>
      <c r="N25" s="92"/>
    </row>
    <row r="26" spans="1:14" ht="13.5" thickBot="1" x14ac:dyDescent="0.25">
      <c r="A26" s="121" t="s">
        <v>60</v>
      </c>
      <c r="B26" s="120"/>
      <c r="C26" s="119"/>
      <c r="D26" s="118"/>
      <c r="E26" s="118">
        <v>780.6</v>
      </c>
      <c r="F26" s="117">
        <v>2667.5</v>
      </c>
      <c r="G26" s="116"/>
      <c r="H26" s="115"/>
      <c r="I26" s="114">
        <f>G18-G25</f>
        <v>200</v>
      </c>
      <c r="J26" s="113">
        <f>I26/F26^2</f>
        <v>2.8107430111314207E-5</v>
      </c>
      <c r="K26" s="113">
        <f>J26*E26</f>
        <v>2.1940659944891871E-2</v>
      </c>
      <c r="L26" s="113"/>
      <c r="M26" s="113"/>
      <c r="N26" s="95"/>
    </row>
    <row r="27" spans="1:14" ht="13.5" thickBot="1" x14ac:dyDescent="0.25">
      <c r="B27" s="63"/>
      <c r="C27" s="64"/>
      <c r="D27" s="64"/>
      <c r="E27" s="64"/>
      <c r="F27" s="64"/>
      <c r="I27" s="112">
        <f>I8+I10+I12+I20+I21</f>
        <v>1731</v>
      </c>
      <c r="J27" s="111">
        <f>G10-G9</f>
        <v>1731</v>
      </c>
      <c r="K27" s="111"/>
    </row>
    <row r="28" spans="1:14" x14ac:dyDescent="0.2">
      <c r="A28" s="87" t="s">
        <v>37</v>
      </c>
      <c r="B28" s="88">
        <v>2651</v>
      </c>
      <c r="C28" s="89" t="s">
        <v>38</v>
      </c>
      <c r="D28" s="98"/>
      <c r="E28" s="98"/>
      <c r="F28" s="98"/>
      <c r="J28" s="111">
        <v>1.8939999999999999</v>
      </c>
      <c r="K28" s="111">
        <v>1</v>
      </c>
    </row>
    <row r="29" spans="1:14" x14ac:dyDescent="0.2">
      <c r="A29" s="90" t="s">
        <v>39</v>
      </c>
      <c r="B29" s="91">
        <f>B28/B3</f>
        <v>5.5229166666666663</v>
      </c>
      <c r="C29" s="92" t="s">
        <v>38</v>
      </c>
      <c r="D29" s="98"/>
      <c r="E29" s="98"/>
      <c r="F29" s="98"/>
      <c r="H29" t="s">
        <v>59</v>
      </c>
      <c r="J29" s="111">
        <f>J28*$F$26</f>
        <v>5052.2449999999999</v>
      </c>
      <c r="K29" s="111">
        <f>K28*$F$26</f>
        <v>2667.5</v>
      </c>
    </row>
    <row r="30" spans="1:14" x14ac:dyDescent="0.2">
      <c r="A30" s="90" t="s">
        <v>40</v>
      </c>
      <c r="B30" s="91">
        <v>6.26</v>
      </c>
      <c r="C30" s="92" t="s">
        <v>38</v>
      </c>
      <c r="D30" s="98"/>
      <c r="E30" s="98"/>
      <c r="I30" s="109" t="s">
        <v>58</v>
      </c>
      <c r="J30" s="110"/>
    </row>
    <row r="31" spans="1:14" x14ac:dyDescent="0.2">
      <c r="A31" s="90" t="s">
        <v>41</v>
      </c>
      <c r="B31" s="91">
        <v>6.8</v>
      </c>
      <c r="C31" s="92" t="s">
        <v>38</v>
      </c>
      <c r="D31" s="98"/>
      <c r="E31" s="98"/>
      <c r="I31" s="109" t="s">
        <v>57</v>
      </c>
      <c r="J31" s="110">
        <v>2400</v>
      </c>
      <c r="K31" s="110">
        <v>2400</v>
      </c>
    </row>
    <row r="32" spans="1:14" ht="13.5" thickBot="1" x14ac:dyDescent="0.25">
      <c r="A32" s="93" t="s">
        <v>42</v>
      </c>
      <c r="B32" s="94">
        <f>H16-H14</f>
        <v>214.39999999999986</v>
      </c>
      <c r="C32" s="95" t="s">
        <v>43</v>
      </c>
      <c r="D32" s="98"/>
      <c r="E32" s="98"/>
      <c r="I32" s="109" t="s">
        <v>56</v>
      </c>
      <c r="J32" s="108">
        <f>-(J31-I9)/F9^2</f>
        <v>-9.4019353722346019E-5</v>
      </c>
      <c r="K32" s="108">
        <f>J32</f>
        <v>-9.4019353722346019E-5</v>
      </c>
    </row>
    <row r="33" spans="1:11" ht="13.5" thickBot="1" x14ac:dyDescent="0.25">
      <c r="B33" s="96"/>
      <c r="E33" s="107">
        <v>3.4250000000000001E-3</v>
      </c>
      <c r="I33" s="106" t="s">
        <v>55</v>
      </c>
      <c r="J33" s="105">
        <f>J31+J32*J29^2</f>
        <v>0.13911600000028557</v>
      </c>
      <c r="K33" s="105">
        <f>K31+K32*K29^2</f>
        <v>1731</v>
      </c>
    </row>
    <row r="34" spans="1:11" x14ac:dyDescent="0.2">
      <c r="A34" s="87" t="s">
        <v>44</v>
      </c>
      <c r="B34" s="88">
        <v>27</v>
      </c>
      <c r="C34" s="89" t="s">
        <v>45</v>
      </c>
      <c r="D34" s="98"/>
      <c r="E34" s="98"/>
      <c r="F34" s="98"/>
    </row>
    <row r="35" spans="1:11" x14ac:dyDescent="0.2">
      <c r="A35" s="90" t="s">
        <v>47</v>
      </c>
      <c r="B35" s="98">
        <v>19</v>
      </c>
      <c r="C35" s="92" t="s">
        <v>45</v>
      </c>
      <c r="D35" s="98"/>
      <c r="E35" s="98"/>
      <c r="F35" s="98"/>
    </row>
    <row r="36" spans="1:11" ht="13.5" thickBot="1" x14ac:dyDescent="0.25">
      <c r="A36" s="93" t="s">
        <v>48</v>
      </c>
      <c r="B36" s="99">
        <f>B29*1000/B32</f>
        <v>25.759872512437823</v>
      </c>
      <c r="C36" s="95" t="s">
        <v>45</v>
      </c>
      <c r="D36" s="98"/>
      <c r="E36" s="98"/>
      <c r="F36" s="98"/>
    </row>
    <row r="37" spans="1:11" ht="13.5" thickBot="1" x14ac:dyDescent="0.25"/>
    <row r="38" spans="1:11" x14ac:dyDescent="0.2">
      <c r="A38" s="87" t="s">
        <v>49</v>
      </c>
      <c r="B38" s="104">
        <v>3.49E-3</v>
      </c>
      <c r="C38" s="89" t="s">
        <v>50</v>
      </c>
      <c r="D38" s="98"/>
      <c r="E38" s="98"/>
      <c r="F38" s="98"/>
    </row>
    <row r="39" spans="1:11" x14ac:dyDescent="0.2">
      <c r="A39" s="90" t="s">
        <v>51</v>
      </c>
      <c r="B39" s="100">
        <f>B36/B38</f>
        <v>7381.0522958274569</v>
      </c>
      <c r="C39" s="92" t="s">
        <v>52</v>
      </c>
      <c r="D39" s="98"/>
      <c r="E39" s="98"/>
      <c r="F39" s="98"/>
    </row>
    <row r="40" spans="1:11" ht="13.5" thickBot="1" x14ac:dyDescent="0.25">
      <c r="A40" s="93" t="s">
        <v>53</v>
      </c>
      <c r="B40" s="103">
        <v>7.4000000000000003E-3</v>
      </c>
      <c r="C40" s="102" t="s">
        <v>54</v>
      </c>
      <c r="D40" s="98"/>
      <c r="E40" s="98"/>
      <c r="F40" s="98"/>
    </row>
  </sheetData>
  <mergeCells count="1">
    <mergeCell ref="B6:C6"/>
  </mergeCells>
  <pageMargins left="0.18" right="0.23" top="0.53" bottom="0.53" header="0.4" footer="0.17"/>
  <pageSetup orientation="landscape" verticalDpi="300" r:id="rId1"/>
  <headerFooter alignWithMargins="0">
    <oddFooter>&amp;L&amp;D    &amp;T&amp;C&amp;F&amp;RJ.C.Luxat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N15" sqref="N15"/>
    </sheetView>
  </sheetViews>
  <sheetFormatPr defaultRowHeight="12.75" x14ac:dyDescent="0.2"/>
  <sheetData>
    <row r="1" spans="1:14" x14ac:dyDescent="0.2">
      <c r="A1" s="1" t="s">
        <v>70</v>
      </c>
    </row>
    <row r="2" spans="1:14" x14ac:dyDescent="0.2">
      <c r="A2" s="1"/>
    </row>
    <row r="3" spans="1:14" x14ac:dyDescent="0.2">
      <c r="A3" s="2" t="s">
        <v>0</v>
      </c>
      <c r="B3">
        <v>480</v>
      </c>
    </row>
    <row r="4" spans="1:14" x14ac:dyDescent="0.2">
      <c r="A4" t="s">
        <v>1</v>
      </c>
      <c r="B4">
        <f>B3/4</f>
        <v>120</v>
      </c>
    </row>
    <row r="5" spans="1:14" ht="13.5" thickBot="1" x14ac:dyDescent="0.25"/>
    <row r="6" spans="1:14" ht="26.25" thickBot="1" x14ac:dyDescent="0.25">
      <c r="A6" s="4" t="s">
        <v>2</v>
      </c>
      <c r="B6" s="199" t="s">
        <v>3</v>
      </c>
      <c r="C6" s="200"/>
      <c r="D6" s="193" t="s">
        <v>69</v>
      </c>
      <c r="E6" s="192" t="s">
        <v>68</v>
      </c>
      <c r="F6" s="191" t="s">
        <v>67</v>
      </c>
      <c r="G6" s="5" t="s">
        <v>4</v>
      </c>
      <c r="H6" s="5" t="s">
        <v>5</v>
      </c>
      <c r="I6" s="194" t="s">
        <v>66</v>
      </c>
      <c r="J6" s="195" t="s">
        <v>65</v>
      </c>
      <c r="K6" s="195" t="s">
        <v>64</v>
      </c>
      <c r="L6" s="195" t="s">
        <v>63</v>
      </c>
      <c r="M6" s="88"/>
      <c r="N6" s="89"/>
    </row>
    <row r="7" spans="1:14" ht="26.25" thickBot="1" x14ac:dyDescent="0.25">
      <c r="A7" s="6"/>
      <c r="B7" s="188" t="s">
        <v>7</v>
      </c>
      <c r="C7" s="187" t="s">
        <v>8</v>
      </c>
      <c r="D7" s="186" t="s">
        <v>62</v>
      </c>
      <c r="E7" s="185"/>
      <c r="F7" s="184"/>
      <c r="G7" s="11"/>
      <c r="H7" s="11"/>
      <c r="I7" s="183" t="s">
        <v>71</v>
      </c>
      <c r="J7" s="101"/>
      <c r="K7" s="101"/>
      <c r="L7" s="182">
        <v>28</v>
      </c>
      <c r="M7" s="182">
        <v>25</v>
      </c>
      <c r="N7" s="181">
        <v>19</v>
      </c>
    </row>
    <row r="8" spans="1:14" x14ac:dyDescent="0.2">
      <c r="A8" s="12" t="s">
        <v>11</v>
      </c>
      <c r="B8" s="129">
        <v>4.1769999999999996</v>
      </c>
      <c r="C8" s="128">
        <f>B8/$B$4</f>
        <v>3.480833333333333E-2</v>
      </c>
      <c r="D8" s="127">
        <v>0.22209999999999999</v>
      </c>
      <c r="E8" s="127">
        <v>780.6</v>
      </c>
      <c r="F8" s="126">
        <v>2667.5</v>
      </c>
      <c r="G8" s="180">
        <v>9800</v>
      </c>
      <c r="H8" s="179">
        <v>1133.8</v>
      </c>
      <c r="I8" s="178">
        <v>121</v>
      </c>
      <c r="J8" s="177">
        <f>I8/F8^2</f>
        <v>1.7004995217345094E-5</v>
      </c>
      <c r="K8" s="176">
        <f>J8*E8</f>
        <v>1.3274099266659581E-2</v>
      </c>
      <c r="L8" s="175"/>
      <c r="M8" s="175"/>
      <c r="N8" s="89"/>
    </row>
    <row r="9" spans="1:14" x14ac:dyDescent="0.2">
      <c r="A9" s="12" t="s">
        <v>12</v>
      </c>
      <c r="B9" s="140">
        <v>0.13900000000000001</v>
      </c>
      <c r="C9" s="139">
        <f>B9/$B$4</f>
        <v>1.1583333333333335E-3</v>
      </c>
      <c r="D9" s="138"/>
      <c r="E9" s="138">
        <v>780.6</v>
      </c>
      <c r="F9" s="137">
        <v>2667.5</v>
      </c>
      <c r="G9" s="136">
        <v>9679</v>
      </c>
      <c r="H9" s="135">
        <v>1133.8</v>
      </c>
      <c r="I9" s="123">
        <f>G10-G9</f>
        <v>1731</v>
      </c>
      <c r="J9" s="122"/>
      <c r="K9" s="122"/>
      <c r="L9" s="122"/>
      <c r="M9" s="122"/>
      <c r="N9" s="92"/>
    </row>
    <row r="10" spans="1:14" x14ac:dyDescent="0.2">
      <c r="A10" s="12" t="s">
        <v>13</v>
      </c>
      <c r="B10" s="140">
        <v>1.7509999999999999</v>
      </c>
      <c r="C10" s="139">
        <f>B10/$B$4</f>
        <v>1.4591666666666666E-2</v>
      </c>
      <c r="D10" s="138"/>
      <c r="E10" s="138">
        <v>780.6</v>
      </c>
      <c r="F10" s="137">
        <v>2667.5</v>
      </c>
      <c r="G10" s="136">
        <v>11410</v>
      </c>
      <c r="H10" s="135">
        <v>1135.9000000000001</v>
      </c>
      <c r="I10" s="123">
        <f>G10-G12</f>
        <v>30</v>
      </c>
      <c r="J10" s="122"/>
      <c r="K10" s="122"/>
      <c r="L10" s="122"/>
      <c r="M10" s="122"/>
      <c r="N10" s="92"/>
    </row>
    <row r="11" spans="1:14" x14ac:dyDescent="0.2">
      <c r="A11" s="12"/>
      <c r="B11" s="140"/>
      <c r="C11" s="139"/>
      <c r="D11" s="138"/>
      <c r="E11" s="138"/>
      <c r="F11" s="138"/>
      <c r="G11" s="136"/>
      <c r="H11" s="135"/>
      <c r="I11" s="123"/>
      <c r="J11" s="122"/>
      <c r="K11" s="122"/>
      <c r="L11" s="122"/>
      <c r="M11" s="122"/>
      <c r="N11" s="92"/>
    </row>
    <row r="12" spans="1:14" x14ac:dyDescent="0.2">
      <c r="A12" s="23" t="s">
        <v>14</v>
      </c>
      <c r="B12" s="156">
        <v>1.41</v>
      </c>
      <c r="C12" s="155">
        <f t="shared" ref="C12:C18" si="0">B12/$B$4</f>
        <v>1.175E-2</v>
      </c>
      <c r="D12" s="154"/>
      <c r="E12" s="154"/>
      <c r="F12" s="153">
        <v>2667.5</v>
      </c>
      <c r="G12" s="152">
        <v>11380</v>
      </c>
      <c r="H12" s="151">
        <v>1135.8</v>
      </c>
      <c r="I12" s="148">
        <f>G12-G18</f>
        <v>1380</v>
      </c>
      <c r="J12" s="173"/>
      <c r="K12" s="173"/>
      <c r="L12" s="173">
        <f>($F$13/L7)^2</f>
        <v>0.84903061224489806</v>
      </c>
      <c r="M12" s="173">
        <f t="shared" ref="M12:N12" si="1">($F$13/M7)^2</f>
        <v>1.065024</v>
      </c>
      <c r="N12" s="173">
        <f t="shared" si="1"/>
        <v>1.8438781163434903</v>
      </c>
    </row>
    <row r="13" spans="1:14" x14ac:dyDescent="0.2">
      <c r="A13" s="12" t="s">
        <v>15</v>
      </c>
      <c r="B13" s="140">
        <v>4.2484999999999999</v>
      </c>
      <c r="C13" s="139">
        <f t="shared" si="0"/>
        <v>3.5404166666666667E-2</v>
      </c>
      <c r="D13" s="161">
        <f>0.4332/120</f>
        <v>3.6099999999999999E-3</v>
      </c>
      <c r="E13" s="137">
        <v>780.6</v>
      </c>
      <c r="F13" s="160">
        <v>25.8</v>
      </c>
      <c r="G13" s="136">
        <v>11380</v>
      </c>
      <c r="H13" s="135">
        <v>1135.8</v>
      </c>
      <c r="I13" s="123">
        <f>G13-G14</f>
        <v>165</v>
      </c>
      <c r="J13" s="159">
        <f>I13/F13^2</f>
        <v>0.24788173787632956</v>
      </c>
      <c r="K13" s="158">
        <f>J13*E13</f>
        <v>193.49648458626285</v>
      </c>
      <c r="L13" s="158">
        <f t="shared" ref="L13:N17" si="2">$K13*L$12</f>
        <v>164.28443877551024</v>
      </c>
      <c r="M13" s="158">
        <f t="shared" si="2"/>
        <v>206.07840000000002</v>
      </c>
      <c r="N13" s="157">
        <f t="shared" si="2"/>
        <v>356.78393351800554</v>
      </c>
    </row>
    <row r="14" spans="1:14" x14ac:dyDescent="0.2">
      <c r="A14" s="12" t="s">
        <v>16</v>
      </c>
      <c r="B14" s="140">
        <v>3.7759999999999998</v>
      </c>
      <c r="C14" s="139">
        <f t="shared" si="0"/>
        <v>3.1466666666666664E-2</v>
      </c>
      <c r="D14" s="161">
        <f>0.7475/120</f>
        <v>6.2291666666666667E-3</v>
      </c>
      <c r="E14" s="137">
        <v>780.6</v>
      </c>
      <c r="F14" s="160">
        <v>25.8</v>
      </c>
      <c r="G14" s="136">
        <v>11215</v>
      </c>
      <c r="H14" s="135">
        <v>1135.7</v>
      </c>
      <c r="I14" s="123">
        <f>(G14-G15)/2</f>
        <v>262.5</v>
      </c>
      <c r="J14" s="159">
        <f>I14/F14^2</f>
        <v>0.39435731025779702</v>
      </c>
      <c r="K14" s="158">
        <f>J14*E14</f>
        <v>307.83531638723639</v>
      </c>
      <c r="L14" s="158">
        <f t="shared" si="2"/>
        <v>261.36160714285722</v>
      </c>
      <c r="M14" s="158">
        <f t="shared" si="2"/>
        <v>327.85200000000003</v>
      </c>
      <c r="N14" s="157">
        <f t="shared" si="2"/>
        <v>567.61080332409983</v>
      </c>
    </row>
    <row r="15" spans="1:14" x14ac:dyDescent="0.2">
      <c r="A15" s="32" t="s">
        <v>17</v>
      </c>
      <c r="B15" s="171">
        <v>2.4329999999999998</v>
      </c>
      <c r="C15" s="170">
        <f t="shared" si="0"/>
        <v>2.0274999999999998E-2</v>
      </c>
      <c r="D15" s="107">
        <v>3.49E-3</v>
      </c>
      <c r="E15" s="169">
        <v>780.6</v>
      </c>
      <c r="F15" s="168">
        <v>25.8</v>
      </c>
      <c r="G15" s="167">
        <v>10690</v>
      </c>
      <c r="H15" s="166">
        <v>1236.8</v>
      </c>
      <c r="I15" s="165">
        <f>(G14-G16)/2</f>
        <v>520.5</v>
      </c>
      <c r="J15" s="164">
        <f>I15/F15^2</f>
        <v>0.78195420948260319</v>
      </c>
      <c r="K15" s="164">
        <f>J15*E15</f>
        <v>610.3934559221201</v>
      </c>
      <c r="L15" s="163">
        <f t="shared" si="2"/>
        <v>518.24272959183679</v>
      </c>
      <c r="M15" s="163">
        <f t="shared" si="2"/>
        <v>650.08368000000007</v>
      </c>
      <c r="N15" s="162">
        <f t="shared" si="2"/>
        <v>1125.491135734072</v>
      </c>
    </row>
    <row r="16" spans="1:14" x14ac:dyDescent="0.2">
      <c r="A16" s="12" t="s">
        <v>18</v>
      </c>
      <c r="B16" s="140">
        <v>3.79</v>
      </c>
      <c r="C16" s="139">
        <f t="shared" si="0"/>
        <v>3.1583333333333331E-2</v>
      </c>
      <c r="D16" s="161">
        <f>0.7548/120</f>
        <v>6.2900000000000005E-3</v>
      </c>
      <c r="E16" s="137">
        <v>780.6</v>
      </c>
      <c r="F16" s="160">
        <v>25.8</v>
      </c>
      <c r="G16" s="136">
        <f>10193-19</f>
        <v>10174</v>
      </c>
      <c r="H16" s="135">
        <v>1350.1</v>
      </c>
      <c r="I16" s="123">
        <f>(G15-G16)/2</f>
        <v>258</v>
      </c>
      <c r="J16" s="159">
        <f>I16/F16^2</f>
        <v>0.38759689922480622</v>
      </c>
      <c r="K16" s="158">
        <f>J16*E16</f>
        <v>302.55813953488376</v>
      </c>
      <c r="L16" s="158">
        <f t="shared" si="2"/>
        <v>256.88112244897968</v>
      </c>
      <c r="M16" s="158">
        <f t="shared" si="2"/>
        <v>322.23168000000004</v>
      </c>
      <c r="N16" s="157">
        <f t="shared" si="2"/>
        <v>557.88033240997243</v>
      </c>
    </row>
    <row r="17" spans="1:14" x14ac:dyDescent="0.2">
      <c r="A17" s="12" t="s">
        <v>19</v>
      </c>
      <c r="B17" s="140">
        <v>7.8156999999999996</v>
      </c>
      <c r="C17" s="139">
        <f t="shared" si="0"/>
        <v>6.5130833333333332E-2</v>
      </c>
      <c r="D17" s="161">
        <f>0.4724/120</f>
        <v>3.9366666666666664E-3</v>
      </c>
      <c r="E17" s="137">
        <v>780.6</v>
      </c>
      <c r="F17" s="160">
        <v>25.8</v>
      </c>
      <c r="G17" s="136">
        <v>10000</v>
      </c>
      <c r="H17" s="135">
        <v>1349.8</v>
      </c>
      <c r="I17" s="123">
        <f>G16-G17</f>
        <v>174</v>
      </c>
      <c r="J17" s="159">
        <f>I17/F17^2</f>
        <v>0.26140255994231115</v>
      </c>
      <c r="K17" s="158">
        <f>J17*E17</f>
        <v>204.0508382909681</v>
      </c>
      <c r="L17" s="158">
        <f t="shared" si="2"/>
        <v>173.24540816326532</v>
      </c>
      <c r="M17" s="158">
        <f t="shared" si="2"/>
        <v>217.31904</v>
      </c>
      <c r="N17" s="157">
        <f t="shared" si="2"/>
        <v>376.24487534626041</v>
      </c>
    </row>
    <row r="18" spans="1:14" x14ac:dyDescent="0.2">
      <c r="A18" s="23" t="s">
        <v>20</v>
      </c>
      <c r="B18" s="156">
        <v>1.8080000000000001</v>
      </c>
      <c r="C18" s="155">
        <f t="shared" si="0"/>
        <v>1.5066666666666667E-2</v>
      </c>
      <c r="D18" s="154"/>
      <c r="E18" s="154"/>
      <c r="F18" s="153">
        <v>2667.5</v>
      </c>
      <c r="G18" s="152">
        <v>10000</v>
      </c>
      <c r="H18" s="151">
        <v>1349.8</v>
      </c>
      <c r="I18" s="148">
        <f t="shared" ref="I18:N18" si="3">SUM(I13:I17)</f>
        <v>1380</v>
      </c>
      <c r="J18" s="150">
        <f t="shared" si="3"/>
        <v>2.0731927167838471</v>
      </c>
      <c r="K18" s="149">
        <f t="shared" si="3"/>
        <v>1618.3342347214714</v>
      </c>
      <c r="L18" s="148">
        <f t="shared" si="3"/>
        <v>1374.0153061224491</v>
      </c>
      <c r="M18" s="148">
        <f t="shared" si="3"/>
        <v>1723.5648000000003</v>
      </c>
      <c r="N18" s="148">
        <f t="shared" si="3"/>
        <v>2984.0110803324105</v>
      </c>
    </row>
    <row r="19" spans="1:14" x14ac:dyDescent="0.2">
      <c r="A19" s="23" t="s">
        <v>61</v>
      </c>
      <c r="B19" s="147"/>
      <c r="C19" s="146"/>
      <c r="D19" s="145"/>
      <c r="E19" s="145"/>
      <c r="F19" s="145"/>
      <c r="G19" s="144"/>
      <c r="H19" s="143"/>
      <c r="I19" s="123"/>
      <c r="J19" s="142">
        <f>I18/F18^2</f>
        <v>1.9394126776806802E-4</v>
      </c>
      <c r="K19" s="141">
        <f>K18*F13^2/$E$17</f>
        <v>1380.0000000000002</v>
      </c>
      <c r="L19" s="141">
        <f>L18*L$7^2/$E$17</f>
        <v>1380.0000000000002</v>
      </c>
      <c r="M19" s="141">
        <f>M18*M$7^2/$E$17</f>
        <v>1380.0000000000002</v>
      </c>
      <c r="N19" s="141">
        <f>N18*N$7^2/$E$17</f>
        <v>1380.0000000000002</v>
      </c>
    </row>
    <row r="20" spans="1:14" x14ac:dyDescent="0.2">
      <c r="A20" s="12" t="s">
        <v>21</v>
      </c>
      <c r="B20" s="140">
        <v>2.2320000000000002</v>
      </c>
      <c r="C20" s="139">
        <f t="shared" ref="C20:C25" si="4">B20/$B$4</f>
        <v>1.8600000000000002E-2</v>
      </c>
      <c r="D20" s="138">
        <v>0.37540000000000001</v>
      </c>
      <c r="E20" s="138">
        <v>780.6</v>
      </c>
      <c r="F20" s="137">
        <v>2667.5</v>
      </c>
      <c r="G20" s="136">
        <v>9939.5</v>
      </c>
      <c r="H20" s="135">
        <v>1347.2</v>
      </c>
      <c r="I20" s="123">
        <f>G18-G20</f>
        <v>60.5</v>
      </c>
      <c r="J20" s="134">
        <f>I20/F20^2</f>
        <v>8.5024976086725468E-6</v>
      </c>
      <c r="K20" s="133">
        <f>J20*E20</f>
        <v>6.6370496333297904E-3</v>
      </c>
      <c r="L20" s="122"/>
      <c r="M20" s="122"/>
      <c r="N20" s="92"/>
    </row>
    <row r="21" spans="1:14" x14ac:dyDescent="0.2">
      <c r="A21" s="48" t="s">
        <v>22</v>
      </c>
      <c r="B21" s="129">
        <v>2.1240000000000001</v>
      </c>
      <c r="C21" s="128">
        <f t="shared" si="4"/>
        <v>1.77E-2</v>
      </c>
      <c r="D21" s="127">
        <v>0.6774</v>
      </c>
      <c r="E21" s="127">
        <v>780.6</v>
      </c>
      <c r="F21" s="126">
        <v>2667.5</v>
      </c>
      <c r="G21" s="125">
        <v>9939.5</v>
      </c>
      <c r="H21" s="124">
        <v>1344.2</v>
      </c>
      <c r="I21" s="132">
        <f>G21-G25</f>
        <v>139.5</v>
      </c>
      <c r="J21" s="131">
        <f>I21/F21^2</f>
        <v>1.960493250264166E-5</v>
      </c>
      <c r="K21" s="130">
        <f>J21*E21</f>
        <v>1.530361031156208E-2</v>
      </c>
      <c r="L21" s="122"/>
      <c r="M21" s="122"/>
      <c r="N21" s="92"/>
    </row>
    <row r="22" spans="1:14" x14ac:dyDescent="0.2">
      <c r="A22" s="48" t="s">
        <v>23</v>
      </c>
      <c r="B22" s="129">
        <v>2.4380000000000002</v>
      </c>
      <c r="C22" s="128">
        <f t="shared" si="4"/>
        <v>2.0316666666666667E-2</v>
      </c>
      <c r="D22" s="127">
        <v>0.6774</v>
      </c>
      <c r="E22" s="127">
        <v>780.6</v>
      </c>
      <c r="F22" s="126">
        <v>2667.5</v>
      </c>
      <c r="G22" s="125">
        <v>9900</v>
      </c>
      <c r="H22" s="124">
        <v>1344.2</v>
      </c>
      <c r="I22" s="123"/>
      <c r="J22" s="122"/>
      <c r="K22" s="122"/>
      <c r="L22" s="122"/>
      <c r="M22" s="122"/>
      <c r="N22" s="92"/>
    </row>
    <row r="23" spans="1:14" x14ac:dyDescent="0.2">
      <c r="A23" s="48" t="s">
        <v>24</v>
      </c>
      <c r="B23" s="129">
        <v>9.1880000000000006</v>
      </c>
      <c r="C23" s="128">
        <f t="shared" si="4"/>
        <v>7.6566666666666672E-2</v>
      </c>
      <c r="D23" s="127">
        <v>0.6774</v>
      </c>
      <c r="E23" s="127">
        <v>780.6</v>
      </c>
      <c r="F23" s="126">
        <v>2667.5</v>
      </c>
      <c r="G23" s="125">
        <v>9879</v>
      </c>
      <c r="H23" s="124">
        <v>1235.2</v>
      </c>
      <c r="I23" s="123"/>
      <c r="J23" s="122"/>
      <c r="K23" s="122"/>
      <c r="L23" s="122"/>
      <c r="M23" s="122"/>
      <c r="N23" s="92"/>
    </row>
    <row r="24" spans="1:14" x14ac:dyDescent="0.2">
      <c r="A24" s="48" t="s">
        <v>25</v>
      </c>
      <c r="B24" s="129">
        <v>2.1659999999999999</v>
      </c>
      <c r="C24" s="128">
        <f t="shared" si="4"/>
        <v>1.805E-2</v>
      </c>
      <c r="D24" s="127">
        <v>0.6774</v>
      </c>
      <c r="E24" s="127">
        <v>780.6</v>
      </c>
      <c r="F24" s="126">
        <v>2667.5</v>
      </c>
      <c r="G24" s="125">
        <v>9859</v>
      </c>
      <c r="H24" s="124">
        <v>1133.9000000000001</v>
      </c>
      <c r="I24" s="123"/>
      <c r="J24" s="122"/>
      <c r="K24" s="122"/>
      <c r="L24" s="122"/>
      <c r="M24" s="122"/>
      <c r="N24" s="92"/>
    </row>
    <row r="25" spans="1:14" x14ac:dyDescent="0.2">
      <c r="A25" s="48" t="s">
        <v>26</v>
      </c>
      <c r="B25" s="129">
        <v>2.3969999999999998</v>
      </c>
      <c r="C25" s="128">
        <f t="shared" si="4"/>
        <v>1.9975E-2</v>
      </c>
      <c r="D25" s="127">
        <v>0.6774</v>
      </c>
      <c r="E25" s="127">
        <v>780.6</v>
      </c>
      <c r="F25" s="126">
        <v>2667.5</v>
      </c>
      <c r="G25" s="125">
        <v>9800</v>
      </c>
      <c r="H25" s="124">
        <v>1133.9000000000001</v>
      </c>
      <c r="I25" s="123"/>
      <c r="J25" s="122"/>
      <c r="K25" s="122"/>
      <c r="L25" s="122"/>
      <c r="M25" s="122"/>
      <c r="N25" s="92"/>
    </row>
    <row r="26" spans="1:14" ht="13.5" thickBot="1" x14ac:dyDescent="0.25">
      <c r="A26" s="121" t="s">
        <v>60</v>
      </c>
      <c r="B26" s="120"/>
      <c r="C26" s="119"/>
      <c r="D26" s="118"/>
      <c r="E26" s="118">
        <v>780.6</v>
      </c>
      <c r="F26" s="117">
        <v>2667.5</v>
      </c>
      <c r="G26" s="116"/>
      <c r="H26" s="115"/>
      <c r="I26" s="114">
        <f>G18-G25</f>
        <v>200</v>
      </c>
      <c r="J26" s="113">
        <f>I26/F26^2</f>
        <v>2.8107430111314207E-5</v>
      </c>
      <c r="K26" s="113">
        <f>J26*E26</f>
        <v>2.1940659944891871E-2</v>
      </c>
      <c r="L26" s="113"/>
      <c r="M26" s="113"/>
      <c r="N26" s="95"/>
    </row>
    <row r="27" spans="1:14" ht="13.5" thickBot="1" x14ac:dyDescent="0.25">
      <c r="B27" s="63"/>
      <c r="C27" s="64"/>
      <c r="D27" s="64"/>
      <c r="E27" s="64"/>
      <c r="F27" s="64"/>
      <c r="I27" s="112">
        <f>I8+I10+I12+I20+I21</f>
        <v>1731</v>
      </c>
      <c r="J27" s="111">
        <f>G10-G9</f>
        <v>1731</v>
      </c>
      <c r="K27" s="111"/>
    </row>
    <row r="28" spans="1:14" x14ac:dyDescent="0.2">
      <c r="A28" s="87" t="s">
        <v>37</v>
      </c>
      <c r="B28" s="88">
        <v>2651</v>
      </c>
      <c r="C28" s="89" t="s">
        <v>38</v>
      </c>
      <c r="D28" s="98"/>
      <c r="E28" s="98"/>
      <c r="F28" s="98"/>
      <c r="J28" s="111">
        <v>1.8939999999999999</v>
      </c>
      <c r="K28" s="111">
        <v>1</v>
      </c>
    </row>
    <row r="29" spans="1:14" x14ac:dyDescent="0.2">
      <c r="A29" s="90" t="s">
        <v>39</v>
      </c>
      <c r="B29" s="91">
        <f>B28/B3</f>
        <v>5.5229166666666663</v>
      </c>
      <c r="C29" s="92" t="s">
        <v>38</v>
      </c>
      <c r="D29" s="98"/>
      <c r="E29" s="98"/>
      <c r="F29" s="98"/>
      <c r="H29" t="s">
        <v>59</v>
      </c>
      <c r="J29" s="111">
        <f>J28*$F$26</f>
        <v>5052.2449999999999</v>
      </c>
      <c r="K29" s="111">
        <f>K28*$F$26</f>
        <v>2667.5</v>
      </c>
    </row>
    <row r="30" spans="1:14" x14ac:dyDescent="0.2">
      <c r="A30" s="90" t="s">
        <v>40</v>
      </c>
      <c r="B30" s="91">
        <v>6.26</v>
      </c>
      <c r="C30" s="92" t="s">
        <v>38</v>
      </c>
      <c r="D30" s="98"/>
      <c r="E30" s="98"/>
      <c r="I30" s="109" t="s">
        <v>58</v>
      </c>
      <c r="J30" s="110"/>
    </row>
    <row r="31" spans="1:14" x14ac:dyDescent="0.2">
      <c r="A31" s="90" t="s">
        <v>41</v>
      </c>
      <c r="B31" s="91">
        <v>6.8</v>
      </c>
      <c r="C31" s="92" t="s">
        <v>38</v>
      </c>
      <c r="D31" s="98"/>
      <c r="E31" s="98"/>
      <c r="I31" s="109" t="s">
        <v>57</v>
      </c>
      <c r="J31" s="110">
        <v>2400</v>
      </c>
      <c r="K31" s="110">
        <v>2400</v>
      </c>
    </row>
    <row r="32" spans="1:14" ht="13.5" thickBot="1" x14ac:dyDescent="0.25">
      <c r="A32" s="93" t="s">
        <v>42</v>
      </c>
      <c r="B32" s="94">
        <f>H16-H14</f>
        <v>214.39999999999986</v>
      </c>
      <c r="C32" s="95" t="s">
        <v>43</v>
      </c>
      <c r="D32" s="98"/>
      <c r="E32" s="98"/>
      <c r="I32" s="109" t="s">
        <v>56</v>
      </c>
      <c r="J32" s="108">
        <f>-(J31-I9)/F9^2</f>
        <v>-9.4019353722346019E-5</v>
      </c>
      <c r="K32" s="108">
        <f>J32</f>
        <v>-9.4019353722346019E-5</v>
      </c>
    </row>
    <row r="33" spans="1:11" ht="13.5" thickBot="1" x14ac:dyDescent="0.25">
      <c r="B33" s="96"/>
      <c r="E33" s="107">
        <v>3.4250000000000001E-3</v>
      </c>
      <c r="I33" s="106" t="s">
        <v>55</v>
      </c>
      <c r="J33" s="105">
        <f>J31+J32*J29^2</f>
        <v>0.13911600000028557</v>
      </c>
      <c r="K33" s="105">
        <f>K31+K32*K29^2</f>
        <v>1731</v>
      </c>
    </row>
    <row r="34" spans="1:11" x14ac:dyDescent="0.2">
      <c r="A34" s="87" t="s">
        <v>44</v>
      </c>
      <c r="B34" s="88">
        <v>27</v>
      </c>
      <c r="C34" s="89" t="s">
        <v>45</v>
      </c>
      <c r="D34" s="98"/>
      <c r="E34" s="98"/>
      <c r="F34" s="98"/>
    </row>
    <row r="35" spans="1:11" x14ac:dyDescent="0.2">
      <c r="A35" s="90" t="s">
        <v>47</v>
      </c>
      <c r="B35" s="98">
        <v>19</v>
      </c>
      <c r="C35" s="92" t="s">
        <v>45</v>
      </c>
      <c r="D35" s="98"/>
      <c r="E35" s="98"/>
      <c r="F35" s="98"/>
    </row>
    <row r="36" spans="1:11" ht="13.5" thickBot="1" x14ac:dyDescent="0.25">
      <c r="A36" s="93" t="s">
        <v>48</v>
      </c>
      <c r="B36" s="99">
        <f>B29*1000/B32</f>
        <v>25.759872512437823</v>
      </c>
      <c r="C36" s="95" t="s">
        <v>45</v>
      </c>
      <c r="D36" s="98"/>
      <c r="E36" s="98"/>
      <c r="F36" s="98"/>
    </row>
    <row r="37" spans="1:11" ht="13.5" thickBot="1" x14ac:dyDescent="0.25"/>
    <row r="38" spans="1:11" x14ac:dyDescent="0.2">
      <c r="A38" s="87" t="s">
        <v>49</v>
      </c>
      <c r="B38" s="104">
        <v>3.49E-3</v>
      </c>
      <c r="C38" s="89" t="s">
        <v>50</v>
      </c>
      <c r="D38" s="98"/>
      <c r="E38" s="98"/>
      <c r="F38" s="98"/>
    </row>
    <row r="39" spans="1:11" x14ac:dyDescent="0.2">
      <c r="A39" s="90" t="s">
        <v>51</v>
      </c>
      <c r="B39" s="100">
        <f>B36/B38</f>
        <v>7381.0522958274569</v>
      </c>
      <c r="C39" s="92" t="s">
        <v>52</v>
      </c>
      <c r="D39" s="98"/>
      <c r="E39" s="98"/>
      <c r="F39" s="98"/>
    </row>
    <row r="40" spans="1:11" ht="13.5" thickBot="1" x14ac:dyDescent="0.25">
      <c r="A40" s="93" t="s">
        <v>53</v>
      </c>
      <c r="B40" s="103">
        <v>7.4000000000000003E-3</v>
      </c>
      <c r="C40" s="102" t="s">
        <v>54</v>
      </c>
      <c r="D40" s="98"/>
      <c r="E40" s="98"/>
      <c r="F40" s="98"/>
    </row>
  </sheetData>
  <mergeCells count="1"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workbookViewId="0">
      <selection activeCell="K19" sqref="K19"/>
    </sheetView>
  </sheetViews>
  <sheetFormatPr defaultRowHeight="12.75" x14ac:dyDescent="0.2"/>
  <cols>
    <col min="1" max="1" width="25.5703125" customWidth="1"/>
    <col min="2" max="2" width="6.28515625" customWidth="1"/>
    <col min="3" max="3" width="7.85546875" customWidth="1"/>
    <col min="5" max="5" width="8.140625" customWidth="1"/>
    <col min="6" max="6" width="7.140625" customWidth="1"/>
    <col min="7" max="7" width="7.5703125" customWidth="1"/>
    <col min="9" max="9" width="8.28515625" customWidth="1"/>
    <col min="10" max="10" width="10" bestFit="1" customWidth="1"/>
    <col min="11" max="11" width="9.140625" customWidth="1"/>
  </cols>
  <sheetData>
    <row r="3" spans="1:14" x14ac:dyDescent="0.2">
      <c r="A3" s="2" t="s">
        <v>0</v>
      </c>
      <c r="B3">
        <v>480</v>
      </c>
    </row>
    <row r="4" spans="1:14" x14ac:dyDescent="0.2">
      <c r="A4" t="s">
        <v>1</v>
      </c>
      <c r="B4">
        <f>B3/4</f>
        <v>120</v>
      </c>
      <c r="E4" t="s">
        <v>72</v>
      </c>
      <c r="F4">
        <v>52.63</v>
      </c>
    </row>
    <row r="5" spans="1:14" ht="13.5" thickBot="1" x14ac:dyDescent="0.25"/>
    <row r="6" spans="1:14" ht="26.25" thickBot="1" x14ac:dyDescent="0.25">
      <c r="A6" s="4" t="s">
        <v>2</v>
      </c>
      <c r="B6" s="199" t="s">
        <v>3</v>
      </c>
      <c r="C6" s="200"/>
      <c r="D6" s="193" t="s">
        <v>69</v>
      </c>
      <c r="E6" s="192" t="s">
        <v>68</v>
      </c>
      <c r="F6" s="191" t="s">
        <v>67</v>
      </c>
      <c r="G6" s="5" t="s">
        <v>4</v>
      </c>
      <c r="H6" s="5" t="s">
        <v>5</v>
      </c>
      <c r="I6" s="190" t="s">
        <v>66</v>
      </c>
      <c r="J6" s="189" t="s">
        <v>65</v>
      </c>
      <c r="K6" s="189" t="s">
        <v>64</v>
      </c>
      <c r="L6" s="189" t="s">
        <v>63</v>
      </c>
      <c r="M6" s="88"/>
      <c r="N6" s="89"/>
    </row>
    <row r="7" spans="1:14" ht="33" thickBot="1" x14ac:dyDescent="0.25">
      <c r="A7" s="6"/>
      <c r="B7" s="188" t="s">
        <v>7</v>
      </c>
      <c r="C7" s="187" t="s">
        <v>8</v>
      </c>
      <c r="D7" s="186" t="s">
        <v>62</v>
      </c>
      <c r="E7" s="185"/>
      <c r="F7" s="184"/>
      <c r="G7" s="11"/>
      <c r="H7" s="11"/>
      <c r="I7" s="183" t="s">
        <v>71</v>
      </c>
      <c r="J7" s="101"/>
      <c r="K7" s="101"/>
      <c r="L7" s="182">
        <v>28</v>
      </c>
      <c r="M7" s="182">
        <v>25</v>
      </c>
      <c r="N7" s="181">
        <v>19</v>
      </c>
    </row>
    <row r="8" spans="1:14" x14ac:dyDescent="0.2">
      <c r="A8" s="12" t="s">
        <v>11</v>
      </c>
      <c r="B8" s="129">
        <v>4.1769999999999996</v>
      </c>
      <c r="C8" s="128">
        <f>B8/$B$4</f>
        <v>3.480833333333333E-2</v>
      </c>
      <c r="D8" s="127">
        <v>0.22209999999999999</v>
      </c>
      <c r="E8" s="127">
        <v>780.6</v>
      </c>
      <c r="F8" s="126">
        <v>2667.5</v>
      </c>
      <c r="G8" s="180">
        <v>9800</v>
      </c>
      <c r="H8" s="179">
        <v>1133.8</v>
      </c>
      <c r="I8" s="178">
        <v>121</v>
      </c>
      <c r="J8" s="177">
        <f>I8/F8^2</f>
        <v>1.7004995217345094E-5</v>
      </c>
      <c r="K8" s="176">
        <f>J8*E8</f>
        <v>1.3274099266659581E-2</v>
      </c>
      <c r="L8" s="175"/>
      <c r="M8" s="175"/>
      <c r="N8" s="89"/>
    </row>
    <row r="9" spans="1:14" x14ac:dyDescent="0.2">
      <c r="A9" s="12" t="s">
        <v>12</v>
      </c>
      <c r="B9" s="140">
        <v>0.13900000000000001</v>
      </c>
      <c r="C9" s="139">
        <f>B9/$B$4</f>
        <v>1.1583333333333335E-3</v>
      </c>
      <c r="D9" s="138"/>
      <c r="E9" s="138">
        <v>780.6</v>
      </c>
      <c r="F9" s="137">
        <v>2667.5</v>
      </c>
      <c r="G9" s="136">
        <v>9679</v>
      </c>
      <c r="H9" s="135">
        <v>1133.8</v>
      </c>
      <c r="I9" s="123">
        <f>G10-G9</f>
        <v>1731</v>
      </c>
      <c r="J9" s="122"/>
      <c r="K9" s="122"/>
      <c r="L9" s="122"/>
      <c r="M9" s="122"/>
      <c r="N9" s="92"/>
    </row>
    <row r="10" spans="1:14" x14ac:dyDescent="0.2">
      <c r="A10" s="12" t="s">
        <v>13</v>
      </c>
      <c r="B10" s="140">
        <v>1.7509999999999999</v>
      </c>
      <c r="C10" s="139">
        <f>B10/$B$4</f>
        <v>1.4591666666666666E-2</v>
      </c>
      <c r="D10" s="138"/>
      <c r="E10" s="138">
        <v>780.6</v>
      </c>
      <c r="F10" s="137">
        <v>2667.5</v>
      </c>
      <c r="G10" s="136">
        <v>11410</v>
      </c>
      <c r="H10" s="135">
        <v>1135.9000000000001</v>
      </c>
      <c r="I10" s="123">
        <f>G10-G12</f>
        <v>30</v>
      </c>
      <c r="J10" s="122"/>
      <c r="K10" s="122"/>
      <c r="L10" s="122"/>
      <c r="M10" s="122"/>
      <c r="N10" s="92"/>
    </row>
    <row r="11" spans="1:14" x14ac:dyDescent="0.2">
      <c r="A11" s="12"/>
      <c r="B11" s="140"/>
      <c r="C11" s="139"/>
      <c r="D11" s="138"/>
      <c r="E11" s="138"/>
      <c r="F11" s="138"/>
      <c r="G11" s="136"/>
      <c r="H11" s="135"/>
      <c r="I11" s="123"/>
      <c r="J11" s="122"/>
      <c r="K11" s="122"/>
      <c r="L11" s="122"/>
      <c r="M11" s="122"/>
      <c r="N11" s="92"/>
    </row>
    <row r="12" spans="1:14" x14ac:dyDescent="0.2">
      <c r="A12" s="23" t="s">
        <v>14</v>
      </c>
      <c r="B12" s="156">
        <v>1.41</v>
      </c>
      <c r="C12" s="155">
        <f t="shared" ref="C12:C18" si="0">B12/$B$4</f>
        <v>1.175E-2</v>
      </c>
      <c r="D12" s="154"/>
      <c r="E12" s="154"/>
      <c r="F12" s="153">
        <v>2667.5</v>
      </c>
      <c r="G12" s="152">
        <v>11380</v>
      </c>
      <c r="H12" s="151">
        <v>1135.8</v>
      </c>
      <c r="I12" s="148">
        <f>G12-G18</f>
        <v>1380</v>
      </c>
      <c r="J12" s="173"/>
      <c r="K12" s="173"/>
      <c r="L12" s="173">
        <f>($F$13/L7)^2</f>
        <v>0.84903061224489806</v>
      </c>
      <c r="M12" s="173">
        <f>($F$13/M7)^2</f>
        <v>1.065024</v>
      </c>
      <c r="N12" s="172">
        <f>($F$13/N7)^2</f>
        <v>1.8438781163434903</v>
      </c>
    </row>
    <row r="13" spans="1:14" x14ac:dyDescent="0.2">
      <c r="A13" s="12" t="s">
        <v>15</v>
      </c>
      <c r="B13" s="140">
        <v>4.2484999999999999</v>
      </c>
      <c r="C13" s="139">
        <f t="shared" si="0"/>
        <v>3.5404166666666667E-2</v>
      </c>
      <c r="D13" s="161">
        <f>0.4332/120</f>
        <v>3.6099999999999999E-3</v>
      </c>
      <c r="E13" s="137">
        <v>780.6</v>
      </c>
      <c r="F13" s="160">
        <v>25.8</v>
      </c>
      <c r="G13" s="136">
        <v>11380</v>
      </c>
      <c r="H13" s="135">
        <v>1135.8</v>
      </c>
      <c r="I13" s="123">
        <f>G13-G14</f>
        <v>165</v>
      </c>
      <c r="J13" s="159">
        <f>I13/F13^2</f>
        <v>0.24788173787632956</v>
      </c>
      <c r="K13" s="158">
        <f>J13*E13</f>
        <v>193.49648458626285</v>
      </c>
      <c r="L13" s="158">
        <f t="shared" ref="L13:N17" si="1">$K13*L$12</f>
        <v>164.28443877551024</v>
      </c>
      <c r="M13" s="158">
        <f t="shared" si="1"/>
        <v>206.07840000000002</v>
      </c>
      <c r="N13" s="157">
        <f t="shared" si="1"/>
        <v>356.78393351800554</v>
      </c>
    </row>
    <row r="14" spans="1:14" x14ac:dyDescent="0.2">
      <c r="A14" s="12" t="s">
        <v>16</v>
      </c>
      <c r="B14" s="140">
        <v>3.7759999999999998</v>
      </c>
      <c r="C14" s="139">
        <f t="shared" si="0"/>
        <v>3.1466666666666664E-2</v>
      </c>
      <c r="D14" s="161">
        <f>0.7475/120</f>
        <v>6.2291666666666667E-3</v>
      </c>
      <c r="E14" s="137">
        <v>780.6</v>
      </c>
      <c r="F14" s="160">
        <v>25.8</v>
      </c>
      <c r="G14" s="136">
        <v>11215</v>
      </c>
      <c r="H14" s="135">
        <v>1135.7</v>
      </c>
      <c r="I14" s="123">
        <f>(G14-G15)/2</f>
        <v>262.5</v>
      </c>
      <c r="J14" s="159">
        <f>I14/F14^2</f>
        <v>0.39435731025779702</v>
      </c>
      <c r="K14" s="158">
        <f>J14*E14</f>
        <v>307.83531638723639</v>
      </c>
      <c r="L14" s="158">
        <f t="shared" si="1"/>
        <v>261.36160714285722</v>
      </c>
      <c r="M14" s="158">
        <f t="shared" si="1"/>
        <v>327.85200000000003</v>
      </c>
      <c r="N14" s="157">
        <f t="shared" si="1"/>
        <v>567.61080332409983</v>
      </c>
    </row>
    <row r="15" spans="1:14" x14ac:dyDescent="0.2">
      <c r="A15" s="32" t="s">
        <v>17</v>
      </c>
      <c r="B15" s="171">
        <v>2.4329999999999998</v>
      </c>
      <c r="C15" s="170">
        <f t="shared" si="0"/>
        <v>2.0274999999999998E-2</v>
      </c>
      <c r="D15" s="107">
        <v>3.49E-3</v>
      </c>
      <c r="E15" s="169">
        <v>780.6</v>
      </c>
      <c r="F15" s="168">
        <v>25.8</v>
      </c>
      <c r="G15" s="167">
        <v>10690</v>
      </c>
      <c r="H15" s="166">
        <v>1236.8</v>
      </c>
      <c r="I15" s="165">
        <f>(G14-G16)/2</f>
        <v>520.5</v>
      </c>
      <c r="J15" s="164">
        <f>I15/F15^2</f>
        <v>0.78195420948260319</v>
      </c>
      <c r="K15" s="164">
        <f>J15*E15</f>
        <v>610.3934559221201</v>
      </c>
      <c r="L15" s="163">
        <f t="shared" si="1"/>
        <v>518.24272959183679</v>
      </c>
      <c r="M15" s="163">
        <f t="shared" si="1"/>
        <v>650.08368000000007</v>
      </c>
      <c r="N15" s="162">
        <f t="shared" si="1"/>
        <v>1125.491135734072</v>
      </c>
    </row>
    <row r="16" spans="1:14" x14ac:dyDescent="0.2">
      <c r="A16" s="12" t="s">
        <v>18</v>
      </c>
      <c r="B16" s="140">
        <v>3.79</v>
      </c>
      <c r="C16" s="139">
        <f t="shared" si="0"/>
        <v>3.1583333333333331E-2</v>
      </c>
      <c r="D16" s="161">
        <f>0.7548/120</f>
        <v>6.2900000000000005E-3</v>
      </c>
      <c r="E16" s="137">
        <v>780.6</v>
      </c>
      <c r="F16" s="160">
        <v>25.8</v>
      </c>
      <c r="G16" s="136">
        <f>10193-19</f>
        <v>10174</v>
      </c>
      <c r="H16" s="135">
        <v>1350.1</v>
      </c>
      <c r="I16" s="123">
        <f>(G15-G16)/2</f>
        <v>258</v>
      </c>
      <c r="J16" s="159">
        <f>I16/F16^2</f>
        <v>0.38759689922480622</v>
      </c>
      <c r="K16" s="158">
        <f>J16*E16</f>
        <v>302.55813953488376</v>
      </c>
      <c r="L16" s="158">
        <f t="shared" si="1"/>
        <v>256.88112244897968</v>
      </c>
      <c r="M16" s="158">
        <f t="shared" si="1"/>
        <v>322.23168000000004</v>
      </c>
      <c r="N16" s="157">
        <f t="shared" si="1"/>
        <v>557.88033240997243</v>
      </c>
    </row>
    <row r="17" spans="1:14" x14ac:dyDescent="0.2">
      <c r="A17" s="12" t="s">
        <v>19</v>
      </c>
      <c r="B17" s="140">
        <v>7.8156999999999996</v>
      </c>
      <c r="C17" s="139">
        <f t="shared" si="0"/>
        <v>6.5130833333333332E-2</v>
      </c>
      <c r="D17" s="161">
        <f>0.4724/120</f>
        <v>3.9366666666666664E-3</v>
      </c>
      <c r="E17" s="137">
        <v>780.6</v>
      </c>
      <c r="F17" s="160">
        <v>25.8</v>
      </c>
      <c r="G17" s="136">
        <v>10000</v>
      </c>
      <c r="H17" s="135">
        <v>1349.8</v>
      </c>
      <c r="I17" s="123">
        <f>G16-G17</f>
        <v>174</v>
      </c>
      <c r="J17" s="159">
        <f>I17/F17^2</f>
        <v>0.26140255994231115</v>
      </c>
      <c r="K17" s="158">
        <f>J17*E17</f>
        <v>204.0508382909681</v>
      </c>
      <c r="L17" s="158">
        <f t="shared" si="1"/>
        <v>173.24540816326532</v>
      </c>
      <c r="M17" s="158">
        <f t="shared" si="1"/>
        <v>217.31904</v>
      </c>
      <c r="N17" s="157">
        <f t="shared" si="1"/>
        <v>376.24487534626041</v>
      </c>
    </row>
    <row r="18" spans="1:14" x14ac:dyDescent="0.2">
      <c r="A18" s="23" t="s">
        <v>20</v>
      </c>
      <c r="B18" s="156">
        <v>1.8080000000000001</v>
      </c>
      <c r="C18" s="155">
        <f t="shared" si="0"/>
        <v>1.5066666666666667E-2</v>
      </c>
      <c r="D18" s="154"/>
      <c r="E18" s="154"/>
      <c r="F18" s="153">
        <v>2667.5</v>
      </c>
      <c r="G18" s="152">
        <v>10000</v>
      </c>
      <c r="H18" s="151">
        <v>1349.8</v>
      </c>
      <c r="I18" s="148">
        <f t="shared" ref="I18:N18" si="2">SUM(I13:I17)</f>
        <v>1380</v>
      </c>
      <c r="J18" s="150">
        <f t="shared" si="2"/>
        <v>2.0731927167838471</v>
      </c>
      <c r="K18" s="149">
        <f t="shared" si="2"/>
        <v>1618.3342347214714</v>
      </c>
      <c r="L18" s="148">
        <f t="shared" si="2"/>
        <v>1374.0153061224491</v>
      </c>
      <c r="M18" s="148">
        <f t="shared" si="2"/>
        <v>1723.5648000000003</v>
      </c>
      <c r="N18" s="148">
        <f t="shared" si="2"/>
        <v>2984.0110803324105</v>
      </c>
    </row>
    <row r="19" spans="1:14" x14ac:dyDescent="0.2">
      <c r="A19" s="23" t="s">
        <v>61</v>
      </c>
      <c r="B19" s="147"/>
      <c r="C19" s="146"/>
      <c r="D19" s="145"/>
      <c r="E19" s="145"/>
      <c r="F19" s="145"/>
      <c r="G19" s="144"/>
      <c r="H19" s="143"/>
      <c r="I19" s="123"/>
      <c r="J19" s="142">
        <f>I18/F18^2</f>
        <v>1.9394126776806802E-4</v>
      </c>
      <c r="K19" s="141">
        <f>K18*F13^2/F4</f>
        <v>20467.946038381157</v>
      </c>
      <c r="L19" s="141">
        <f>L18*L$7^2/F4</f>
        <v>20467.946038381157</v>
      </c>
      <c r="M19" s="141">
        <f>M18*M$7^2/F4</f>
        <v>20467.946038381157</v>
      </c>
      <c r="N19" s="141">
        <f>N18*N$7^2/F4</f>
        <v>20467.946038381157</v>
      </c>
    </row>
    <row r="20" spans="1:14" x14ac:dyDescent="0.2">
      <c r="A20" s="12" t="s">
        <v>21</v>
      </c>
      <c r="B20" s="140">
        <v>2.2320000000000002</v>
      </c>
      <c r="C20" s="139">
        <f t="shared" ref="C20:C25" si="3">B20/$B$4</f>
        <v>1.8600000000000002E-2</v>
      </c>
      <c r="D20" s="138">
        <v>0.37540000000000001</v>
      </c>
      <c r="E20" s="138">
        <v>780.6</v>
      </c>
      <c r="F20" s="137">
        <v>2667.5</v>
      </c>
      <c r="G20" s="136">
        <v>9939.5</v>
      </c>
      <c r="H20" s="135">
        <v>1347.2</v>
      </c>
      <c r="I20" s="123">
        <f>G18-G20</f>
        <v>60.5</v>
      </c>
      <c r="J20" s="134">
        <f>I20/F20^2</f>
        <v>8.5024976086725468E-6</v>
      </c>
      <c r="K20" s="133">
        <f>J20*E20</f>
        <v>6.6370496333297904E-3</v>
      </c>
      <c r="L20" s="122"/>
      <c r="M20" s="122"/>
      <c r="N20" s="92"/>
    </row>
    <row r="21" spans="1:14" x14ac:dyDescent="0.2">
      <c r="A21" s="48" t="s">
        <v>22</v>
      </c>
      <c r="B21" s="129">
        <v>2.1240000000000001</v>
      </c>
      <c r="C21" s="128">
        <f t="shared" si="3"/>
        <v>1.77E-2</v>
      </c>
      <c r="D21" s="127">
        <v>0.6774</v>
      </c>
      <c r="E21" s="127">
        <v>780.6</v>
      </c>
      <c r="F21" s="126">
        <v>2667.5</v>
      </c>
      <c r="G21" s="125">
        <v>9939.5</v>
      </c>
      <c r="H21" s="124">
        <v>1344.2</v>
      </c>
      <c r="I21" s="132">
        <f>G21-G25</f>
        <v>139.5</v>
      </c>
      <c r="J21" s="131">
        <f>I21/F21^2</f>
        <v>1.960493250264166E-5</v>
      </c>
      <c r="K21" s="130">
        <f>J21*E21</f>
        <v>1.530361031156208E-2</v>
      </c>
      <c r="L21" s="122"/>
      <c r="M21" s="122"/>
      <c r="N21" s="92"/>
    </row>
    <row r="22" spans="1:14" x14ac:dyDescent="0.2">
      <c r="A22" s="48" t="s">
        <v>23</v>
      </c>
      <c r="B22" s="129">
        <v>2.4380000000000002</v>
      </c>
      <c r="C22" s="128">
        <f t="shared" si="3"/>
        <v>2.0316666666666667E-2</v>
      </c>
      <c r="D22" s="127">
        <v>0.6774</v>
      </c>
      <c r="E22" s="127">
        <v>780.6</v>
      </c>
      <c r="F22" s="126">
        <v>2667.5</v>
      </c>
      <c r="G22" s="125">
        <v>9900</v>
      </c>
      <c r="H22" s="124">
        <v>1344.2</v>
      </c>
      <c r="I22" s="123"/>
      <c r="J22" s="122"/>
      <c r="K22" s="122"/>
      <c r="L22" s="122"/>
      <c r="M22" s="122"/>
      <c r="N22" s="92"/>
    </row>
    <row r="23" spans="1:14" x14ac:dyDescent="0.2">
      <c r="A23" s="48" t="s">
        <v>24</v>
      </c>
      <c r="B23" s="129">
        <v>9.1880000000000006</v>
      </c>
      <c r="C23" s="128">
        <f t="shared" si="3"/>
        <v>7.6566666666666672E-2</v>
      </c>
      <c r="D23" s="127">
        <v>0.6774</v>
      </c>
      <c r="E23" s="127">
        <v>780.6</v>
      </c>
      <c r="F23" s="126">
        <v>2667.5</v>
      </c>
      <c r="G23" s="125">
        <v>9879</v>
      </c>
      <c r="H23" s="124">
        <v>1235.2</v>
      </c>
      <c r="I23" s="123"/>
      <c r="J23" s="122"/>
      <c r="K23" s="122"/>
      <c r="L23" s="122"/>
      <c r="M23" s="122"/>
      <c r="N23" s="92"/>
    </row>
    <row r="24" spans="1:14" x14ac:dyDescent="0.2">
      <c r="A24" s="48" t="s">
        <v>25</v>
      </c>
      <c r="B24" s="129">
        <v>2.1659999999999999</v>
      </c>
      <c r="C24" s="128">
        <f t="shared" si="3"/>
        <v>1.805E-2</v>
      </c>
      <c r="D24" s="127">
        <v>0.6774</v>
      </c>
      <c r="E24" s="127">
        <v>780.6</v>
      </c>
      <c r="F24" s="126">
        <v>2667.5</v>
      </c>
      <c r="G24" s="125">
        <v>9859</v>
      </c>
      <c r="H24" s="124">
        <v>1133.9000000000001</v>
      </c>
      <c r="I24" s="123"/>
      <c r="J24" s="122"/>
      <c r="K24" s="122"/>
      <c r="L24" s="122"/>
      <c r="M24" s="122"/>
      <c r="N24" s="92"/>
    </row>
    <row r="25" spans="1:14" x14ac:dyDescent="0.2">
      <c r="A25" s="48" t="s">
        <v>26</v>
      </c>
      <c r="B25" s="129">
        <v>2.3969999999999998</v>
      </c>
      <c r="C25" s="128">
        <f t="shared" si="3"/>
        <v>1.9975E-2</v>
      </c>
      <c r="D25" s="127">
        <v>0.6774</v>
      </c>
      <c r="E25" s="127">
        <v>780.6</v>
      </c>
      <c r="F25" s="126">
        <v>2667.5</v>
      </c>
      <c r="G25" s="125">
        <v>9800</v>
      </c>
      <c r="H25" s="124">
        <v>1133.9000000000001</v>
      </c>
      <c r="I25" s="123"/>
      <c r="J25" s="122"/>
      <c r="K25" s="122"/>
      <c r="L25" s="122"/>
      <c r="M25" s="122"/>
      <c r="N25" s="92"/>
    </row>
    <row r="26" spans="1:14" ht="13.5" thickBot="1" x14ac:dyDescent="0.25">
      <c r="A26" s="121" t="s">
        <v>60</v>
      </c>
      <c r="B26" s="120"/>
      <c r="C26" s="119"/>
      <c r="D26" s="118"/>
      <c r="E26" s="118">
        <v>780.6</v>
      </c>
      <c r="F26" s="117">
        <v>2667.5</v>
      </c>
      <c r="G26" s="116"/>
      <c r="H26" s="115"/>
      <c r="I26" s="114">
        <f>G18-G25</f>
        <v>200</v>
      </c>
      <c r="J26" s="113">
        <f>I26/F26^2</f>
        <v>2.8107430111314207E-5</v>
      </c>
      <c r="K26" s="113">
        <f>J26*E26</f>
        <v>2.1940659944891871E-2</v>
      </c>
      <c r="L26" s="113"/>
      <c r="M26" s="113"/>
      <c r="N26" s="95"/>
    </row>
    <row r="27" spans="1:14" ht="13.5" thickBot="1" x14ac:dyDescent="0.25">
      <c r="B27" s="63"/>
      <c r="C27" s="64"/>
      <c r="D27" s="64"/>
      <c r="E27" s="64"/>
      <c r="F27" s="64"/>
      <c r="I27" s="112">
        <f>I8+I10+I12+I20+I21</f>
        <v>1731</v>
      </c>
      <c r="J27" s="111">
        <f>G10-G9</f>
        <v>1731</v>
      </c>
      <c r="K27" s="111"/>
    </row>
    <row r="28" spans="1:14" x14ac:dyDescent="0.2">
      <c r="A28" s="87" t="s">
        <v>37</v>
      </c>
      <c r="B28" s="88">
        <v>2651</v>
      </c>
      <c r="C28" s="89" t="s">
        <v>38</v>
      </c>
      <c r="D28" s="98"/>
      <c r="E28" s="98"/>
      <c r="F28" s="98"/>
      <c r="J28" s="111">
        <v>1.8939999999999999</v>
      </c>
      <c r="K28" s="111">
        <v>1</v>
      </c>
    </row>
    <row r="29" spans="1:14" x14ac:dyDescent="0.2">
      <c r="A29" s="90" t="s">
        <v>39</v>
      </c>
      <c r="B29" s="91">
        <f>B28/B3</f>
        <v>5.5229166666666663</v>
      </c>
      <c r="C29" s="92" t="s">
        <v>38</v>
      </c>
      <c r="D29" s="98"/>
      <c r="E29" s="98"/>
      <c r="F29" s="98"/>
      <c r="H29" t="s">
        <v>59</v>
      </c>
      <c r="J29" s="111">
        <f>J28*$F$26</f>
        <v>5052.2449999999999</v>
      </c>
      <c r="K29" s="111">
        <f>K28*$F$26</f>
        <v>2667.5</v>
      </c>
    </row>
    <row r="30" spans="1:14" x14ac:dyDescent="0.2">
      <c r="A30" s="90" t="s">
        <v>40</v>
      </c>
      <c r="B30" s="91">
        <v>6.26</v>
      </c>
      <c r="C30" s="92" t="s">
        <v>38</v>
      </c>
      <c r="D30" s="98"/>
      <c r="E30" s="98"/>
      <c r="I30" s="109" t="s">
        <v>58</v>
      </c>
      <c r="J30" s="110"/>
    </row>
    <row r="31" spans="1:14" x14ac:dyDescent="0.2">
      <c r="A31" s="90" t="s">
        <v>41</v>
      </c>
      <c r="B31" s="91">
        <v>6.8</v>
      </c>
      <c r="C31" s="92" t="s">
        <v>38</v>
      </c>
      <c r="D31" s="98"/>
      <c r="E31" s="98"/>
      <c r="I31" s="109" t="s">
        <v>57</v>
      </c>
      <c r="J31" s="110">
        <v>2400</v>
      </c>
      <c r="K31" s="110">
        <v>2400</v>
      </c>
    </row>
    <row r="32" spans="1:14" ht="13.5" thickBot="1" x14ac:dyDescent="0.25">
      <c r="A32" s="93" t="s">
        <v>42</v>
      </c>
      <c r="B32" s="94">
        <f>H16-H14</f>
        <v>214.39999999999986</v>
      </c>
      <c r="C32" s="95" t="s">
        <v>43</v>
      </c>
      <c r="D32" s="98"/>
      <c r="E32" s="98"/>
      <c r="I32" s="109" t="s">
        <v>56</v>
      </c>
      <c r="J32" s="108">
        <f>-(J31-I9)/F9^2</f>
        <v>-9.4019353722346019E-5</v>
      </c>
      <c r="K32" s="108">
        <f>J32</f>
        <v>-9.4019353722346019E-5</v>
      </c>
    </row>
    <row r="33" spans="1:11" ht="13.5" thickBot="1" x14ac:dyDescent="0.25">
      <c r="B33" s="96"/>
      <c r="E33" s="107">
        <v>3.4250000000000001E-3</v>
      </c>
      <c r="I33" s="106" t="s">
        <v>55</v>
      </c>
      <c r="J33" s="105">
        <f>J31+J32*J29^2</f>
        <v>0.13911600000028557</v>
      </c>
      <c r="K33" s="105">
        <f>K31+K32*K29^2</f>
        <v>1731</v>
      </c>
    </row>
    <row r="34" spans="1:11" x14ac:dyDescent="0.2">
      <c r="A34" s="87" t="s">
        <v>44</v>
      </c>
      <c r="B34" s="88">
        <v>27</v>
      </c>
      <c r="C34" s="89" t="s">
        <v>45</v>
      </c>
      <c r="D34" s="98"/>
      <c r="E34" s="98"/>
      <c r="F34" s="98"/>
    </row>
    <row r="35" spans="1:11" x14ac:dyDescent="0.2">
      <c r="A35" s="90" t="s">
        <v>47</v>
      </c>
      <c r="B35" s="98">
        <v>19</v>
      </c>
      <c r="C35" s="92" t="s">
        <v>45</v>
      </c>
      <c r="D35" s="98"/>
      <c r="E35" s="98"/>
      <c r="F35" s="98"/>
    </row>
    <row r="36" spans="1:11" ht="13.5" thickBot="1" x14ac:dyDescent="0.25">
      <c r="A36" s="93" t="s">
        <v>48</v>
      </c>
      <c r="B36" s="99">
        <f>B29*1000/B32</f>
        <v>25.759872512437823</v>
      </c>
      <c r="C36" s="95" t="s">
        <v>45</v>
      </c>
      <c r="D36" s="98"/>
      <c r="E36" s="98"/>
      <c r="F36" s="98"/>
    </row>
    <row r="37" spans="1:11" ht="13.5" thickBot="1" x14ac:dyDescent="0.25"/>
    <row r="38" spans="1:11" x14ac:dyDescent="0.2">
      <c r="A38" s="87" t="s">
        <v>49</v>
      </c>
      <c r="B38" s="104">
        <v>3.49E-3</v>
      </c>
      <c r="C38" s="89" t="s">
        <v>50</v>
      </c>
      <c r="D38" s="98"/>
      <c r="E38" s="98"/>
      <c r="F38" s="98"/>
    </row>
    <row r="39" spans="1:11" x14ac:dyDescent="0.2">
      <c r="A39" s="90" t="s">
        <v>51</v>
      </c>
      <c r="B39" s="100">
        <f>B36/B38</f>
        <v>7381.0522958274569</v>
      </c>
      <c r="C39" s="92" t="s">
        <v>52</v>
      </c>
      <c r="D39" s="98"/>
      <c r="E39" s="98"/>
      <c r="F39" s="98"/>
    </row>
    <row r="40" spans="1:11" ht="13.5" thickBot="1" x14ac:dyDescent="0.25">
      <c r="A40" s="93" t="s">
        <v>53</v>
      </c>
      <c r="B40" s="103">
        <v>7.4000000000000003E-3</v>
      </c>
      <c r="C40" s="102" t="s">
        <v>54</v>
      </c>
      <c r="D40" s="98"/>
      <c r="E40" s="98"/>
      <c r="F40" s="98"/>
    </row>
  </sheetData>
  <mergeCells count="1"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C9-HTS</vt:lpstr>
      <vt:lpstr>FLOW-DP</vt:lpstr>
      <vt:lpstr>Sheet1</vt:lpstr>
      <vt:lpstr>Generic C9 HTS Data</vt:lpstr>
    </vt:vector>
  </TitlesOfParts>
  <Company>McMaster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Luxat</dc:creator>
  <cp:lastModifiedBy>Izaak</cp:lastModifiedBy>
  <dcterms:created xsi:type="dcterms:W3CDTF">2014-04-17T21:34:27Z</dcterms:created>
  <dcterms:modified xsi:type="dcterms:W3CDTF">2014-05-07T19:03:20Z</dcterms:modified>
</cp:coreProperties>
</file>