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saveExternalLinkValues="0" autoCompressPictures="0"/>
  <bookViews>
    <workbookView xWindow="3600" yWindow="495" windowWidth="25440" windowHeight="16185"/>
  </bookViews>
  <sheets>
    <sheet name="GAGER&amp;R" sheetId="1" r:id="rId1"/>
    <sheet name="Range Method" sheetId="2" r:id="rId2"/>
    <sheet name="Bias" sheetId="3" r:id="rId3"/>
    <sheet name="Linearity" sheetId="4" r:id="rId4"/>
    <sheet name="Attribute Gage Worksheet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N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O9" i="1"/>
  <c r="C10" i="1"/>
  <c r="D10" i="1"/>
  <c r="E10" i="1"/>
  <c r="F10" i="1"/>
  <c r="G10" i="1"/>
  <c r="H10" i="1"/>
  <c r="I10" i="1"/>
  <c r="J10" i="1"/>
  <c r="K10" i="1"/>
  <c r="L10" i="1"/>
  <c r="N10" i="1"/>
  <c r="M11" i="1"/>
  <c r="M12" i="1"/>
  <c r="M13" i="1"/>
  <c r="M14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O17" i="1"/>
  <c r="C18" i="1"/>
  <c r="D18" i="1"/>
  <c r="E18" i="1"/>
  <c r="F18" i="1"/>
  <c r="G18" i="1"/>
  <c r="H18" i="1"/>
  <c r="I18" i="1"/>
  <c r="J18" i="1"/>
  <c r="K18" i="1"/>
  <c r="L18" i="1"/>
  <c r="N18" i="1"/>
  <c r="M19" i="1"/>
  <c r="M20" i="1"/>
  <c r="M21" i="1"/>
  <c r="M22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O25" i="1"/>
  <c r="C26" i="1"/>
  <c r="D26" i="1"/>
  <c r="E26" i="1"/>
  <c r="F26" i="1"/>
  <c r="G26" i="1"/>
  <c r="H26" i="1"/>
  <c r="I26" i="1"/>
  <c r="J26" i="1"/>
  <c r="K26" i="1"/>
  <c r="L26" i="1"/>
  <c r="N26" i="1"/>
  <c r="C29" i="1"/>
  <c r="D29" i="1"/>
  <c r="E29" i="1"/>
  <c r="F29" i="1"/>
  <c r="G29" i="1"/>
  <c r="H29" i="1"/>
  <c r="I29" i="1"/>
  <c r="J29" i="1"/>
  <c r="K29" i="1"/>
  <c r="L29" i="1"/>
  <c r="C30" i="1"/>
  <c r="I39" i="1"/>
  <c r="I42" i="1"/>
  <c r="C33" i="1"/>
  <c r="D33" i="1"/>
  <c r="E33" i="1"/>
  <c r="F33" i="1"/>
  <c r="G33" i="1"/>
  <c r="H33" i="1"/>
  <c r="I33" i="1"/>
  <c r="J33" i="1"/>
  <c r="K33" i="1"/>
  <c r="L33" i="1"/>
  <c r="C34" i="1"/>
  <c r="C28" i="1"/>
  <c r="D30" i="1"/>
  <c r="D34" i="1"/>
  <c r="D28" i="1"/>
  <c r="E30" i="1"/>
  <c r="E34" i="1"/>
  <c r="E28" i="1"/>
  <c r="F30" i="1"/>
  <c r="F34" i="1"/>
  <c r="F28" i="1"/>
  <c r="G30" i="1"/>
  <c r="G34" i="1"/>
  <c r="G28" i="1"/>
  <c r="H30" i="1"/>
  <c r="H34" i="1"/>
  <c r="H28" i="1"/>
  <c r="I30" i="1"/>
  <c r="I34" i="1"/>
  <c r="I28" i="1"/>
  <c r="J30" i="1"/>
  <c r="J34" i="1"/>
  <c r="J28" i="1"/>
  <c r="K30" i="1"/>
  <c r="K34" i="1"/>
  <c r="K28" i="1"/>
  <c r="L30" i="1"/>
  <c r="L34" i="1"/>
  <c r="L28" i="1"/>
  <c r="M29" i="1"/>
  <c r="C31" i="1"/>
  <c r="D31" i="1"/>
  <c r="E31" i="1"/>
  <c r="F31" i="1"/>
  <c r="G31" i="1"/>
  <c r="H31" i="1"/>
  <c r="I31" i="1"/>
  <c r="J31" i="1"/>
  <c r="K31" i="1"/>
  <c r="L31" i="1"/>
  <c r="I40" i="1"/>
  <c r="C32" i="1"/>
  <c r="D32" i="1"/>
  <c r="E32" i="1"/>
  <c r="F32" i="1"/>
  <c r="G32" i="1"/>
  <c r="H32" i="1"/>
  <c r="I32" i="1"/>
  <c r="J32" i="1"/>
  <c r="K32" i="1"/>
  <c r="L32" i="1"/>
  <c r="I41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M36" i="1"/>
  <c r="B38" i="1"/>
  <c r="B39" i="1"/>
  <c r="B40" i="1"/>
  <c r="I43" i="1"/>
  <c r="B51" i="1"/>
  <c r="B42" i="1"/>
  <c r="I44" i="1"/>
  <c r="C67" i="1"/>
  <c r="D67" i="1"/>
  <c r="B53" i="1"/>
  <c r="B43" i="1"/>
  <c r="B55" i="1"/>
  <c r="B44" i="1"/>
  <c r="B46" i="1"/>
  <c r="B57" i="1"/>
  <c r="B59" i="1"/>
  <c r="B52" i="1"/>
  <c r="C52" i="1"/>
  <c r="B54" i="1"/>
  <c r="C54" i="1"/>
  <c r="B56" i="1"/>
  <c r="C56" i="1"/>
  <c r="B58" i="1"/>
  <c r="C58" i="1"/>
  <c r="A62" i="1"/>
  <c r="A63" i="1"/>
  <c r="E67" i="1"/>
  <c r="B72" i="1"/>
  <c r="C72" i="1"/>
  <c r="D72" i="1"/>
  <c r="C73" i="1"/>
  <c r="C74" i="1"/>
  <c r="B73" i="1"/>
  <c r="B74" i="1"/>
  <c r="D74" i="1"/>
  <c r="E72" i="1"/>
  <c r="F72" i="1"/>
  <c r="C77" i="1"/>
  <c r="C75" i="1"/>
  <c r="C76" i="1"/>
  <c r="B75" i="1"/>
  <c r="B76" i="1"/>
  <c r="D76" i="1"/>
  <c r="G72" i="1"/>
  <c r="H72" i="1"/>
  <c r="D73" i="1"/>
  <c r="E73" i="1"/>
  <c r="F73" i="1"/>
  <c r="G73" i="1"/>
  <c r="H73" i="1"/>
  <c r="D75" i="1"/>
  <c r="E74" i="1"/>
  <c r="F74" i="1"/>
  <c r="B77" i="1"/>
  <c r="B80" i="1"/>
  <c r="C80" i="1"/>
  <c r="E80" i="1"/>
  <c r="B81" i="1"/>
  <c r="B82" i="1"/>
  <c r="B83" i="1"/>
  <c r="C83" i="1"/>
  <c r="E83" i="1"/>
  <c r="B84" i="1"/>
  <c r="C84" i="1"/>
  <c r="E84" i="1"/>
  <c r="E85" i="1"/>
  <c r="F80" i="1"/>
  <c r="G80" i="1"/>
  <c r="C81" i="1"/>
  <c r="E81" i="1"/>
  <c r="F81" i="1"/>
  <c r="G81" i="1"/>
  <c r="C82" i="1"/>
  <c r="E82" i="1"/>
  <c r="F82" i="1"/>
  <c r="G82" i="1"/>
  <c r="F83" i="1"/>
  <c r="G83" i="1"/>
  <c r="F84" i="1"/>
  <c r="G84" i="1"/>
  <c r="G3" i="2"/>
  <c r="G4" i="2"/>
  <c r="B5" i="2"/>
  <c r="C5" i="2"/>
  <c r="D5" i="2"/>
  <c r="E5" i="2"/>
  <c r="F5" i="2"/>
  <c r="G5" i="2"/>
  <c r="H5" i="2"/>
  <c r="B7" i="2"/>
  <c r="B8" i="2"/>
  <c r="B9" i="2"/>
  <c r="C2" i="3"/>
  <c r="D2" i="3"/>
  <c r="E2" i="3"/>
  <c r="F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E3" i="3"/>
  <c r="H2" i="3"/>
  <c r="I2" i="3"/>
  <c r="J2" i="3"/>
  <c r="G3" i="3"/>
  <c r="H3" i="3"/>
  <c r="I3" i="3"/>
  <c r="F7" i="3"/>
  <c r="G7" i="3"/>
  <c r="F8" i="3"/>
  <c r="B15" i="4"/>
  <c r="C15" i="4"/>
  <c r="D15" i="4"/>
  <c r="E15" i="4"/>
  <c r="F15" i="4"/>
  <c r="B17" i="4"/>
  <c r="C17" i="4"/>
  <c r="D17" i="4"/>
  <c r="E17" i="4"/>
  <c r="F17" i="4"/>
  <c r="B18" i="4"/>
  <c r="C18" i="4"/>
  <c r="D18" i="4"/>
  <c r="E18" i="4"/>
  <c r="F18" i="4"/>
  <c r="B20" i="4"/>
  <c r="B21" i="4"/>
  <c r="B19" i="4"/>
  <c r="C19" i="4"/>
  <c r="D19" i="4"/>
  <c r="E19" i="4"/>
  <c r="F19" i="4"/>
  <c r="B22" i="4"/>
  <c r="B23" i="4"/>
  <c r="B24" i="4"/>
  <c r="B25" i="4"/>
  <c r="K3" i="5"/>
  <c r="Q3" i="5"/>
  <c r="M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4" i="5"/>
  <c r="K4" i="5"/>
  <c r="M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5" i="5"/>
  <c r="K5" i="5"/>
  <c r="M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6" i="5"/>
  <c r="K6" i="5"/>
  <c r="M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7" i="5"/>
  <c r="K7" i="5"/>
  <c r="M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P8" i="5"/>
  <c r="AQ9" i="5"/>
  <c r="AP9" i="5"/>
  <c r="AP10" i="5"/>
  <c r="AQ8" i="5"/>
  <c r="AQ10" i="5"/>
  <c r="AR10" i="5"/>
  <c r="AU7" i="5"/>
  <c r="AV7" i="5"/>
  <c r="A8" i="5"/>
  <c r="K8" i="5"/>
  <c r="M8" i="5"/>
  <c r="R8" i="5"/>
  <c r="S8" i="5"/>
  <c r="T8" i="5"/>
  <c r="U8" i="5"/>
  <c r="V8" i="5"/>
  <c r="W8" i="5"/>
  <c r="X8" i="5"/>
  <c r="Y8" i="5"/>
  <c r="Z8" i="5"/>
  <c r="AD8" i="5"/>
  <c r="AE8" i="5"/>
  <c r="AF8" i="5"/>
  <c r="AG8" i="5"/>
  <c r="AH8" i="5"/>
  <c r="AI8" i="5"/>
  <c r="R9" i="5"/>
  <c r="S9" i="5"/>
  <c r="T9" i="5"/>
  <c r="R10" i="5"/>
  <c r="S10" i="5"/>
  <c r="T10" i="5"/>
  <c r="R11" i="5"/>
  <c r="S11" i="5"/>
  <c r="T11" i="5"/>
  <c r="R12" i="5"/>
  <c r="S12" i="5"/>
  <c r="T12" i="5"/>
  <c r="R13" i="5"/>
  <c r="S13" i="5"/>
  <c r="T13" i="5"/>
  <c r="R14" i="5"/>
  <c r="S14" i="5"/>
  <c r="T14" i="5"/>
  <c r="R15" i="5"/>
  <c r="S15" i="5"/>
  <c r="T15" i="5"/>
  <c r="R16" i="5"/>
  <c r="S16" i="5"/>
  <c r="T16" i="5"/>
  <c r="R17" i="5"/>
  <c r="S17" i="5"/>
  <c r="T17" i="5"/>
  <c r="R18" i="5"/>
  <c r="S18" i="5"/>
  <c r="T18" i="5"/>
  <c r="R19" i="5"/>
  <c r="S19" i="5"/>
  <c r="T19" i="5"/>
  <c r="R20" i="5"/>
  <c r="S20" i="5"/>
  <c r="T20" i="5"/>
  <c r="R21" i="5"/>
  <c r="S21" i="5"/>
  <c r="T21" i="5"/>
  <c r="R22" i="5"/>
  <c r="S22" i="5"/>
  <c r="T22" i="5"/>
  <c r="R23" i="5"/>
  <c r="S23" i="5"/>
  <c r="T23" i="5"/>
  <c r="R24" i="5"/>
  <c r="S24" i="5"/>
  <c r="T24" i="5"/>
  <c r="R25" i="5"/>
  <c r="S25" i="5"/>
  <c r="T25" i="5"/>
  <c r="R26" i="5"/>
  <c r="S26" i="5"/>
  <c r="T26" i="5"/>
  <c r="R27" i="5"/>
  <c r="S27" i="5"/>
  <c r="T27" i="5"/>
  <c r="R28" i="5"/>
  <c r="S28" i="5"/>
  <c r="T28" i="5"/>
  <c r="R29" i="5"/>
  <c r="S29" i="5"/>
  <c r="T29" i="5"/>
  <c r="R30" i="5"/>
  <c r="S30" i="5"/>
  <c r="T30" i="5"/>
  <c r="R31" i="5"/>
  <c r="S31" i="5"/>
  <c r="T31" i="5"/>
  <c r="R32" i="5"/>
  <c r="S32" i="5"/>
  <c r="T32" i="5"/>
  <c r="R33" i="5"/>
  <c r="S33" i="5"/>
  <c r="T33" i="5"/>
  <c r="R34" i="5"/>
  <c r="S34" i="5"/>
  <c r="T34" i="5"/>
  <c r="R35" i="5"/>
  <c r="S35" i="5"/>
  <c r="T35" i="5"/>
  <c r="R36" i="5"/>
  <c r="S36" i="5"/>
  <c r="T36" i="5"/>
  <c r="R37" i="5"/>
  <c r="S37" i="5"/>
  <c r="T37" i="5"/>
  <c r="R38" i="5"/>
  <c r="S38" i="5"/>
  <c r="T38" i="5"/>
  <c r="R39" i="5"/>
  <c r="S39" i="5"/>
  <c r="T39" i="5"/>
  <c r="R40" i="5"/>
  <c r="S40" i="5"/>
  <c r="T40" i="5"/>
  <c r="R41" i="5"/>
  <c r="S41" i="5"/>
  <c r="T41" i="5"/>
  <c r="R42" i="5"/>
  <c r="S42" i="5"/>
  <c r="T42" i="5"/>
  <c r="R43" i="5"/>
  <c r="S43" i="5"/>
  <c r="T43" i="5"/>
  <c r="R44" i="5"/>
  <c r="S44" i="5"/>
  <c r="T44" i="5"/>
  <c r="R45" i="5"/>
  <c r="S45" i="5"/>
  <c r="T45" i="5"/>
  <c r="R46" i="5"/>
  <c r="S46" i="5"/>
  <c r="T46" i="5"/>
  <c r="R47" i="5"/>
  <c r="S47" i="5"/>
  <c r="T47" i="5"/>
  <c r="R48" i="5"/>
  <c r="S48" i="5"/>
  <c r="T48" i="5"/>
  <c r="R49" i="5"/>
  <c r="S49" i="5"/>
  <c r="T49" i="5"/>
  <c r="R50" i="5"/>
  <c r="S50" i="5"/>
  <c r="T50" i="5"/>
  <c r="R51" i="5"/>
  <c r="S51" i="5"/>
  <c r="T51" i="5"/>
  <c r="R52" i="5"/>
  <c r="S52" i="5"/>
  <c r="T52" i="5"/>
  <c r="AK8" i="5"/>
  <c r="AL8" i="5"/>
  <c r="AM8" i="5"/>
  <c r="AR8" i="5"/>
  <c r="AD9" i="5"/>
  <c r="AE9" i="5"/>
  <c r="AF9" i="5"/>
  <c r="AD10" i="5"/>
  <c r="AE10" i="5"/>
  <c r="AF10" i="5"/>
  <c r="AD11" i="5"/>
  <c r="AE11" i="5"/>
  <c r="AF11" i="5"/>
  <c r="AD12" i="5"/>
  <c r="AE12" i="5"/>
  <c r="AF12" i="5"/>
  <c r="AD13" i="5"/>
  <c r="AE13" i="5"/>
  <c r="AF13" i="5"/>
  <c r="AD14" i="5"/>
  <c r="AE14" i="5"/>
  <c r="AF14" i="5"/>
  <c r="AD15" i="5"/>
  <c r="AE15" i="5"/>
  <c r="AF15" i="5"/>
  <c r="AD16" i="5"/>
  <c r="AE16" i="5"/>
  <c r="AF16" i="5"/>
  <c r="AD17" i="5"/>
  <c r="AE17" i="5"/>
  <c r="AF17" i="5"/>
  <c r="AD18" i="5"/>
  <c r="AE18" i="5"/>
  <c r="AF18" i="5"/>
  <c r="AD19" i="5"/>
  <c r="AE19" i="5"/>
  <c r="AF19" i="5"/>
  <c r="AD20" i="5"/>
  <c r="AE20" i="5"/>
  <c r="AF20" i="5"/>
  <c r="AD21" i="5"/>
  <c r="AE21" i="5"/>
  <c r="AF21" i="5"/>
  <c r="AD22" i="5"/>
  <c r="AE22" i="5"/>
  <c r="AF22" i="5"/>
  <c r="AD23" i="5"/>
  <c r="AE23" i="5"/>
  <c r="AF23" i="5"/>
  <c r="AD24" i="5"/>
  <c r="AE24" i="5"/>
  <c r="AF24" i="5"/>
  <c r="AD25" i="5"/>
  <c r="AE25" i="5"/>
  <c r="AF25" i="5"/>
  <c r="AD26" i="5"/>
  <c r="AE26" i="5"/>
  <c r="AF26" i="5"/>
  <c r="AD27" i="5"/>
  <c r="AE27" i="5"/>
  <c r="AF27" i="5"/>
  <c r="AD28" i="5"/>
  <c r="AE28" i="5"/>
  <c r="AF28" i="5"/>
  <c r="AD29" i="5"/>
  <c r="AE29" i="5"/>
  <c r="AF29" i="5"/>
  <c r="AD30" i="5"/>
  <c r="AE30" i="5"/>
  <c r="AF30" i="5"/>
  <c r="AD31" i="5"/>
  <c r="AE31" i="5"/>
  <c r="AF31" i="5"/>
  <c r="AD32" i="5"/>
  <c r="AE32" i="5"/>
  <c r="AF32" i="5"/>
  <c r="AD33" i="5"/>
  <c r="AE33" i="5"/>
  <c r="AF33" i="5"/>
  <c r="AD34" i="5"/>
  <c r="AE34" i="5"/>
  <c r="AF34" i="5"/>
  <c r="AD35" i="5"/>
  <c r="AE35" i="5"/>
  <c r="AF35" i="5"/>
  <c r="AD36" i="5"/>
  <c r="AE36" i="5"/>
  <c r="AF36" i="5"/>
  <c r="AD37" i="5"/>
  <c r="AE37" i="5"/>
  <c r="AF37" i="5"/>
  <c r="AD38" i="5"/>
  <c r="AE38" i="5"/>
  <c r="AF38" i="5"/>
  <c r="AD39" i="5"/>
  <c r="AE39" i="5"/>
  <c r="AF39" i="5"/>
  <c r="AD40" i="5"/>
  <c r="AE40" i="5"/>
  <c r="AF40" i="5"/>
  <c r="AD41" i="5"/>
  <c r="AE41" i="5"/>
  <c r="AF41" i="5"/>
  <c r="AD42" i="5"/>
  <c r="AE42" i="5"/>
  <c r="AF42" i="5"/>
  <c r="AD43" i="5"/>
  <c r="AE43" i="5"/>
  <c r="AF43" i="5"/>
  <c r="AD44" i="5"/>
  <c r="AE44" i="5"/>
  <c r="AF44" i="5"/>
  <c r="AD45" i="5"/>
  <c r="AE45" i="5"/>
  <c r="AF45" i="5"/>
  <c r="AD46" i="5"/>
  <c r="AE46" i="5"/>
  <c r="AF46" i="5"/>
  <c r="AD47" i="5"/>
  <c r="AE47" i="5"/>
  <c r="AF47" i="5"/>
  <c r="AD48" i="5"/>
  <c r="AE48" i="5"/>
  <c r="AF48" i="5"/>
  <c r="AD49" i="5"/>
  <c r="AE49" i="5"/>
  <c r="AF49" i="5"/>
  <c r="AD50" i="5"/>
  <c r="AE50" i="5"/>
  <c r="AF50" i="5"/>
  <c r="AD51" i="5"/>
  <c r="AE51" i="5"/>
  <c r="AF51" i="5"/>
  <c r="AD52" i="5"/>
  <c r="AE52" i="5"/>
  <c r="AF52" i="5"/>
  <c r="AP14" i="5"/>
  <c r="AQ15" i="5"/>
  <c r="AP15" i="5"/>
  <c r="AP16" i="5"/>
  <c r="AQ14" i="5"/>
  <c r="AQ16" i="5"/>
  <c r="AR16" i="5"/>
  <c r="AU8" i="5"/>
  <c r="AV8" i="5"/>
  <c r="A9" i="5"/>
  <c r="K9" i="5"/>
  <c r="M9" i="5"/>
  <c r="U9" i="5"/>
  <c r="V9" i="5"/>
  <c r="W9" i="5"/>
  <c r="X9" i="5"/>
  <c r="Y9" i="5"/>
  <c r="Z9" i="5"/>
  <c r="AG9" i="5"/>
  <c r="AH9" i="5"/>
  <c r="AI9" i="5"/>
  <c r="AK9" i="5"/>
  <c r="AL9" i="5"/>
  <c r="AM9" i="5"/>
  <c r="AR9" i="5"/>
  <c r="AG10" i="5"/>
  <c r="AH10" i="5"/>
  <c r="AI10" i="5"/>
  <c r="AG11" i="5"/>
  <c r="AH11" i="5"/>
  <c r="AI11" i="5"/>
  <c r="AG12" i="5"/>
  <c r="AH12" i="5"/>
  <c r="AI12" i="5"/>
  <c r="AG13" i="5"/>
  <c r="AH13" i="5"/>
  <c r="AI13" i="5"/>
  <c r="AG14" i="5"/>
  <c r="AH14" i="5"/>
  <c r="AI14" i="5"/>
  <c r="AG15" i="5"/>
  <c r="AH15" i="5"/>
  <c r="AI15" i="5"/>
  <c r="AG16" i="5"/>
  <c r="AH16" i="5"/>
  <c r="AI16" i="5"/>
  <c r="AG17" i="5"/>
  <c r="AH17" i="5"/>
  <c r="AI17" i="5"/>
  <c r="AG18" i="5"/>
  <c r="AH18" i="5"/>
  <c r="AI18" i="5"/>
  <c r="AG19" i="5"/>
  <c r="AH19" i="5"/>
  <c r="AI19" i="5"/>
  <c r="AG20" i="5"/>
  <c r="AH20" i="5"/>
  <c r="AI20" i="5"/>
  <c r="AG21" i="5"/>
  <c r="AH21" i="5"/>
  <c r="AI21" i="5"/>
  <c r="AG22" i="5"/>
  <c r="AH22" i="5"/>
  <c r="AI22" i="5"/>
  <c r="AG23" i="5"/>
  <c r="AH23" i="5"/>
  <c r="AI23" i="5"/>
  <c r="AG24" i="5"/>
  <c r="AH24" i="5"/>
  <c r="AI24" i="5"/>
  <c r="AG25" i="5"/>
  <c r="AH25" i="5"/>
  <c r="AI25" i="5"/>
  <c r="AG26" i="5"/>
  <c r="AH26" i="5"/>
  <c r="AI26" i="5"/>
  <c r="AG27" i="5"/>
  <c r="AH27" i="5"/>
  <c r="AI27" i="5"/>
  <c r="AG28" i="5"/>
  <c r="AH28" i="5"/>
  <c r="AI28" i="5"/>
  <c r="AG29" i="5"/>
  <c r="AH29" i="5"/>
  <c r="AI29" i="5"/>
  <c r="AG30" i="5"/>
  <c r="AH30" i="5"/>
  <c r="AI30" i="5"/>
  <c r="AG31" i="5"/>
  <c r="AH31" i="5"/>
  <c r="AI31" i="5"/>
  <c r="AG32" i="5"/>
  <c r="AH32" i="5"/>
  <c r="AI32" i="5"/>
  <c r="AG33" i="5"/>
  <c r="AH33" i="5"/>
  <c r="AI33" i="5"/>
  <c r="AG34" i="5"/>
  <c r="AH34" i="5"/>
  <c r="AI34" i="5"/>
  <c r="AG35" i="5"/>
  <c r="AH35" i="5"/>
  <c r="AI35" i="5"/>
  <c r="AG36" i="5"/>
  <c r="AH36" i="5"/>
  <c r="AI36" i="5"/>
  <c r="AG37" i="5"/>
  <c r="AH37" i="5"/>
  <c r="AI37" i="5"/>
  <c r="AG38" i="5"/>
  <c r="AH38" i="5"/>
  <c r="AI38" i="5"/>
  <c r="AG39" i="5"/>
  <c r="AH39" i="5"/>
  <c r="AI39" i="5"/>
  <c r="AG40" i="5"/>
  <c r="AH40" i="5"/>
  <c r="AI40" i="5"/>
  <c r="AG41" i="5"/>
  <c r="AH41" i="5"/>
  <c r="AI41" i="5"/>
  <c r="AG42" i="5"/>
  <c r="AH42" i="5"/>
  <c r="AI42" i="5"/>
  <c r="AG43" i="5"/>
  <c r="AH43" i="5"/>
  <c r="AI43" i="5"/>
  <c r="AG44" i="5"/>
  <c r="AH44" i="5"/>
  <c r="AI44" i="5"/>
  <c r="AG45" i="5"/>
  <c r="AH45" i="5"/>
  <c r="AI45" i="5"/>
  <c r="AG46" i="5"/>
  <c r="AH46" i="5"/>
  <c r="AI46" i="5"/>
  <c r="AG47" i="5"/>
  <c r="AH47" i="5"/>
  <c r="AI47" i="5"/>
  <c r="AG48" i="5"/>
  <c r="AH48" i="5"/>
  <c r="AI48" i="5"/>
  <c r="AG49" i="5"/>
  <c r="AH49" i="5"/>
  <c r="AI49" i="5"/>
  <c r="AG50" i="5"/>
  <c r="AH50" i="5"/>
  <c r="AI50" i="5"/>
  <c r="AG51" i="5"/>
  <c r="AH51" i="5"/>
  <c r="AI51" i="5"/>
  <c r="AG52" i="5"/>
  <c r="AH52" i="5"/>
  <c r="AI52" i="5"/>
  <c r="AP20" i="5"/>
  <c r="AQ21" i="5"/>
  <c r="AP21" i="5"/>
  <c r="AP22" i="5"/>
  <c r="AQ20" i="5"/>
  <c r="AQ22" i="5"/>
  <c r="AR22" i="5"/>
  <c r="AU9" i="5"/>
  <c r="AV9" i="5"/>
  <c r="A10" i="5"/>
  <c r="K10" i="5"/>
  <c r="M10" i="5"/>
  <c r="U10" i="5"/>
  <c r="V10" i="5"/>
  <c r="W10" i="5"/>
  <c r="X10" i="5"/>
  <c r="Y10" i="5"/>
  <c r="Z10" i="5"/>
  <c r="AK10" i="5"/>
  <c r="AL10" i="5"/>
  <c r="AM10" i="5"/>
  <c r="AU10" i="5"/>
  <c r="AV10" i="5"/>
  <c r="A11" i="5"/>
  <c r="K11" i="5"/>
  <c r="M11" i="5"/>
  <c r="U11" i="5"/>
  <c r="V11" i="5"/>
  <c r="W11" i="5"/>
  <c r="X11" i="5"/>
  <c r="Y11" i="5"/>
  <c r="Z11" i="5"/>
  <c r="AU11" i="5"/>
  <c r="A12" i="5"/>
  <c r="K12" i="5"/>
  <c r="M12" i="5"/>
  <c r="U12" i="5"/>
  <c r="V12" i="5"/>
  <c r="W12" i="5"/>
  <c r="X12" i="5"/>
  <c r="Y12" i="5"/>
  <c r="Z12" i="5"/>
  <c r="A13" i="5"/>
  <c r="K13" i="5"/>
  <c r="M13" i="5"/>
  <c r="U13" i="5"/>
  <c r="V13" i="5"/>
  <c r="W13" i="5"/>
  <c r="X13" i="5"/>
  <c r="Y13" i="5"/>
  <c r="Z13" i="5"/>
  <c r="A14" i="5"/>
  <c r="K14" i="5"/>
  <c r="M14" i="5"/>
  <c r="U14" i="5"/>
  <c r="V14" i="5"/>
  <c r="W14" i="5"/>
  <c r="X14" i="5"/>
  <c r="Y14" i="5"/>
  <c r="Z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U28" i="5"/>
  <c r="V28" i="5"/>
  <c r="W28" i="5"/>
  <c r="U29" i="5"/>
  <c r="V29" i="5"/>
  <c r="W29" i="5"/>
  <c r="U30" i="5"/>
  <c r="V30" i="5"/>
  <c r="W30" i="5"/>
  <c r="U31" i="5"/>
  <c r="V31" i="5"/>
  <c r="W31" i="5"/>
  <c r="U32" i="5"/>
  <c r="V32" i="5"/>
  <c r="W32" i="5"/>
  <c r="U33" i="5"/>
  <c r="V33" i="5"/>
  <c r="W33" i="5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U40" i="5"/>
  <c r="V40" i="5"/>
  <c r="W40" i="5"/>
  <c r="U41" i="5"/>
  <c r="V41" i="5"/>
  <c r="W41" i="5"/>
  <c r="U42" i="5"/>
  <c r="V42" i="5"/>
  <c r="W42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48" i="5"/>
  <c r="V48" i="5"/>
  <c r="W48" i="5"/>
  <c r="U49" i="5"/>
  <c r="V49" i="5"/>
  <c r="W49" i="5"/>
  <c r="U50" i="5"/>
  <c r="V50" i="5"/>
  <c r="W50" i="5"/>
  <c r="U51" i="5"/>
  <c r="V51" i="5"/>
  <c r="W51" i="5"/>
  <c r="U52" i="5"/>
  <c r="V52" i="5"/>
  <c r="W52" i="5"/>
  <c r="AK14" i="5"/>
  <c r="AL14" i="5"/>
  <c r="AM14" i="5"/>
  <c r="AR14" i="5"/>
  <c r="A15" i="5"/>
  <c r="K15" i="5"/>
  <c r="M15" i="5"/>
  <c r="X15" i="5"/>
  <c r="Y15" i="5"/>
  <c r="Z15" i="5"/>
  <c r="AK15" i="5"/>
  <c r="AL15" i="5"/>
  <c r="AM15" i="5"/>
  <c r="AR15" i="5"/>
  <c r="A16" i="5"/>
  <c r="K16" i="5"/>
  <c r="M16" i="5"/>
  <c r="X16" i="5"/>
  <c r="Y16" i="5"/>
  <c r="Z16" i="5"/>
  <c r="AK16" i="5"/>
  <c r="AL16" i="5"/>
  <c r="AM16" i="5"/>
  <c r="A17" i="5"/>
  <c r="K17" i="5"/>
  <c r="M17" i="5"/>
  <c r="X17" i="5"/>
  <c r="Y17" i="5"/>
  <c r="Z17" i="5"/>
  <c r="A18" i="5"/>
  <c r="K18" i="5"/>
  <c r="M18" i="5"/>
  <c r="X18" i="5"/>
  <c r="Y18" i="5"/>
  <c r="Z18" i="5"/>
  <c r="A19" i="5"/>
  <c r="K19" i="5"/>
  <c r="M19" i="5"/>
  <c r="X19" i="5"/>
  <c r="Y19" i="5"/>
  <c r="Z19" i="5"/>
  <c r="A20" i="5"/>
  <c r="K20" i="5"/>
  <c r="M20" i="5"/>
  <c r="X20" i="5"/>
  <c r="Y20" i="5"/>
  <c r="Z20" i="5"/>
  <c r="X21" i="5"/>
  <c r="Y21" i="5"/>
  <c r="Z21" i="5"/>
  <c r="X22" i="5"/>
  <c r="Y22" i="5"/>
  <c r="Z22" i="5"/>
  <c r="X23" i="5"/>
  <c r="Y23" i="5"/>
  <c r="Z23" i="5"/>
  <c r="X24" i="5"/>
  <c r="Y24" i="5"/>
  <c r="Z24" i="5"/>
  <c r="X25" i="5"/>
  <c r="Y25" i="5"/>
  <c r="Z25" i="5"/>
  <c r="X26" i="5"/>
  <c r="Y26" i="5"/>
  <c r="Z26" i="5"/>
  <c r="X27" i="5"/>
  <c r="Y27" i="5"/>
  <c r="Z27" i="5"/>
  <c r="X28" i="5"/>
  <c r="Y28" i="5"/>
  <c r="Z28" i="5"/>
  <c r="X29" i="5"/>
  <c r="Y29" i="5"/>
  <c r="Z29" i="5"/>
  <c r="X30" i="5"/>
  <c r="Y30" i="5"/>
  <c r="Z30" i="5"/>
  <c r="X31" i="5"/>
  <c r="Y31" i="5"/>
  <c r="Z31" i="5"/>
  <c r="X32" i="5"/>
  <c r="Y32" i="5"/>
  <c r="Z32" i="5"/>
  <c r="X33" i="5"/>
  <c r="Y33" i="5"/>
  <c r="Z33" i="5"/>
  <c r="X34" i="5"/>
  <c r="Y34" i="5"/>
  <c r="Z34" i="5"/>
  <c r="X35" i="5"/>
  <c r="Y35" i="5"/>
  <c r="Z35" i="5"/>
  <c r="X36" i="5"/>
  <c r="Y36" i="5"/>
  <c r="Z36" i="5"/>
  <c r="X37" i="5"/>
  <c r="Y37" i="5"/>
  <c r="Z37" i="5"/>
  <c r="X38" i="5"/>
  <c r="Y38" i="5"/>
  <c r="Z38" i="5"/>
  <c r="X39" i="5"/>
  <c r="Y39" i="5"/>
  <c r="Z39" i="5"/>
  <c r="X40" i="5"/>
  <c r="Y40" i="5"/>
  <c r="Z40" i="5"/>
  <c r="X41" i="5"/>
  <c r="Y41" i="5"/>
  <c r="Z41" i="5"/>
  <c r="X42" i="5"/>
  <c r="Y42" i="5"/>
  <c r="Z42" i="5"/>
  <c r="X43" i="5"/>
  <c r="Y43" i="5"/>
  <c r="Z43" i="5"/>
  <c r="X44" i="5"/>
  <c r="Y44" i="5"/>
  <c r="Z44" i="5"/>
  <c r="X45" i="5"/>
  <c r="Y45" i="5"/>
  <c r="Z45" i="5"/>
  <c r="X46" i="5"/>
  <c r="Y46" i="5"/>
  <c r="Z46" i="5"/>
  <c r="X47" i="5"/>
  <c r="Y47" i="5"/>
  <c r="Z47" i="5"/>
  <c r="X48" i="5"/>
  <c r="Y48" i="5"/>
  <c r="Z48" i="5"/>
  <c r="X49" i="5"/>
  <c r="Y49" i="5"/>
  <c r="Z49" i="5"/>
  <c r="X50" i="5"/>
  <c r="Y50" i="5"/>
  <c r="Z50" i="5"/>
  <c r="X51" i="5"/>
  <c r="Y51" i="5"/>
  <c r="Z51" i="5"/>
  <c r="X52" i="5"/>
  <c r="Y52" i="5"/>
  <c r="Z52" i="5"/>
  <c r="AK20" i="5"/>
  <c r="AL20" i="5"/>
  <c r="AM20" i="5"/>
  <c r="AR20" i="5"/>
  <c r="A21" i="5"/>
  <c r="K21" i="5"/>
  <c r="M21" i="5"/>
  <c r="AK21" i="5"/>
  <c r="AL21" i="5"/>
  <c r="AM21" i="5"/>
  <c r="AR21" i="5"/>
  <c r="A22" i="5"/>
  <c r="K22" i="5"/>
  <c r="M22" i="5"/>
  <c r="AK22" i="5"/>
  <c r="AL22" i="5"/>
  <c r="AM22" i="5"/>
  <c r="A23" i="5"/>
  <c r="K23" i="5"/>
  <c r="M23" i="5"/>
  <c r="A24" i="5"/>
  <c r="K24" i="5"/>
  <c r="M24" i="5"/>
  <c r="A25" i="5"/>
  <c r="K25" i="5"/>
  <c r="M25" i="5"/>
  <c r="A26" i="5"/>
  <c r="K26" i="5"/>
  <c r="M26" i="5"/>
  <c r="A27" i="5"/>
  <c r="K27" i="5"/>
  <c r="M27" i="5"/>
  <c r="A28" i="5"/>
  <c r="K28" i="5"/>
  <c r="M28" i="5"/>
  <c r="A29" i="5"/>
  <c r="K29" i="5"/>
  <c r="M29" i="5"/>
  <c r="A30" i="5"/>
  <c r="K30" i="5"/>
  <c r="M30" i="5"/>
  <c r="A31" i="5"/>
  <c r="K31" i="5"/>
  <c r="M31" i="5"/>
  <c r="A32" i="5"/>
  <c r="K32" i="5"/>
  <c r="M32" i="5"/>
  <c r="A33" i="5"/>
  <c r="K33" i="5"/>
  <c r="M33" i="5"/>
  <c r="A34" i="5"/>
  <c r="K34" i="5"/>
  <c r="M34" i="5"/>
  <c r="A35" i="5"/>
  <c r="K35" i="5"/>
  <c r="M35" i="5"/>
  <c r="A36" i="5"/>
  <c r="K36" i="5"/>
  <c r="M36" i="5"/>
  <c r="A37" i="5"/>
  <c r="K37" i="5"/>
  <c r="M37" i="5"/>
  <c r="A38" i="5"/>
  <c r="K38" i="5"/>
  <c r="M38" i="5"/>
  <c r="A39" i="5"/>
  <c r="K39" i="5"/>
  <c r="M39" i="5"/>
  <c r="A40" i="5"/>
  <c r="K40" i="5"/>
  <c r="M40" i="5"/>
  <c r="A41" i="5"/>
  <c r="K41" i="5"/>
  <c r="M41" i="5"/>
  <c r="A42" i="5"/>
  <c r="K42" i="5"/>
  <c r="M42" i="5"/>
  <c r="A43" i="5"/>
  <c r="K43" i="5"/>
  <c r="M43" i="5"/>
  <c r="A44" i="5"/>
  <c r="K44" i="5"/>
  <c r="M44" i="5"/>
  <c r="A45" i="5"/>
  <c r="K45" i="5"/>
  <c r="M45" i="5"/>
  <c r="A46" i="5"/>
  <c r="K46" i="5"/>
  <c r="M46" i="5"/>
  <c r="A47" i="5"/>
  <c r="K47" i="5"/>
  <c r="M47" i="5"/>
  <c r="A48" i="5"/>
  <c r="K48" i="5"/>
  <c r="M48" i="5"/>
  <c r="A49" i="5"/>
  <c r="K49" i="5"/>
  <c r="M49" i="5"/>
  <c r="A50" i="5"/>
  <c r="K50" i="5"/>
  <c r="M50" i="5"/>
  <c r="A51" i="5"/>
  <c r="K51" i="5"/>
  <c r="M51" i="5"/>
  <c r="A52" i="5"/>
  <c r="K52" i="5"/>
  <c r="M52" i="5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>
      <text>
        <r>
          <rPr>
            <sz val="8"/>
            <color indexed="81"/>
            <rFont val="Tahoma"/>
          </rPr>
          <t>Measurement systems have two components: repeatability and reproducibility.</t>
        </r>
      </text>
    </comment>
    <comment ref="A2" authorId="0">
      <text>
        <r>
          <rPr>
            <sz val="8"/>
            <color indexed="81"/>
            <rFont val="Tahoma"/>
          </rPr>
          <t>Measurement systems have two components: repeatability and reproducibility.</t>
        </r>
      </text>
    </comment>
    <comment ref="B3" authorId="0">
      <text>
        <r>
          <rPr>
            <sz val="8"/>
            <color indexed="81"/>
            <rFont val="Tahoma"/>
          </rPr>
          <t>Gage R&amp;R needs a minimum of two trials, parts, and operators.</t>
        </r>
      </text>
    </comment>
    <comment ref="C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6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6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6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6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6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O6" authorId="0">
      <text>
        <r>
          <rPr>
            <sz val="8"/>
            <color indexed="81"/>
            <rFont val="Tahoma"/>
          </rPr>
          <t>Reference value can be determined by averaging several measurements using higher level equipment.</t>
        </r>
      </text>
    </comment>
    <comment ref="C7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7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7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7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7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N7" authorId="0">
      <text>
        <r>
          <rPr>
            <sz val="8"/>
            <color indexed="81"/>
            <rFont val="Tahoma"/>
          </rPr>
          <t>Xbar = Average (trials)</t>
        </r>
      </text>
    </comment>
    <comment ref="O7" authorId="0">
      <text>
        <r>
          <rPr>
            <sz val="8"/>
            <color indexed="81"/>
            <rFont val="Tahoma"/>
          </rPr>
          <t>To calculate bias, insert reference value here.</t>
        </r>
      </text>
    </comment>
    <comment ref="O8" authorId="0">
      <text>
        <r>
          <rPr>
            <sz val="8"/>
            <color indexed="81"/>
            <rFont val="Tahoma"/>
          </rPr>
          <t>Bias (i.e., accuracy) is the difference between the observed average and the reference value.</t>
        </r>
      </text>
    </comment>
    <comment ref="O9" authorId="0">
      <text>
        <r>
          <rPr>
            <sz val="8"/>
            <color indexed="81"/>
            <rFont val="Tahoma"/>
          </rPr>
          <t>If Bias is large, check for errors in the reference value or instrument:
1. worn
2. made to wrong dimension
3. measuring wrong charateristic
4. not calibrated properly
5. used improperly by appraiser
6. correction algorithm incorrect</t>
        </r>
      </text>
    </comment>
    <comment ref="C10" authorId="0">
      <text>
        <r>
          <rPr>
            <sz val="8"/>
            <color indexed="81"/>
            <rFont val="Tahoma"/>
          </rPr>
          <t>Range = Max - Min of trials</t>
        </r>
      </text>
    </comment>
    <comment ref="N10" authorId="0">
      <text>
        <r>
          <rPr>
            <sz val="8"/>
            <color indexed="81"/>
            <rFont val="Tahoma"/>
          </rPr>
          <t>Rbar = Average (Ranges)</t>
        </r>
      </text>
    </comment>
    <comment ref="C1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1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1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1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1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1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1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1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1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1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1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1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1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1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1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1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1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1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1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14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O14" authorId="0">
      <text>
        <r>
          <rPr>
            <sz val="8"/>
            <color indexed="81"/>
            <rFont val="Tahoma"/>
          </rPr>
          <t>Reference value can be determined by averaging several measurements using higher level equipment.</t>
        </r>
      </text>
    </comment>
    <comment ref="C1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1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1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1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15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O16" authorId="0">
      <text>
        <r>
          <rPr>
            <sz val="8"/>
            <color indexed="81"/>
            <rFont val="Tahoma"/>
          </rPr>
          <t>Bias (i.e., accuracy) is the difference between the observed average and the reference value.</t>
        </r>
      </text>
    </comment>
    <comment ref="C19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19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19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19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19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20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20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20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20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20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2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2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2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2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21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C2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2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2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2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22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O22" authorId="0">
      <text>
        <r>
          <rPr>
            <sz val="8"/>
            <color indexed="81"/>
            <rFont val="Tahoma"/>
          </rPr>
          <t>Reference value can be determined by averaging several measurements using higher level equipment.</t>
        </r>
      </text>
    </comment>
    <comment ref="C2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D2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E2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F2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G2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O24" authorId="0">
      <text>
        <r>
          <rPr>
            <sz val="8"/>
            <color indexed="81"/>
            <rFont val="Tahoma"/>
          </rPr>
          <t>Bias (i.e., accuracy) is the difference between the observed average and the reference value.</t>
        </r>
      </text>
    </comment>
    <comment ref="B27" authorId="0">
      <text>
        <r>
          <rPr>
            <sz val="8"/>
            <color indexed="81"/>
            <rFont val="Tahoma"/>
          </rPr>
          <t>Constant based on number of parts</t>
        </r>
      </text>
    </comment>
    <comment ref="C29" authorId="0">
      <text>
        <r>
          <rPr>
            <sz val="8"/>
            <color indexed="81"/>
            <rFont val="Tahoma"/>
          </rPr>
          <t>Average, by part, of trials for all operators</t>
        </r>
      </text>
    </comment>
    <comment ref="M29" authorId="0">
      <text>
        <r>
          <rPr>
            <sz val="8"/>
            <color indexed="81"/>
            <rFont val="Tahoma"/>
          </rPr>
          <t>Range = Max - Min of part averages</t>
        </r>
      </text>
    </comment>
    <comment ref="B38" authorId="0">
      <text>
        <r>
          <rPr>
            <sz val="8"/>
            <color indexed="81"/>
            <rFont val="Tahoma"/>
          </rPr>
          <t>Average of the three average ranges</t>
        </r>
      </text>
    </comment>
    <comment ref="B39" authorId="0">
      <text>
        <r>
          <rPr>
            <sz val="8"/>
            <color indexed="81"/>
            <rFont val="Tahoma"/>
          </rPr>
          <t>XDiff = Max (Xbar) - Min (Xbar)</t>
        </r>
      </text>
    </comment>
    <comment ref="B40" authorId="0">
      <text>
        <r>
          <rPr>
            <sz val="8"/>
            <color indexed="81"/>
            <rFont val="Tahoma"/>
          </rPr>
          <t>UCL = D4 * Rave</t>
        </r>
      </text>
    </comment>
    <comment ref="A42" authorId="0">
      <text>
        <r>
          <rPr>
            <sz val="8"/>
            <color indexed="81"/>
            <rFont val="Tahoma"/>
          </rPr>
          <t>Repeatability is ability of an appraiser, using the same gage, to get the same measurement.</t>
        </r>
      </text>
    </comment>
    <comment ref="A43" authorId="0">
      <text>
        <r>
          <rPr>
            <sz val="8"/>
            <color indexed="81"/>
            <rFont val="Tahoma"/>
          </rPr>
          <t>Reproducibility is ability of two or more different appraisers, using the same gauge, to get the same answer.</t>
        </r>
      </text>
    </comment>
    <comment ref="B45" authorId="0">
      <text>
        <r>
          <rPr>
            <sz val="8"/>
            <color indexed="81"/>
            <rFont val="Tahoma"/>
          </rPr>
          <t>Spec Tolerance = USL - LSL</t>
        </r>
      </text>
    </comment>
    <comment ref="B51" authorId="0">
      <text>
        <r>
          <rPr>
            <sz val="8"/>
            <color indexed="81"/>
            <rFont val="Tahoma"/>
          </rPr>
          <t>EV = Rave * K1
Repeatability - Equipment Variation</t>
        </r>
      </text>
    </comment>
    <comment ref="B52" authorId="0">
      <text>
        <r>
          <rPr>
            <sz val="8"/>
            <color indexed="81"/>
            <rFont val="Tahoma"/>
          </rPr>
          <t>%EV = 100*(EV/TV)</t>
        </r>
      </text>
    </comment>
    <comment ref="B53" authorId="0">
      <text>
        <r>
          <rPr>
            <sz val="8"/>
            <color indexed="81"/>
            <rFont val="Tahoma"/>
          </rPr>
          <t>AV = sqrt( (Xdiff*K2)^2 - EV^2/(parts*trials) )
Reproducibility - Appraiser Variation</t>
        </r>
      </text>
    </comment>
    <comment ref="B54" authorId="0">
      <text>
        <r>
          <rPr>
            <sz val="8"/>
            <color indexed="81"/>
            <rFont val="Tahoma"/>
          </rPr>
          <t>%AV = 100*(AV/TV)</t>
        </r>
      </text>
    </comment>
    <comment ref="B55" authorId="0">
      <text>
        <r>
          <rPr>
            <sz val="8"/>
            <color indexed="81"/>
            <rFont val="Tahoma"/>
          </rPr>
          <t>R&amp;R = sqrt(EV^2 + AV^2)
Repeatability and Reproducibility</t>
        </r>
      </text>
    </comment>
    <comment ref="B56" authorId="0">
      <text>
        <r>
          <rPr>
            <sz val="8"/>
            <color indexed="81"/>
            <rFont val="Tahoma"/>
          </rPr>
          <t>%R&amp;R = 100*(R&amp;R/TV)</t>
        </r>
      </text>
    </comment>
    <comment ref="A57" authorId="0">
      <text>
        <r>
          <rPr>
            <sz val="8"/>
            <color indexed="81"/>
            <rFont val="Tahoma"/>
          </rPr>
          <t>PV evaluates part-to-part variation</t>
        </r>
      </text>
    </comment>
    <comment ref="B57" authorId="0">
      <text>
        <r>
          <rPr>
            <sz val="8"/>
            <color indexed="81"/>
            <rFont val="Tahoma"/>
          </rPr>
          <t>Part Variation
PV = Rp * K3
Rp = Range of part averages</t>
        </r>
      </text>
    </comment>
    <comment ref="B58" authorId="0">
      <text>
        <r>
          <rPr>
            <sz val="8"/>
            <color indexed="81"/>
            <rFont val="Tahoma"/>
          </rPr>
          <t>%PV = 100*(PV/TV)</t>
        </r>
      </text>
    </comment>
    <comment ref="A59" authorId="0">
      <text>
        <r>
          <rPr>
            <sz val="8"/>
            <color indexed="81"/>
            <rFont val="Tahoma"/>
          </rPr>
          <t>Total Variation includes R&amp;R and part variation</t>
        </r>
      </text>
    </comment>
    <comment ref="B59" authorId="0">
      <text>
        <r>
          <rPr>
            <sz val="8"/>
            <color indexed="81"/>
            <rFont val="Tahoma"/>
          </rPr>
          <t>TV = sqrt(R&amp;R^2 + PV^2)
Total Variation</t>
        </r>
      </text>
    </comment>
    <comment ref="A62" authorId="0">
      <text>
        <r>
          <rPr>
            <sz val="8"/>
            <color indexed="81"/>
            <rFont val="Tahoma"/>
          </rPr>
          <t>%R&amp;R &lt; .1 - Gage System OK
%R&amp;R &lt; .3 - May be acceptable
%R&amp;R &gt; .3 - Gage System needs improvement</t>
        </r>
      </text>
    </comment>
    <comment ref="A63" authorId="0">
      <text>
        <r>
          <rPr>
            <sz val="8"/>
            <color indexed="81"/>
            <rFont val="Tahoma"/>
          </rPr>
          <t>If %AV&gt;%EV retrain operators
if %AV&lt;%EV maintain or redesign gage</t>
        </r>
      </text>
    </comment>
    <comment ref="B71" authorId="0">
      <text>
        <r>
          <rPr>
            <sz val="8"/>
            <color indexed="81"/>
            <rFont val="Tahoma"/>
          </rPr>
          <t xml:space="preserve">Degrees of Freedom
</t>
        </r>
      </text>
    </comment>
    <comment ref="C71" authorId="0">
      <text>
        <r>
          <rPr>
            <sz val="8"/>
            <color indexed="81"/>
            <rFont val="Tahoma"/>
          </rPr>
          <t>Sum of Squares =
(Contrast)^2/
(n)*2^2</t>
        </r>
      </text>
    </comment>
    <comment ref="D71" authorId="0">
      <text>
        <r>
          <rPr>
            <sz val="8"/>
            <color indexed="81"/>
            <rFont val="Tahoma"/>
          </rPr>
          <t>Mean Square =
SS/df</t>
        </r>
      </text>
    </comment>
    <comment ref="E71" authorId="0">
      <text>
        <r>
          <rPr>
            <sz val="8"/>
            <color indexed="81"/>
            <rFont val="Tahoma"/>
          </rPr>
          <t>F = Mean Square/
Error Mean Square</t>
        </r>
      </text>
    </comment>
    <comment ref="G71" authorId="0">
      <text>
        <r>
          <rPr>
            <sz val="8"/>
            <color indexed="81"/>
            <rFont val="Tahoma"/>
          </rPr>
          <t>F = Mean Square/
Error Mean Square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1" authorId="0">
      <text>
        <r>
          <rPr>
            <sz val="8"/>
            <color indexed="81"/>
            <rFont val="Tahoma"/>
          </rPr>
          <t>Provides quick approximation of overall measurement variability. Does not reflect repeatability and reproducibility.</t>
        </r>
      </text>
    </comment>
    <comment ref="A2" authorId="0">
      <text>
        <r>
          <rPr>
            <sz val="8"/>
            <color indexed="81"/>
            <rFont val="Tahoma"/>
          </rPr>
          <t>According to the QS9000 MSA Guide, Range Method uses two appraisers and five parts.</t>
        </r>
      </text>
    </comment>
    <comment ref="B3" authorId="0">
      <text>
        <r>
          <rPr>
            <sz val="8"/>
            <color indexed="81"/>
            <rFont val="Tahoma"/>
          </rPr>
          <t>Put trial data for each part into these cells. 
R&amp;R is calculated below.</t>
        </r>
      </text>
    </comment>
    <comment ref="B7" authorId="0">
      <text>
        <r>
          <rPr>
            <sz val="8"/>
            <color indexed="81"/>
            <rFont val="Tahoma"/>
          </rPr>
          <t>GR&amp;R=Ave(Range)/d2</t>
        </r>
      </text>
    </comment>
    <comment ref="B8" authorId="0">
      <text>
        <r>
          <rPr>
            <sz val="8"/>
            <color indexed="81"/>
            <rFont val="Tahoma"/>
          </rPr>
          <t>Insert Process Variation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A2" authorId="0">
      <text>
        <r>
          <rPr>
            <sz val="8"/>
            <color indexed="81"/>
            <rFont val="Tahoma"/>
          </rPr>
          <t>Insert measured values of the same part here</t>
        </r>
      </text>
    </comment>
    <comment ref="B2" authorId="0">
      <text>
        <r>
          <rPr>
            <sz val="8"/>
            <color indexed="81"/>
            <rFont val="Tahoma"/>
          </rPr>
          <t>Insert reference value here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2" authorId="0">
      <text>
        <r>
          <rPr>
            <sz val="8"/>
            <color indexed="81"/>
            <rFont val="Tahoma"/>
          </rPr>
          <t>Select five parts whose measurements, due to process variation, cover the operating range of the gage.</t>
        </r>
      </text>
    </comment>
    <comment ref="B23" authorId="0">
      <text>
        <r>
          <rPr>
            <sz val="8"/>
            <color indexed="81"/>
            <rFont val="Tahoma"/>
          </rPr>
          <t>Insert Process Variation</t>
        </r>
      </text>
    </comment>
  </commentList>
</comments>
</file>

<file path=xl/sharedStrings.xml><?xml version="1.0" encoding="utf-8"?>
<sst xmlns="http://schemas.openxmlformats.org/spreadsheetml/2006/main" count="306" uniqueCount="228">
  <si>
    <t>Repeatability(EV)</t>
  </si>
  <si>
    <t>A2</t>
  </si>
  <si>
    <t>Identify and correct causes</t>
  </si>
  <si>
    <t>Reproducibility(AV)</t>
  </si>
  <si>
    <t>K1</t>
  </si>
  <si>
    <t>LCL = 0 D3=0 for up to 7 trials</t>
  </si>
  <si>
    <t>Gage Capability(R&amp;R)</t>
  </si>
  <si>
    <t>K2</t>
  </si>
  <si>
    <t>Spec Tolerance</t>
  </si>
  <si>
    <t>2 Ops</t>
  </si>
  <si>
    <t>3 Operators</t>
  </si>
  <si>
    <t>Acceptability(%)</t>
  </si>
  <si>
    <t>% Using</t>
  </si>
  <si>
    <t>AIAG - Automotive Industry Action Group Formulas</t>
  </si>
  <si>
    <t>TV</t>
  </si>
  <si>
    <t>Tolerance</t>
  </si>
  <si>
    <t>%EV</t>
  </si>
  <si>
    <t># Parts</t>
  </si>
  <si>
    <t>#Trials</t>
  </si>
  <si>
    <t>#Ops</t>
  </si>
  <si>
    <t>%AV</t>
  </si>
  <si>
    <t>R&amp;R (Gage Capability)</t>
  </si>
  <si>
    <t>%R&amp;R</t>
  </si>
  <si>
    <t>PV (Part Variation)</t>
  </si>
  <si>
    <t>%PV</t>
  </si>
  <si>
    <t>TV (Total Variation)</t>
  </si>
  <si>
    <t>Calculate GageR&amp;R using Anova</t>
  </si>
  <si>
    <t>With Interaction</t>
  </si>
  <si>
    <t>Without Interaction</t>
  </si>
  <si>
    <t>Anova Source</t>
  </si>
  <si>
    <t>df</t>
  </si>
  <si>
    <t>SS</t>
  </si>
  <si>
    <t>MS</t>
  </si>
  <si>
    <t>F</t>
  </si>
  <si>
    <t>P</t>
  </si>
  <si>
    <t>Parts</t>
  </si>
  <si>
    <t>Appraiser x Part</t>
  </si>
  <si>
    <t>Gage w AP Interaction</t>
  </si>
  <si>
    <t>Gage w/o AP Interaction</t>
  </si>
  <si>
    <t>Estimate of Variance</t>
  </si>
  <si>
    <t>Std. Dev</t>
  </si>
  <si>
    <t>5.15* Stdev</t>
  </si>
  <si>
    <t>% Study Variation</t>
  </si>
  <si>
    <t>% Contribution</t>
  </si>
  <si>
    <t>Repeatability</t>
  </si>
  <si>
    <t>EV</t>
  </si>
  <si>
    <t>AV</t>
  </si>
  <si>
    <t>AppraiserxPart</t>
  </si>
  <si>
    <t>INT</t>
  </si>
  <si>
    <t>R&amp;R</t>
  </si>
  <si>
    <t>PV</t>
  </si>
  <si>
    <t>Instructions</t>
  </si>
  <si>
    <t>1. Select 10 DIFFERENT parts and at least two "appraisers" and one gage</t>
  </si>
  <si>
    <t xml:space="preserve">2. Gage needs to be redesigned </t>
  </si>
  <si>
    <t>3. Clamping or location needs to be improved</t>
  </si>
  <si>
    <t>4. Excessive within-part variation</t>
  </si>
  <si>
    <r>
      <t xml:space="preserve">If reproducibility </t>
    </r>
    <r>
      <rPr>
        <sz val="10"/>
        <rFont val="Arial"/>
      </rPr>
      <t xml:space="preserve">(AV-can two appraisers measure the same thing and get the same result) </t>
    </r>
  </si>
  <si>
    <t>is larger than repeatability, reasons include:</t>
  </si>
  <si>
    <t>1. Operator needs to be better trained in how to use and read gage</t>
  </si>
  <si>
    <t>2. Calibrations on gage are not clear</t>
  </si>
  <si>
    <t>3. Fixture required to help operator use gage more consistently</t>
  </si>
  <si>
    <t>Gage System Acceptability</t>
  </si>
  <si>
    <t>%R&amp;R&lt;10%</t>
  </si>
  <si>
    <t>Gage System Okay (Most variation caused by parts, not people or equipment)</t>
  </si>
  <si>
    <t>%R&amp;R&lt;30%</t>
  </si>
  <si>
    <t>May be acceptable based on importance of application and cost of gage or repair</t>
  </si>
  <si>
    <t>%R&amp;R&gt;30%</t>
  </si>
  <si>
    <t>Gage system needs improvement (people and equipment cause over 1/3 of variation)</t>
  </si>
  <si>
    <t>Verified using AIAG Measurement Systems Analysis 3rd Edition</t>
  </si>
  <si>
    <t>Range Method</t>
  </si>
  <si>
    <t xml:space="preserve"> Insert Your Data Here</t>
  </si>
  <si>
    <t>Average</t>
  </si>
  <si>
    <t>g</t>
  </si>
  <si>
    <t>m=2</t>
  </si>
  <si>
    <t>d2</t>
  </si>
  <si>
    <t>GR&amp;R</t>
  </si>
  <si>
    <t>Insert Process Standard Deviation</t>
  </si>
  <si>
    <t>%GR&amp;R</t>
  </si>
  <si>
    <t>Value</t>
  </si>
  <si>
    <t>Reference Value</t>
  </si>
  <si>
    <t>n</t>
  </si>
  <si>
    <t>Average/ Mean</t>
  </si>
  <si>
    <t>Stdev</t>
  </si>
  <si>
    <t>Stdev(r) Stdev(b)</t>
  </si>
  <si>
    <t>t-Statistic/ critical</t>
  </si>
  <si>
    <t>d2*/d2</t>
  </si>
  <si>
    <t>d2*</t>
  </si>
  <si>
    <t>95% Confidence</t>
  </si>
  <si>
    <t>t crit 95%</t>
  </si>
  <si>
    <t>Lower</t>
  </si>
  <si>
    <t>Upper</t>
  </si>
  <si>
    <t>Reference: AIAG MSA Version 3 pgs 85-88</t>
  </si>
  <si>
    <t>Trials</t>
  </si>
  <si>
    <t>&lt;- Insert Your Data Here</t>
  </si>
  <si>
    <t>Gage R&amp;R</t>
  </si>
  <si>
    <t>Part Number</t>
  </si>
  <si>
    <t>Average &amp; Range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</si>
  <si>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</si>
  <si>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</si>
  <si>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</si>
  <si>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</si>
  <si>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</si>
  <si>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</si>
  <si>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</si>
  <si>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</si>
  <si>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</si>
  <si>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</si>
  <si>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Sum</t>
  </si>
  <si>
    <t>Appraiser 1</t>
  </si>
  <si>
    <t>Trial 1</t>
  </si>
  <si>
    <t>Enter your data here-&gt;</t>
  </si>
  <si>
    <t>Trial2</t>
  </si>
  <si>
    <t>Trial3</t>
  </si>
  <si>
    <t>Trial4</t>
  </si>
  <si>
    <t>Xbar1</t>
  </si>
  <si>
    <t>Reference</t>
  </si>
  <si>
    <t>Trial 5</t>
  </si>
  <si>
    <t>&lt;-Insert Reference Value Here</t>
  </si>
  <si>
    <t>Total</t>
  </si>
  <si>
    <t>Bias</t>
  </si>
  <si>
    <t>Average-Appraiser 1</t>
  </si>
  <si>
    <t>Rbar1</t>
  </si>
  <si>
    <t>Range1</t>
  </si>
  <si>
    <t>Appraiser 2</t>
  </si>
  <si>
    <t>Xbar2</t>
  </si>
  <si>
    <t>Average-Appraiser 2</t>
  </si>
  <si>
    <t>Rbar2</t>
  </si>
  <si>
    <t>Range2</t>
  </si>
  <si>
    <t>Appraiser</t>
  </si>
  <si>
    <t>Xbar3</t>
  </si>
  <si>
    <t>Average-Appraiser 3</t>
  </si>
  <si>
    <t>Rbar3</t>
  </si>
  <si>
    <t>Range3</t>
  </si>
  <si>
    <t>K3</t>
  </si>
  <si>
    <t>UCL</t>
  </si>
  <si>
    <t>Part</t>
  </si>
  <si>
    <t>X Averages</t>
  </si>
  <si>
    <t>Range Ave</t>
  </si>
  <si>
    <t>XCL</t>
  </si>
  <si>
    <t>LCL</t>
  </si>
  <si>
    <t>Range</t>
  </si>
  <si>
    <t>Rave</t>
  </si>
  <si>
    <t>Range Average</t>
  </si>
  <si>
    <t>Constants</t>
  </si>
  <si>
    <t>XDiff</t>
  </si>
  <si>
    <t>5 Trials</t>
  </si>
  <si>
    <t>4 Trials</t>
  </si>
  <si>
    <t>3 Trials</t>
  </si>
  <si>
    <t>2 Trials</t>
  </si>
  <si>
    <t># Trials</t>
  </si>
  <si>
    <t>D4</t>
  </si>
  <si>
    <t>UCL represents the limit of the individual R's</t>
  </si>
  <si>
    <t>D3</t>
  </si>
  <si>
    <t xml:space="preserve">Circle those beyond the limit. </t>
  </si>
  <si>
    <t>Linearity evaluates a gauge's ability</t>
  </si>
  <si>
    <t>to measure accurately across a wide range</t>
  </si>
  <si>
    <t>Imagine measuring a baseball bat:</t>
  </si>
  <si>
    <t>1. at the grip</t>
  </si>
  <si>
    <t>2. in the middle</t>
  </si>
  <si>
    <t>3. and at the widest part</t>
  </si>
  <si>
    <t>Reference
Values</t>
  </si>
  <si>
    <t>&lt;- Insert Known Reference Values Here</t>
  </si>
  <si>
    <t>bias=
slope*ref+b</t>
  </si>
  <si>
    <t>Slope=</t>
  </si>
  <si>
    <t>b=</t>
  </si>
  <si>
    <t>Goodness of fit</t>
  </si>
  <si>
    <t>Insert Process Variation</t>
  </si>
  <si>
    <t>Linearity</t>
  </si>
  <si>
    <t>%Linearity</t>
  </si>
  <si>
    <t>Appraiser A</t>
  </si>
  <si>
    <t>Appraiser B</t>
  </si>
  <si>
    <t>Appraiser C</t>
  </si>
  <si>
    <t>Reference Results</t>
  </si>
  <si>
    <t>A-B</t>
  </si>
  <si>
    <t>B-C</t>
  </si>
  <si>
    <t>C-A</t>
  </si>
  <si>
    <t>A-REF</t>
  </si>
  <si>
    <t>B-REF</t>
  </si>
  <si>
    <t>C-REF</t>
  </si>
  <si>
    <t>Part #</t>
  </si>
  <si>
    <t>Trial 2</t>
  </si>
  <si>
    <t>Trial 3</t>
  </si>
  <si>
    <t>Ref Value</t>
  </si>
  <si>
    <t>Code</t>
  </si>
  <si>
    <t>LSL</t>
  </si>
  <si>
    <t>USL</t>
  </si>
  <si>
    <t>Gray zone</t>
  </si>
  <si>
    <t>1. Enter Spec Limits Above</t>
  </si>
  <si>
    <t>2. Have 3 appraisers accept/reject 10+ parts</t>
  </si>
  <si>
    <t>Crosstabulation</t>
  </si>
  <si>
    <t>Miss</t>
  </si>
  <si>
    <t>3. Enter pass/fail in columns B-J</t>
  </si>
  <si>
    <t>B</t>
  </si>
  <si>
    <t>REF</t>
  </si>
  <si>
    <t>Effectiveness</t>
  </si>
  <si>
    <t>Rate</t>
  </si>
  <si>
    <t>4. Enter Reference value in column L</t>
  </si>
  <si>
    <t>A</t>
  </si>
  <si>
    <t>5. Evaluate effectiveness columns AJ-AV</t>
  </si>
  <si>
    <t>C</t>
  </si>
  <si>
    <t>System</t>
  </si>
  <si>
    <t>Acceptable</t>
  </si>
  <si>
    <t>&gt;= 90%</t>
  </si>
  <si>
    <t>Marginal</t>
  </si>
  <si>
    <t>&gt;=80%</t>
  </si>
  <si>
    <t>Unacceptable</t>
  </si>
  <si>
    <t>&lt;80%</t>
  </si>
  <si>
    <t>0 = Fail</t>
  </si>
  <si>
    <t>+ = within spec limits</t>
  </si>
  <si>
    <t>1 = Pass</t>
  </si>
  <si>
    <t>- = outside spec limits</t>
  </si>
  <si>
    <t>x = gray area around spec limits</t>
  </si>
  <si>
    <t>Conclusions / Recommendations</t>
  </si>
  <si>
    <t>Equipment Variation (Repeatability)</t>
  </si>
  <si>
    <t>Operator 1</t>
  </si>
  <si>
    <t>Operator 2</t>
  </si>
  <si>
    <t>Operator 3</t>
  </si>
  <si>
    <t>Appraiser Variation (Reproducibility)</t>
  </si>
  <si>
    <t xml:space="preserve">    (If you don't use enough parts, part variation will be small and magnify the appraiser/equipment variation)</t>
  </si>
  <si>
    <t>2. RANDOMLY, have appraisers measure each part at least twice</t>
  </si>
  <si>
    <t>3. Then enter the results of each measurement in Cells C3:L7, C11:L15, C19:L23</t>
  </si>
  <si>
    <t>4. The template will automatically calculate all of the values based on your data</t>
  </si>
  <si>
    <t>5. Evaluate your measurement system based on %R&amp;R and make adjustments as required.</t>
  </si>
  <si>
    <t>Gage Repeatability and Reproducibility</t>
  </si>
  <si>
    <t>Measurement is one common cause of variation. Gage R&amp;R helps improve measurement systems</t>
  </si>
  <si>
    <r>
      <t xml:space="preserve">If repeatability </t>
    </r>
    <r>
      <rPr>
        <sz val="10"/>
        <rFont val="Arial"/>
      </rPr>
      <t>(EV - Can the same person using the same gauge measure the same thing consistently)</t>
    </r>
  </si>
  <si>
    <t xml:space="preserve"> is larger than reproducibility, reasons include:</t>
  </si>
  <si>
    <t>1. Gage instrument needs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</si>
</sst>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%"/>
    <numFmt numFmtId="167" formatCode="0.00000"/>
    <numFmt numFmtId="168" formatCode="0.0"/>
  </numFmts>
  <fonts count="15" x14ac:knownFonts="1">
    <font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sz val="8"/>
      <name val="MS Sans Serif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8"/>
      <name val="Arial"/>
    </font>
    <font>
      <sz val="8.5"/>
      <name val="Arial"/>
      <family val="2"/>
    </font>
    <font>
      <sz val="10"/>
      <name val="MS Sans Serif"/>
      <family val="2"/>
    </font>
    <font>
      <sz val="8"/>
      <color indexed="81"/>
      <name val="Tahoma"/>
    </font>
    <font>
      <i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9" fontId="2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Border="1"/>
    <xf numFmtId="0" fontId="0" fillId="2" borderId="0" xfId="0" applyFill="1"/>
    <xf numFmtId="0" fontId="0" fillId="0" borderId="0" xfId="0" applyFill="1"/>
    <xf numFmtId="0" fontId="0" fillId="3" borderId="13" xfId="0" applyFill="1" applyBorder="1"/>
    <xf numFmtId="0" fontId="0" fillId="3" borderId="0" xfId="0" applyFill="1"/>
    <xf numFmtId="0" fontId="0" fillId="3" borderId="0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7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Alignment="1">
      <alignment wrapText="1"/>
    </xf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0" xfId="0" applyFill="1" applyAlignment="1">
      <alignment wrapText="1"/>
    </xf>
    <xf numFmtId="9" fontId="0" fillId="3" borderId="0" xfId="2" applyFont="1" applyFill="1"/>
    <xf numFmtId="0" fontId="0" fillId="2" borderId="7" xfId="0" applyFill="1" applyBorder="1"/>
    <xf numFmtId="2" fontId="0" fillId="2" borderId="7" xfId="0" applyNumberFormat="1" applyFill="1" applyBorder="1"/>
    <xf numFmtId="2" fontId="0" fillId="3" borderId="7" xfId="0" applyNumberFormat="1" applyFill="1" applyBorder="1"/>
    <xf numFmtId="0" fontId="6" fillId="3" borderId="14" xfId="1" applyFill="1" applyBorder="1"/>
    <xf numFmtId="0" fontId="4" fillId="3" borderId="22" xfId="1" applyFont="1" applyFill="1" applyBorder="1" applyAlignment="1">
      <alignment horizontal="centerContinuous"/>
    </xf>
    <xf numFmtId="0" fontId="6" fillId="3" borderId="23" xfId="1" applyFill="1" applyBorder="1" applyAlignment="1">
      <alignment horizontal="centerContinuous"/>
    </xf>
    <xf numFmtId="0" fontId="6" fillId="3" borderId="0" xfId="1" applyFill="1"/>
    <xf numFmtId="0" fontId="4" fillId="3" borderId="0" xfId="1" applyFont="1" applyFill="1" applyAlignment="1">
      <alignment horizontal="center"/>
    </xf>
    <xf numFmtId="0" fontId="6" fillId="3" borderId="24" xfId="1" applyFill="1" applyBorder="1"/>
    <xf numFmtId="0" fontId="6" fillId="3" borderId="22" xfId="1" applyFill="1" applyBorder="1" applyAlignment="1">
      <alignment horizontal="center"/>
    </xf>
    <xf numFmtId="0" fontId="6" fillId="3" borderId="22" xfId="1" applyFill="1" applyBorder="1"/>
    <xf numFmtId="0" fontId="6" fillId="3" borderId="24" xfId="1" applyFill="1" applyBorder="1" applyAlignment="1">
      <alignment horizontal="center"/>
    </xf>
    <xf numFmtId="0" fontId="6" fillId="3" borderId="23" xfId="1" applyFill="1" applyBorder="1"/>
    <xf numFmtId="0" fontId="6" fillId="0" borderId="0" xfId="1"/>
    <xf numFmtId="0" fontId="7" fillId="3" borderId="7" xfId="1" applyFont="1" applyFill="1" applyBorder="1" applyAlignment="1">
      <alignment horizontal="left"/>
    </xf>
    <xf numFmtId="0" fontId="7" fillId="3" borderId="7" xfId="1" applyFont="1" applyFill="1" applyBorder="1" applyAlignment="1">
      <alignment horizontal="center"/>
    </xf>
    <xf numFmtId="0" fontId="6" fillId="3" borderId="7" xfId="1" applyFill="1" applyBorder="1"/>
    <xf numFmtId="0" fontId="6" fillId="3" borderId="7" xfId="1" applyFill="1" applyBorder="1" applyAlignment="1">
      <alignment horizontal="center"/>
    </xf>
    <xf numFmtId="0" fontId="6" fillId="3" borderId="25" xfId="1" applyFill="1" applyBorder="1" applyAlignment="1">
      <alignment horizontal="center"/>
    </xf>
    <xf numFmtId="0" fontId="6" fillId="3" borderId="15" xfId="1" applyFill="1" applyBorder="1" applyAlignment="1">
      <alignment horizontal="center"/>
    </xf>
    <xf numFmtId="0" fontId="6" fillId="3" borderId="16" xfId="1" applyFill="1" applyBorder="1" applyAlignment="1">
      <alignment horizontal="center"/>
    </xf>
    <xf numFmtId="0" fontId="6" fillId="2" borderId="7" xfId="1" applyFill="1" applyBorder="1" applyAlignment="1">
      <alignment horizontal="center"/>
    </xf>
    <xf numFmtId="9" fontId="6" fillId="2" borderId="7" xfId="1" applyNumberFormat="1" applyFill="1" applyBorder="1" applyAlignment="1">
      <alignment horizontal="center"/>
    </xf>
    <xf numFmtId="167" fontId="6" fillId="3" borderId="7" xfId="1" applyNumberFormat="1" applyFill="1" applyBorder="1" applyAlignment="1">
      <alignment horizontal="center"/>
    </xf>
    <xf numFmtId="0" fontId="6" fillId="3" borderId="26" xfId="1" applyFill="1" applyBorder="1"/>
    <xf numFmtId="0" fontId="6" fillId="3" borderId="0" xfId="1" applyFill="1" applyBorder="1"/>
    <xf numFmtId="0" fontId="8" fillId="0" borderId="0" xfId="1" applyFont="1"/>
    <xf numFmtId="0" fontId="4" fillId="0" borderId="0" xfId="1" applyFont="1" applyAlignment="1">
      <alignment horizontal="centerContinuous"/>
    </xf>
    <xf numFmtId="0" fontId="4" fillId="0" borderId="27" xfId="1" applyFont="1" applyBorder="1"/>
    <xf numFmtId="0" fontId="4" fillId="0" borderId="1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1" xfId="1" applyFont="1" applyBorder="1"/>
    <xf numFmtId="0" fontId="4" fillId="0" borderId="12" xfId="1" applyFont="1" applyBorder="1" applyAlignment="1">
      <alignment horizontal="centerContinuous"/>
    </xf>
    <xf numFmtId="0" fontId="4" fillId="0" borderId="28" xfId="1" applyFont="1" applyBorder="1" applyAlignment="1">
      <alignment horizontal="center"/>
    </xf>
    <xf numFmtId="0" fontId="4" fillId="0" borderId="29" xfId="1" applyFont="1" applyBorder="1"/>
    <xf numFmtId="0" fontId="4" fillId="0" borderId="15" xfId="1" applyFont="1" applyBorder="1" applyAlignment="1">
      <alignment horizontal="right"/>
    </xf>
    <xf numFmtId="0" fontId="4" fillId="0" borderId="30" xfId="1" applyFont="1" applyBorder="1" applyAlignment="1">
      <alignment horizontal="center"/>
    </xf>
    <xf numFmtId="0" fontId="4" fillId="0" borderId="31" xfId="1" applyFont="1" applyBorder="1"/>
    <xf numFmtId="0" fontId="4" fillId="0" borderId="7" xfId="1" applyFont="1" applyBorder="1"/>
    <xf numFmtId="0" fontId="4" fillId="0" borderId="32" xfId="1" applyFont="1" applyBorder="1"/>
    <xf numFmtId="0" fontId="4" fillId="0" borderId="31" xfId="1" applyFont="1" applyBorder="1" applyAlignment="1">
      <alignment horizontal="right"/>
    </xf>
    <xf numFmtId="9" fontId="6" fillId="0" borderId="7" xfId="2" applyFont="1" applyBorder="1" applyAlignment="1">
      <alignment horizontal="center"/>
    </xf>
    <xf numFmtId="9" fontId="6" fillId="0" borderId="32" xfId="2" applyFont="1" applyBorder="1" applyAlignment="1">
      <alignment horizontal="center"/>
    </xf>
    <xf numFmtId="0" fontId="6" fillId="4" borderId="7" xfId="1" applyFill="1" applyBorder="1"/>
    <xf numFmtId="0" fontId="6" fillId="5" borderId="7" xfId="1" applyFill="1" applyBorder="1"/>
    <xf numFmtId="0" fontId="6" fillId="3" borderId="32" xfId="1" applyFill="1" applyBorder="1"/>
    <xf numFmtId="0" fontId="4" fillId="0" borderId="10" xfId="1" applyFont="1" applyBorder="1" applyAlignment="1">
      <alignment horizontal="right"/>
    </xf>
    <xf numFmtId="9" fontId="6" fillId="0" borderId="21" xfId="2" applyFont="1" applyBorder="1" applyAlignment="1">
      <alignment horizontal="center"/>
    </xf>
    <xf numFmtId="9" fontId="6" fillId="0" borderId="20" xfId="2" applyFont="1" applyBorder="1" applyAlignment="1">
      <alignment horizontal="center"/>
    </xf>
    <xf numFmtId="0" fontId="4" fillId="0" borderId="10" xfId="1" applyFont="1" applyBorder="1"/>
    <xf numFmtId="0" fontId="6" fillId="3" borderId="21" xfId="1" applyFill="1" applyBorder="1"/>
    <xf numFmtId="0" fontId="6" fillId="3" borderId="20" xfId="1" applyFill="1" applyBorder="1"/>
    <xf numFmtId="0" fontId="6" fillId="0" borderId="33" xfId="1" applyBorder="1" applyAlignment="1">
      <alignment horizontal="left"/>
    </xf>
    <xf numFmtId="9" fontId="6" fillId="0" borderId="34" xfId="2" applyFont="1" applyBorder="1" applyAlignment="1">
      <alignment horizontal="center"/>
    </xf>
    <xf numFmtId="9" fontId="6" fillId="0" borderId="35" xfId="2" applyFont="1" applyBorder="1" applyAlignment="1">
      <alignment horizontal="center"/>
    </xf>
    <xf numFmtId="0" fontId="6" fillId="0" borderId="0" xfId="1" applyAlignment="1">
      <alignment horizontal="centerContinuous"/>
    </xf>
    <xf numFmtId="9" fontId="6" fillId="0" borderId="0" xfId="1" applyNumberFormat="1" applyAlignment="1">
      <alignment horizontal="centerContinuous"/>
    </xf>
    <xf numFmtId="0" fontId="4" fillId="0" borderId="36" xfId="1" applyFont="1" applyBorder="1" applyAlignment="1">
      <alignment horizontal="centerContinuous"/>
    </xf>
    <xf numFmtId="0" fontId="4" fillId="0" borderId="37" xfId="1" applyFont="1" applyBorder="1" applyAlignment="1">
      <alignment horizontal="centerContinuous"/>
    </xf>
    <xf numFmtId="0" fontId="4" fillId="0" borderId="38" xfId="1" applyFont="1" applyBorder="1" applyAlignment="1">
      <alignment horizontal="centerContinuous"/>
    </xf>
    <xf numFmtId="0" fontId="6" fillId="0" borderId="31" xfId="1" applyBorder="1" applyAlignment="1">
      <alignment horizontal="centerContinuous"/>
    </xf>
    <xf numFmtId="0" fontId="6" fillId="0" borderId="7" xfId="1" applyBorder="1" applyAlignment="1">
      <alignment horizontal="centerContinuous"/>
    </xf>
    <xf numFmtId="0" fontId="6" fillId="0" borderId="32" xfId="1" applyBorder="1"/>
    <xf numFmtId="0" fontId="6" fillId="0" borderId="10" xfId="1" applyBorder="1" applyAlignment="1">
      <alignment horizontal="centerContinuous"/>
    </xf>
    <xf numFmtId="0" fontId="6" fillId="0" borderId="21" xfId="1" applyBorder="1" applyAlignment="1">
      <alignment horizontal="centerContinuous"/>
    </xf>
    <xf numFmtId="0" fontId="6" fillId="0" borderId="20" xfId="1" applyBorder="1"/>
    <xf numFmtId="0" fontId="6" fillId="3" borderId="25" xfId="1" applyFill="1" applyBorder="1"/>
    <xf numFmtId="0" fontId="6" fillId="3" borderId="15" xfId="1" applyFill="1" applyBorder="1"/>
    <xf numFmtId="0" fontId="6" fillId="3" borderId="16" xfId="1" applyFill="1" applyBorder="1"/>
    <xf numFmtId="0" fontId="6" fillId="0" borderId="0" xfId="1" quotePrefix="1"/>
    <xf numFmtId="0" fontId="1" fillId="2" borderId="7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24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wrapText="1"/>
    </xf>
    <xf numFmtId="0" fontId="1" fillId="3" borderId="23" xfId="0" applyFont="1" applyFill="1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0" fillId="3" borderId="23" xfId="0" applyFill="1" applyBorder="1" applyAlignment="1">
      <alignment wrapText="1"/>
    </xf>
    <xf numFmtId="168" fontId="0" fillId="2" borderId="7" xfId="0" applyNumberFormat="1" applyFill="1" applyBorder="1"/>
    <xf numFmtId="168" fontId="0" fillId="3" borderId="7" xfId="0" applyNumberFormat="1" applyFill="1" applyBorder="1"/>
    <xf numFmtId="0" fontId="0" fillId="3" borderId="26" xfId="0" applyFill="1" applyBorder="1" applyAlignment="1">
      <alignment horizontal="center"/>
    </xf>
    <xf numFmtId="0" fontId="1" fillId="3" borderId="26" xfId="0" applyFont="1" applyFill="1" applyBorder="1"/>
    <xf numFmtId="0" fontId="1" fillId="3" borderId="25" xfId="0" applyFont="1" applyFill="1" applyBorder="1" applyAlignment="1">
      <alignment horizontal="right"/>
    </xf>
    <xf numFmtId="165" fontId="0" fillId="3" borderId="15" xfId="0" applyNumberFormat="1" applyFill="1" applyBorder="1"/>
    <xf numFmtId="0" fontId="1" fillId="3" borderId="15" xfId="0" applyFont="1" applyFill="1" applyBorder="1"/>
    <xf numFmtId="0" fontId="1" fillId="3" borderId="25" xfId="0" applyFont="1" applyFill="1" applyBorder="1"/>
    <xf numFmtId="0" fontId="5" fillId="0" borderId="0" xfId="0" applyFont="1"/>
    <xf numFmtId="0" fontId="9" fillId="0" borderId="0" xfId="0" applyFont="1"/>
    <xf numFmtId="0" fontId="9" fillId="0" borderId="0" xfId="0" quotePrefix="1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0" xfId="0" applyFont="1" applyFill="1"/>
    <xf numFmtId="0" fontId="9" fillId="2" borderId="3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0" xfId="0" applyFont="1" applyFill="1" applyBorder="1"/>
    <xf numFmtId="164" fontId="9" fillId="3" borderId="7" xfId="0" applyNumberFormat="1" applyFont="1" applyFill="1" applyBorder="1"/>
    <xf numFmtId="0" fontId="9" fillId="3" borderId="32" xfId="0" applyFont="1" applyFill="1" applyBorder="1"/>
    <xf numFmtId="0" fontId="9" fillId="0" borderId="3" xfId="0" applyFont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9" fillId="0" borderId="3" xfId="0" applyFont="1" applyBorder="1"/>
    <xf numFmtId="164" fontId="9" fillId="2" borderId="0" xfId="0" applyNumberFormat="1" applyFont="1" applyFill="1"/>
    <xf numFmtId="0" fontId="9" fillId="2" borderId="0" xfId="0" applyFont="1" applyFill="1"/>
    <xf numFmtId="0" fontId="9" fillId="3" borderId="40" xfId="0" applyFont="1" applyFill="1" applyBorder="1" applyAlignment="1">
      <alignment horizontal="center"/>
    </xf>
    <xf numFmtId="0" fontId="9" fillId="3" borderId="40" xfId="0" applyFont="1" applyFill="1" applyBorder="1"/>
    <xf numFmtId="164" fontId="9" fillId="3" borderId="40" xfId="0" applyNumberFormat="1" applyFont="1" applyFill="1" applyBorder="1"/>
    <xf numFmtId="0" fontId="9" fillId="0" borderId="3" xfId="0" applyFont="1" applyBorder="1" applyAlignment="1">
      <alignment horizontal="right"/>
    </xf>
    <xf numFmtId="0" fontId="9" fillId="3" borderId="40" xfId="0" applyFont="1" applyFill="1" applyBorder="1" applyAlignment="1">
      <alignment horizontal="left"/>
    </xf>
    <xf numFmtId="164" fontId="11" fillId="3" borderId="0" xfId="0" applyNumberFormat="1" applyFont="1" applyFill="1" applyAlignment="1">
      <alignment horizontal="right"/>
    </xf>
    <xf numFmtId="0" fontId="9" fillId="0" borderId="41" xfId="0" applyFont="1" applyBorder="1"/>
    <xf numFmtId="0" fontId="9" fillId="3" borderId="42" xfId="0" applyFont="1" applyFill="1" applyBorder="1" applyAlignment="1">
      <alignment horizontal="center"/>
    </xf>
    <xf numFmtId="0" fontId="9" fillId="3" borderId="42" xfId="0" applyFont="1" applyFill="1" applyBorder="1"/>
    <xf numFmtId="0" fontId="9" fillId="3" borderId="26" xfId="0" applyFont="1" applyFill="1" applyBorder="1"/>
    <xf numFmtId="0" fontId="9" fillId="3" borderId="43" xfId="0" applyFont="1" applyFill="1" applyBorder="1"/>
    <xf numFmtId="0" fontId="11" fillId="3" borderId="0" xfId="0" applyFont="1" applyFill="1" applyAlignment="1">
      <alignment horizontal="left"/>
    </xf>
    <xf numFmtId="164" fontId="11" fillId="2" borderId="0" xfId="0" applyNumberFormat="1" applyFont="1" applyFill="1" applyAlignment="1">
      <alignment horizontal="right"/>
    </xf>
    <xf numFmtId="164" fontId="9" fillId="3" borderId="0" xfId="0" applyNumberFormat="1" applyFont="1" applyFill="1" applyAlignment="1">
      <alignment horizontal="right"/>
    </xf>
    <xf numFmtId="0" fontId="9" fillId="3" borderId="44" xfId="0" applyFont="1" applyFill="1" applyBorder="1"/>
    <xf numFmtId="0" fontId="9" fillId="3" borderId="0" xfId="0" applyFont="1" applyFill="1" applyAlignment="1">
      <alignment horizontal="left"/>
    </xf>
    <xf numFmtId="164" fontId="9" fillId="3" borderId="0" xfId="0" applyNumberFormat="1" applyFont="1" applyFill="1"/>
    <xf numFmtId="0" fontId="11" fillId="3" borderId="0" xfId="0" applyFont="1" applyFill="1"/>
    <xf numFmtId="165" fontId="9" fillId="3" borderId="0" xfId="0" applyNumberFormat="1" applyFont="1" applyFill="1"/>
    <xf numFmtId="164" fontId="9" fillId="3" borderId="0" xfId="0" applyNumberFormat="1" applyFont="1" applyFill="1" applyBorder="1"/>
    <xf numFmtId="165" fontId="9" fillId="0" borderId="0" xfId="0" applyNumberFormat="1" applyFont="1"/>
    <xf numFmtId="0" fontId="5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1" fillId="0" borderId="0" xfId="0" applyFont="1" applyAlignment="1">
      <alignment horizontal="left"/>
    </xf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3" xfId="0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right"/>
    </xf>
    <xf numFmtId="0" fontId="9" fillId="3" borderId="14" xfId="0" applyFont="1" applyFill="1" applyBorder="1"/>
    <xf numFmtId="0" fontId="9" fillId="0" borderId="0" xfId="0" applyFont="1" applyBorder="1"/>
    <xf numFmtId="0" fontId="11" fillId="0" borderId="0" xfId="0" applyFont="1"/>
    <xf numFmtId="0" fontId="9" fillId="3" borderId="25" xfId="0" applyFont="1" applyFill="1" applyBorder="1"/>
    <xf numFmtId="0" fontId="9" fillId="3" borderId="15" xfId="0" applyFont="1" applyFill="1" applyBorder="1"/>
    <xf numFmtId="0" fontId="9" fillId="3" borderId="15" xfId="0" applyFont="1" applyFill="1" applyBorder="1" applyAlignment="1">
      <alignment horizontal="right"/>
    </xf>
    <xf numFmtId="0" fontId="9" fillId="3" borderId="16" xfId="0" applyFont="1" applyFill="1" applyBorder="1"/>
    <xf numFmtId="2" fontId="9" fillId="0" borderId="0" xfId="0" applyNumberFormat="1" applyFont="1"/>
    <xf numFmtId="0" fontId="9" fillId="0" borderId="0" xfId="0" applyFont="1" applyFill="1"/>
    <xf numFmtId="0" fontId="9" fillId="0" borderId="0" xfId="0" applyFont="1" applyAlignment="1">
      <alignment horizontal="center"/>
    </xf>
    <xf numFmtId="9" fontId="9" fillId="0" borderId="0" xfId="2" applyFont="1"/>
    <xf numFmtId="0" fontId="9" fillId="3" borderId="24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167" fontId="9" fillId="0" borderId="0" xfId="0" applyNumberFormat="1" applyFont="1"/>
    <xf numFmtId="0" fontId="9" fillId="3" borderId="7" xfId="0" applyFont="1" applyFill="1" applyBorder="1"/>
    <xf numFmtId="165" fontId="9" fillId="3" borderId="7" xfId="0" applyNumberFormat="1" applyFont="1" applyFill="1" applyBorder="1"/>
    <xf numFmtId="0" fontId="5" fillId="0" borderId="41" xfId="0" applyFont="1" applyBorder="1"/>
    <xf numFmtId="0" fontId="9" fillId="0" borderId="0" xfId="0" applyFont="1" applyAlignment="1">
      <alignment horizontal="right"/>
    </xf>
    <xf numFmtId="0" fontId="9" fillId="0" borderId="7" xfId="0" applyFont="1" applyBorder="1" applyAlignment="1">
      <alignment wrapText="1"/>
    </xf>
    <xf numFmtId="0" fontId="10" fillId="0" borderId="7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5" fillId="0" borderId="45" xfId="0" applyFont="1" applyBorder="1"/>
    <xf numFmtId="167" fontId="9" fillId="3" borderId="7" xfId="0" applyNumberFormat="1" applyFont="1" applyFill="1" applyBorder="1"/>
    <xf numFmtId="0" fontId="9" fillId="3" borderId="7" xfId="0" applyFont="1" applyFill="1" applyBorder="1" applyAlignment="1">
      <alignment horizontal="right"/>
    </xf>
    <xf numFmtId="9" fontId="9" fillId="3" borderId="7" xfId="2" applyFont="1" applyFill="1" applyBorder="1"/>
    <xf numFmtId="0" fontId="9" fillId="0" borderId="46" xfId="0" applyFont="1" applyBorder="1"/>
    <xf numFmtId="0" fontId="1" fillId="0" borderId="3" xfId="0" applyFont="1" applyBorder="1"/>
    <xf numFmtId="165" fontId="0" fillId="3" borderId="7" xfId="0" applyNumberFormat="1" applyFill="1" applyBorder="1"/>
    <xf numFmtId="0" fontId="2" fillId="0" borderId="5" xfId="0" applyFont="1" applyBorder="1"/>
    <xf numFmtId="0" fontId="1" fillId="0" borderId="28" xfId="0" applyFont="1" applyBorder="1"/>
    <xf numFmtId="167" fontId="12" fillId="3" borderId="32" xfId="0" applyNumberFormat="1" applyFont="1" applyFill="1" applyBorder="1"/>
    <xf numFmtId="165" fontId="9" fillId="2" borderId="39" xfId="0" applyNumberFormat="1" applyFont="1" applyFill="1" applyBorder="1" applyAlignment="1">
      <alignment horizontal="left"/>
    </xf>
    <xf numFmtId="165" fontId="9" fillId="2" borderId="40" xfId="0" applyNumberFormat="1" applyFont="1" applyFill="1" applyBorder="1" applyAlignment="1">
      <alignment horizontal="left"/>
    </xf>
    <xf numFmtId="164" fontId="9" fillId="3" borderId="46" xfId="0" applyNumberFormat="1" applyFont="1" applyFill="1" applyBorder="1"/>
    <xf numFmtId="0" fontId="9" fillId="3" borderId="21" xfId="0" applyFont="1" applyFill="1" applyBorder="1"/>
    <xf numFmtId="0" fontId="10" fillId="0" borderId="47" xfId="0" applyFont="1" applyBorder="1"/>
    <xf numFmtId="0" fontId="4" fillId="0" borderId="0" xfId="0" applyFont="1"/>
    <xf numFmtId="165" fontId="9" fillId="2" borderId="0" xfId="0" applyNumberFormat="1" applyFont="1" applyFill="1"/>
    <xf numFmtId="0" fontId="14" fillId="2" borderId="0" xfId="0" applyFont="1" applyFill="1"/>
    <xf numFmtId="165" fontId="14" fillId="2" borderId="0" xfId="0" applyNumberFormat="1" applyFont="1" applyFill="1"/>
    <xf numFmtId="0" fontId="14" fillId="0" borderId="0" xfId="0" applyFont="1"/>
    <xf numFmtId="166" fontId="9" fillId="6" borderId="0" xfId="0" applyNumberFormat="1" applyFont="1" applyFill="1"/>
  </cellXfs>
  <cellStyles count="3">
    <cellStyle name="Normal" xfId="0" builtinId="0"/>
    <cellStyle name="Normal_Attribute Gage Worksheet" xfId="1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Gage R&amp;R Values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7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('GAGER&amp;R'!#REF!,'GAGER&amp;R'!#REF!,'GAGER&amp;R'!#REF!,'GAGER&amp;R'!#REF!,'GAGER&amp;R'!#REF!)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('GAGER&amp;R'!#REF!,'GAGER&amp;R'!#REF!,'GAGER&amp;R'!#REF!,'GAGER&amp;R'!#REF!,'GAGER&amp;R'!#REF!)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39761152"/>
        <c:axId val="139542528"/>
        <c:axId val="0"/>
      </c:bar3DChart>
      <c:catAx>
        <c:axId val="1397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2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54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Gage R&amp;R Percentages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8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('GAGER&amp;R'!#REF!,'GAGER&amp;R'!#REF!,'GAGER&amp;R'!#REF!,'GAGER&amp;R'!#REF!)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('GAGER&amp;R'!#REF!,'GAGER&amp;R'!#REF!,'GAGER&amp;R'!#REF!,'GAGER&amp;R'!#REF!)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39763200"/>
        <c:axId val="139543680"/>
        <c:axId val="0"/>
      </c:bar3DChart>
      <c:catAx>
        <c:axId val="1397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3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54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Percentages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Part by Appraiser Plot (Stacked)</a:t>
            </a:r>
          </a:p>
        </c:rich>
      </c:tx>
      <c:layout>
        <c:manualLayout>
          <c:xMode val="edge"/>
          <c:yMode val="edge"/>
          <c:x val="0.42330102104125"/>
          <c:y val="3.5087659183697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514568975008597E-2"/>
          <c:y val="0.150876934489901"/>
          <c:w val="0.83203893356043901"/>
          <c:h val="0.69122688591884895"/>
        </c:manualLayout>
      </c:layout>
      <c:lineChart>
        <c:grouping val="standard"/>
        <c:varyColors val="0"/>
        <c:ser>
          <c:idx val="0"/>
          <c:order val="0"/>
          <c:tx>
            <c:strRef>
              <c:f>'GAGER&amp;R'!$B$9</c:f>
              <c:strCache>
                <c:ptCount val="1"/>
                <c:pt idx="0">
                  <c:v>Average-Appraiser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'GAGER&amp;R'!$C$9:$L$9</c:f>
              <c:numCache>
                <c:formatCode>General</c:formatCode>
                <c:ptCount val="10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'GAGER&amp;R'!$B$17</c:f>
              <c:strCache>
                <c:ptCount val="1"/>
                <c:pt idx="0">
                  <c:v>Average-Appraiser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'GAGER&amp;R'!$C$17:$L$17</c:f>
              <c:numCache>
                <c:formatCode>General</c:formatCode>
                <c:ptCount val="10"/>
                <c:pt idx="0">
                  <c:v>3.25</c:v>
                </c:pt>
                <c:pt idx="1">
                  <c:v>3.75</c:v>
                </c:pt>
                <c:pt idx="2">
                  <c:v>3.8333333333333335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'GAGER&amp;R'!$B$25</c:f>
              <c:strCache>
                <c:ptCount val="1"/>
                <c:pt idx="0">
                  <c:v>Average-Appraiser 3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'GAGER&amp;R'!$B$28</c:f>
              <c:strCache>
                <c:ptCount val="1"/>
                <c:pt idx="0">
                  <c:v>UCL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'GAGER&amp;R'!$C$28:$L$28</c:f>
            </c:numRef>
          </c:val>
          <c:smooth val="0"/>
        </c:ser>
        <c:ser>
          <c:idx val="4"/>
          <c:order val="4"/>
          <c:tx>
            <c:strRef>
              <c:f>'GAGER&amp;R'!$B$30</c:f>
              <c:strCache>
                <c:ptCount val="1"/>
                <c:pt idx="0">
                  <c:v>XCL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'GAGER&amp;R'!$C$30:$L$30</c:f>
            </c:numRef>
          </c:val>
          <c:smooth val="0"/>
        </c:ser>
        <c:ser>
          <c:idx val="5"/>
          <c:order val="5"/>
          <c:tx>
            <c:strRef>
              <c:f>'GAGER&amp;R'!$B$31</c:f>
              <c:strCache>
                <c:ptCount val="1"/>
                <c:pt idx="0">
                  <c:v>LCL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'GAGER&amp;R'!$C$31:$L$31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25504"/>
        <c:axId val="139545408"/>
      </c:lineChart>
      <c:catAx>
        <c:axId val="6199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Part</a:t>
                </a:r>
              </a:p>
            </c:rich>
          </c:tx>
          <c:layout>
            <c:manualLayout>
              <c:xMode val="edge"/>
              <c:yMode val="edge"/>
              <c:x val="0.45533985978978497"/>
              <c:y val="0.90526160693940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5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54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Averagge</a:t>
                </a:r>
              </a:p>
            </c:rich>
          </c:tx>
          <c:layout>
            <c:manualLayout>
              <c:xMode val="edge"/>
              <c:yMode val="edge"/>
              <c:x val="1.4563108522061399E-2"/>
              <c:y val="0.42456067612274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925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20398935309697"/>
          <c:y val="0.410525612449266"/>
          <c:w val="0.100000011851488"/>
          <c:h val="0.11929804122457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Range of Parts by Appraiser</a:t>
            </a:r>
          </a:p>
        </c:rich>
      </c:tx>
      <c:layout>
        <c:manualLayout>
          <c:xMode val="edge"/>
          <c:yMode val="edge"/>
          <c:x val="0.431773981884571"/>
          <c:y val="3.4965005117558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32955065978703E-2"/>
          <c:y val="0.150349522005503"/>
          <c:w val="0.87524387298497697"/>
          <c:h val="0.6888106008159069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('GAGER&amp;R'!$C$2:$L$2,'GAGER&amp;R'!$C$2:$L$2,'GAGER&amp;R'!$C$2:$L$2)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strCache>
            </c:strRef>
          </c:cat>
          <c:val>
            <c:numRef>
              <c:f>('GAGER&amp;R'!$C$10:$L$10,'GAGER&amp;R'!$C$18:$L$18,'GAGER&amp;R'!$C$26:$L$26)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'GAGER&amp;R'!$B$32</c:f>
              <c:strCache>
                <c:ptCount val="1"/>
                <c:pt idx="0">
                  <c:v>UCL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('GAGER&amp;R'!$C$32:$L$32,'GAGER&amp;R'!$C$32:$L$32,'GAGER&amp;R'!$C$32:$L$32)</c:f>
            </c:numRef>
          </c:val>
          <c:smooth val="0"/>
        </c:ser>
        <c:ser>
          <c:idx val="4"/>
          <c:order val="2"/>
          <c:tx>
            <c:strRef>
              <c:f>'GAGER&amp;R'!$B$34</c:f>
              <c:strCache>
                <c:ptCount val="1"/>
                <c:pt idx="0">
                  <c:v>Rave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('GAGER&amp;R'!$C$34:$L$34,'GAGER&amp;R'!$C$34:$L$34,'GAGER&amp;R'!$C$34:$L$34)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62176"/>
        <c:axId val="139547712"/>
      </c:lineChart>
      <c:catAx>
        <c:axId val="1397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Appraiser 2</a:t>
                </a:r>
              </a:p>
            </c:rich>
          </c:tx>
          <c:layout>
            <c:manualLayout>
              <c:xMode val="edge"/>
              <c:yMode val="edge"/>
              <c:x val="0.46491239132943601"/>
              <c:y val="0.90209713203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5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1.55945456211132E-2"/>
              <c:y val="0.44405556499299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2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772718627562856"/>
          <c:y val="0.48601357113406601"/>
          <c:w val="6.6425120772946863E-2"/>
          <c:h val="4.1958006141070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Part by Appraiser Plot</a:t>
            </a:r>
          </a:p>
        </c:rich>
      </c:tx>
      <c:layout>
        <c:manualLayout>
          <c:xMode val="edge"/>
          <c:yMode val="edge"/>
          <c:x val="0.44660199467654899"/>
          <c:y val="3.4965005117558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514568975008597E-2"/>
          <c:y val="0.150349522005503"/>
          <c:w val="0.875728259126624"/>
          <c:h val="0.692307101327663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('GAGER&amp;R'!$C$2:$L$2,'GAGER&amp;R'!$C$2:$L$2,'GAGER&amp;R'!$C$2:$L$2)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strCache>
            </c:strRef>
          </c:cat>
          <c:val>
            <c:numRef>
              <c:f>('GAGER&amp;R'!$C$9:$L$9,'GAGER&amp;R'!$C$17:$L$17,'GAGER&amp;R'!$C$25:$L$25)</c:f>
              <c:numCache>
                <c:formatCode>General</c:formatCode>
                <c:ptCount val="30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3.25</c:v>
                </c:pt>
                <c:pt idx="11">
                  <c:v>3.75</c:v>
                </c:pt>
                <c:pt idx="12">
                  <c:v>3.8333333333333335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'GAGER&amp;R'!$B$28</c:f>
              <c:strCache>
                <c:ptCount val="1"/>
                <c:pt idx="0">
                  <c:v>UCL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('GAGER&amp;R'!$C$28:$L$28,'GAGER&amp;R'!$C$28:$L$28,'GAGER&amp;R'!$C$28:$L$28)</c:f>
            </c:numRef>
          </c:val>
          <c:smooth val="0"/>
        </c:ser>
        <c:ser>
          <c:idx val="4"/>
          <c:order val="2"/>
          <c:tx>
            <c:strRef>
              <c:f>'GAGER&amp;R'!$B$30</c:f>
              <c:strCache>
                <c:ptCount val="1"/>
                <c:pt idx="0">
                  <c:v>XCL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('GAGER&amp;R'!$C$30:$L$30,'GAGER&amp;R'!$C$30:$L$30,'GAGER&amp;R'!$C$30:$L$30)</c:f>
            </c:numRef>
          </c:val>
          <c:smooth val="0"/>
        </c:ser>
        <c:ser>
          <c:idx val="5"/>
          <c:order val="3"/>
          <c:tx>
            <c:strRef>
              <c:f>'GAGER&amp;R'!$B$31</c:f>
              <c:strCache>
                <c:ptCount val="1"/>
                <c:pt idx="0">
                  <c:v>LCL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('GAGER&amp;R'!$C$31:$L$31,'GAGER&amp;R'!$C$31:$L$31,'GAGER&amp;R'!$C$31:$L$31)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27552"/>
        <c:axId val="139550016"/>
      </c:lineChart>
      <c:catAx>
        <c:axId val="6199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Appraiser 2</a:t>
                </a:r>
              </a:p>
            </c:rich>
          </c:tx>
          <c:layout>
            <c:manualLayout>
              <c:xMode val="edge"/>
              <c:yMode val="edge"/>
              <c:x val="0.466019472705964"/>
              <c:y val="0.90559363254477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50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55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Averagge</a:t>
                </a:r>
              </a:p>
            </c:rich>
          </c:tx>
          <c:layout>
            <c:manualLayout>
              <c:xMode val="edge"/>
              <c:yMode val="edge"/>
              <c:x val="1.4563108522061399E-2"/>
              <c:y val="0.426573062434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92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179281727108054"/>
          <c:y val="0.47902065944225286"/>
          <c:w val="6.7033473808731661E-2"/>
          <c:h val="4.1958006141070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Range of Parts by Appraiser (Stacked)</a:t>
            </a:r>
          </a:p>
        </c:rich>
      </c:tx>
      <c:layout>
        <c:manualLayout>
          <c:xMode val="edge"/>
          <c:yMode val="edge"/>
          <c:x val="0.40838216345290101"/>
          <c:y val="3.4843205574912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32955065978703E-2"/>
          <c:y val="0.14982578397212501"/>
          <c:w val="0.87426921388365697"/>
          <c:h val="0.68989547038327503"/>
        </c:manualLayout>
      </c:layout>
      <c:lineChart>
        <c:grouping val="standard"/>
        <c:varyColors val="0"/>
        <c:ser>
          <c:idx val="0"/>
          <c:order val="0"/>
          <c:tx>
            <c:strRef>
              <c:f>'GAGER&amp;R'!$B$10</c:f>
              <c:strCache>
                <c:ptCount val="1"/>
                <c:pt idx="0">
                  <c:v>Range1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'GAGER&amp;R'!$B$18</c:f>
              <c:strCache>
                <c:ptCount val="1"/>
                <c:pt idx="0">
                  <c:v>Range2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'GAGER&amp;R'!$B$26</c:f>
              <c:strCache>
                <c:ptCount val="1"/>
                <c:pt idx="0">
                  <c:v>Range3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'GAGER&amp;R'!$B$32</c:f>
              <c:strCache>
                <c:ptCount val="1"/>
                <c:pt idx="0">
                  <c:v>UCL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'GAGER&amp;R'!$C$32:$L$32</c:f>
            </c:numRef>
          </c:val>
          <c:smooth val="0"/>
        </c:ser>
        <c:ser>
          <c:idx val="4"/>
          <c:order val="4"/>
          <c:tx>
            <c:strRef>
              <c:f>'GAGER&amp;R'!$B$34</c:f>
              <c:strCache>
                <c:ptCount val="1"/>
                <c:pt idx="0">
                  <c:v>Rave</c:v>
                </c:pt>
              </c:strCache>
            </c:strRef>
          </c:tx>
          <c:cat>
            <c:strRef>
              <c:f>'GAGER&amp;R'!$C$2:$L$2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'GAGER&amp;R'!$C$34:$L$34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90144"/>
        <c:axId val="621856448"/>
      </c:lineChart>
      <c:catAx>
        <c:axId val="6227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Parts</a:t>
                </a:r>
              </a:p>
            </c:rich>
          </c:tx>
          <c:layout>
            <c:manualLayout>
              <c:xMode val="edge"/>
              <c:yMode val="edge"/>
              <c:x val="0.47368432324131299"/>
              <c:y val="0.90243902439024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856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2185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Range</a:t>
                </a:r>
              </a:p>
            </c:rich>
          </c:tx>
          <c:layout>
            <c:manualLayout>
              <c:xMode val="edge"/>
              <c:yMode val="edge"/>
              <c:x val="1.55945456211132E-2"/>
              <c:y val="0.44599303135888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2790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19325573433753"/>
          <c:y val="0.43554006968641101"/>
          <c:w val="6.4984309026589054E-2"/>
          <c:h val="0.118466898954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Linearity Plot</a:t>
            </a:r>
          </a:p>
        </c:rich>
      </c:tx>
      <c:layout>
        <c:manualLayout>
          <c:xMode val="edge"/>
          <c:yMode val="edge"/>
          <c:x val="0.42733256613388099"/>
          <c:y val="3.4482790876054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8443852598"/>
          <c:y val="0.15708826954646901"/>
          <c:w val="0.85466513226776297"/>
          <c:h val="0.6704987114788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Linearity!$B$16:$F$16</c:f>
              <c:numCache>
                <c:formatCode>0.00</c:formatCode>
                <c:ptCount val="5"/>
                <c:pt idx="0">
                  <c:v>2</c:v>
                </c:pt>
              </c:numCache>
            </c:numRef>
          </c:xVal>
          <c:yVal>
            <c:numRef>
              <c:f>Linearity!$B$17:$F$17</c:f>
              <c:numCache>
                <c:formatCode>0.00</c:formatCode>
                <c:ptCount val="5"/>
                <c:pt idx="0">
                  <c:v>0.70000000000000018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Linearity!$B$16:$F$16</c:f>
              <c:numCache>
                <c:formatCode>0.00</c:formatCode>
                <c:ptCount val="5"/>
                <c:pt idx="0">
                  <c:v>2</c:v>
                </c:pt>
              </c:numCache>
            </c:numRef>
          </c:xVal>
          <c:yVal>
            <c:numRef>
              <c:f>Linearity!$B$19:$F$19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58752"/>
        <c:axId val="621859328"/>
      </c:scatterChart>
      <c:valAx>
        <c:axId val="6218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</a:t>
                </a:r>
              </a:p>
            </c:rich>
          </c:tx>
          <c:layout>
            <c:manualLayout>
              <c:xMode val="edge"/>
              <c:yMode val="edge"/>
              <c:x val="0.46854738215694602"/>
              <c:y val="0.896552562777406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859328"/>
        <c:crosses val="autoZero"/>
        <c:crossBetween val="midCat"/>
      </c:valAx>
      <c:valAx>
        <c:axId val="62185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Bias</a:t>
                </a:r>
              </a:p>
            </c:rich>
          </c:tx>
          <c:layout>
            <c:manualLayout>
              <c:xMode val="edge"/>
              <c:yMode val="edge"/>
              <c:x val="3.03688118064687E-2"/>
              <c:y val="0.45210770259715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858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0</xdr:rowOff>
    </xdr:from>
    <xdr:to>
      <xdr:col>10</xdr:col>
      <xdr:colOff>444500</xdr:colOff>
      <xdr:row>0</xdr:row>
      <xdr:rowOff>0</xdr:rowOff>
    </xdr:to>
    <xdr:graphicFrame macro="">
      <xdr:nvGraphicFramePr>
        <xdr:cNvPr id="1025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0</xdr:row>
      <xdr:rowOff>0</xdr:rowOff>
    </xdr:from>
    <xdr:to>
      <xdr:col>14</xdr:col>
      <xdr:colOff>749300</xdr:colOff>
      <xdr:row>0</xdr:row>
      <xdr:rowOff>0</xdr:rowOff>
    </xdr:to>
    <xdr:graphicFrame macro="">
      <xdr:nvGraphicFramePr>
        <xdr:cNvPr id="1026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25400</xdr:rowOff>
    </xdr:from>
    <xdr:to>
      <xdr:col>14</xdr:col>
      <xdr:colOff>355600</xdr:colOff>
      <xdr:row>108</xdr:row>
      <xdr:rowOff>139700</xdr:rowOff>
    </xdr:to>
    <xdr:graphicFrame macro="">
      <xdr:nvGraphicFramePr>
        <xdr:cNvPr id="1027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157</xdr:row>
      <xdr:rowOff>0</xdr:rowOff>
    </xdr:from>
    <xdr:to>
      <xdr:col>14</xdr:col>
      <xdr:colOff>317500</xdr:colOff>
      <xdr:row>180</xdr:row>
      <xdr:rowOff>127000</xdr:rowOff>
    </xdr:to>
    <xdr:graphicFrame macro="">
      <xdr:nvGraphicFramePr>
        <xdr:cNvPr id="1029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109</xdr:row>
      <xdr:rowOff>12700</xdr:rowOff>
    </xdr:from>
    <xdr:to>
      <xdr:col>15</xdr:col>
      <xdr:colOff>0</xdr:colOff>
      <xdr:row>132</xdr:row>
      <xdr:rowOff>139700</xdr:rowOff>
    </xdr:to>
    <xdr:graphicFrame macro="">
      <xdr:nvGraphicFramePr>
        <xdr:cNvPr id="1031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133</xdr:row>
      <xdr:rowOff>12700</xdr:rowOff>
    </xdr:from>
    <xdr:to>
      <xdr:col>14</xdr:col>
      <xdr:colOff>317500</xdr:colOff>
      <xdr:row>157</xdr:row>
      <xdr:rowOff>0</xdr:rowOff>
    </xdr:to>
    <xdr:graphicFrame macro="">
      <xdr:nvGraphicFramePr>
        <xdr:cNvPr id="1032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0.13462</cdr:x>
      <cdr:y>0.91097</cdr:y>
    </cdr:from>
    <cdr:to>
      <cdr:x>0.19167</cdr:x>
      <cdr:y>0.9637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5816" y="3320380"/>
          <a:ext cx="744125" cy="19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Appraiser 1</a:t>
          </a:r>
        </a:p>
      </cdr:txBody>
    </cdr:sp>
  </cdr:relSizeAnchor>
  <cdr:relSizeAnchor xmlns:cdr="http://schemas.openxmlformats.org/drawingml/2006/chartDrawing">
    <cdr:from>
      <cdr:x>0.71407</cdr:x>
      <cdr:y>0.91097</cdr:y>
    </cdr:from>
    <cdr:to>
      <cdr:x>0.77112</cdr:x>
      <cdr:y>0.9637</cdr:y>
    </cdr:to>
    <cdr:sp macro="" textlink="">
      <cdr:nvSpPr>
        <cdr:cNvPr id="2051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13535" y="3320380"/>
          <a:ext cx="744125" cy="19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Appraiser 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0.12146</cdr:x>
      <cdr:y>0.91364</cdr:y>
    </cdr:from>
    <cdr:to>
      <cdr:x>0.17876</cdr:x>
      <cdr:y>0.96662</cdr:y>
    </cdr:to>
    <cdr:sp macro="" textlink="">
      <cdr:nvSpPr>
        <cdr:cNvPr id="3073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0364" y="3330124"/>
          <a:ext cx="750294" cy="193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Appraiser 1</a:t>
          </a:r>
        </a:p>
      </cdr:txBody>
    </cdr:sp>
  </cdr:relSizeAnchor>
  <cdr:relSizeAnchor xmlns:cdr="http://schemas.openxmlformats.org/drawingml/2006/chartDrawing">
    <cdr:from>
      <cdr:x>0.71284</cdr:x>
      <cdr:y>0.91097</cdr:y>
    </cdr:from>
    <cdr:to>
      <cdr:x>0.76964</cdr:x>
      <cdr:y>0.9637</cdr:y>
    </cdr:to>
    <cdr:sp macro="" textlink="">
      <cdr:nvSpPr>
        <cdr:cNvPr id="3074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33655" y="3320380"/>
          <a:ext cx="743798" cy="19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Appraiser 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88900</xdr:rowOff>
    </xdr:from>
    <xdr:to>
      <xdr:col>6</xdr:col>
      <xdr:colOff>660400</xdr:colOff>
      <xdr:row>45</xdr:row>
      <xdr:rowOff>101600</xdr:rowOff>
    </xdr:to>
    <xdr:graphicFrame macro="">
      <xdr:nvGraphicFramePr>
        <xdr:cNvPr id="4100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9"/>
  <sheetViews>
    <sheetView tabSelected="1" showRuler="0" topLeftCell="A20" zoomScale="125" zoomScaleNormal="125" workbookViewId="0">
      <selection activeCell="A56" sqref="A56"/>
    </sheetView>
  </sheetViews>
  <sheetFormatPr defaultColWidth="9.140625" defaultRowHeight="12.75" x14ac:dyDescent="0.2"/>
  <cols>
    <col min="1" max="1" width="34.5703125" style="125" customWidth="1"/>
    <col min="2" max="2" width="14.85546875" style="125" customWidth="1"/>
    <col min="3" max="3" width="10.140625" style="125" customWidth="1"/>
    <col min="4" max="4" width="13.7109375" style="125" customWidth="1"/>
    <col min="5" max="5" width="7.140625" style="125" customWidth="1"/>
    <col min="6" max="6" width="12.7109375" style="125" customWidth="1"/>
    <col min="7" max="13" width="7.140625" style="125" customWidth="1"/>
    <col min="14" max="14" width="9.42578125" style="125" customWidth="1"/>
    <col min="15" max="16384" width="9.140625" style="125"/>
  </cols>
  <sheetData>
    <row r="1" spans="1:18" x14ac:dyDescent="0.2">
      <c r="A1" s="124" t="s">
        <v>94</v>
      </c>
      <c r="G1" s="124" t="s">
        <v>95</v>
      </c>
    </row>
    <row r="2" spans="1:18" ht="13.5" thickBot="1" x14ac:dyDescent="0.25">
      <c r="A2" s="124" t="s">
        <v>96</v>
      </c>
      <c r="C2" s="126" t="s">
        <v>97</v>
      </c>
      <c r="D2" s="126" t="s">
        <v>98</v>
      </c>
      <c r="E2" s="126" t="s">
        <v>99</v>
      </c>
      <c r="F2" s="126" t="s">
        <v>100</v>
      </c>
      <c r="G2" s="126" t="s">
        <v>101</v>
      </c>
      <c r="H2" s="126" t="s">
        <v>102</v>
      </c>
      <c r="I2" s="126" t="s">
        <v>103</v>
      </c>
      <c r="J2" s="126" t="s">
        <v>104</v>
      </c>
      <c r="K2" s="126" t="s">
        <v>105</v>
      </c>
      <c r="L2" s="126" t="s">
        <v>106</v>
      </c>
      <c r="M2" s="205" t="s">
        <v>107</v>
      </c>
    </row>
    <row r="3" spans="1:18" ht="13.5" thickBot="1" x14ac:dyDescent="0.25">
      <c r="A3" s="127" t="s">
        <v>214</v>
      </c>
      <c r="B3" s="128" t="s">
        <v>109</v>
      </c>
      <c r="C3" s="201">
        <v>3</v>
      </c>
      <c r="D3" s="201">
        <v>3.5</v>
      </c>
      <c r="E3" s="201">
        <v>4</v>
      </c>
      <c r="F3" s="201"/>
      <c r="G3" s="201"/>
      <c r="H3" s="201"/>
      <c r="I3" s="201"/>
      <c r="J3" s="201"/>
      <c r="K3" s="201"/>
      <c r="L3" s="201"/>
      <c r="M3" s="203">
        <f>IF(SUM(C3:L3)=0,TEXT(0,"#"),SUM(C3:L3))</f>
        <v>10.5</v>
      </c>
      <c r="N3" s="129"/>
      <c r="O3" s="130"/>
    </row>
    <row r="4" spans="1:18" ht="13.5" thickBot="1" x14ac:dyDescent="0.25">
      <c r="A4" s="131" t="s">
        <v>110</v>
      </c>
      <c r="B4" s="132" t="s">
        <v>111</v>
      </c>
      <c r="C4" s="201">
        <v>3</v>
      </c>
      <c r="D4" s="201">
        <v>3.5</v>
      </c>
      <c r="E4" s="201">
        <v>4</v>
      </c>
      <c r="F4" s="201"/>
      <c r="G4" s="201"/>
      <c r="H4" s="202"/>
      <c r="I4" s="202"/>
      <c r="J4" s="202"/>
      <c r="K4" s="202"/>
      <c r="L4" s="202"/>
      <c r="M4" s="134">
        <f>IF(SUM(C4:L4)=0,TEXT(0,"#"),SUM(C4:L4))</f>
        <v>10.5</v>
      </c>
      <c r="N4" s="135"/>
      <c r="O4" s="130"/>
    </row>
    <row r="5" spans="1:18" ht="13.5" thickBot="1" x14ac:dyDescent="0.25">
      <c r="A5" s="136"/>
      <c r="B5" s="132" t="s">
        <v>112</v>
      </c>
      <c r="C5" s="201">
        <v>3</v>
      </c>
      <c r="D5" s="201">
        <v>3.5</v>
      </c>
      <c r="E5" s="201">
        <v>4</v>
      </c>
      <c r="F5" s="201"/>
      <c r="G5" s="201"/>
      <c r="H5" s="202"/>
      <c r="I5" s="202"/>
      <c r="J5" s="202"/>
      <c r="K5" s="202"/>
      <c r="L5" s="202"/>
      <c r="M5" s="134">
        <f>IF(SUM(C5:L5)=0,TEXT(0,"#"),SUM(C5:L5))</f>
        <v>10.5</v>
      </c>
      <c r="N5" s="135"/>
      <c r="O5" s="130"/>
    </row>
    <row r="6" spans="1:18" ht="13.5" thickBot="1" x14ac:dyDescent="0.25">
      <c r="A6" s="136"/>
      <c r="B6" s="132" t="s">
        <v>113</v>
      </c>
      <c r="C6" s="201"/>
      <c r="D6" s="201"/>
      <c r="E6" s="201"/>
      <c r="F6" s="201"/>
      <c r="G6" s="201"/>
      <c r="H6" s="133"/>
      <c r="I6" s="133"/>
      <c r="J6" s="133"/>
      <c r="K6" s="133"/>
      <c r="L6" s="133"/>
      <c r="M6" s="134" t="str">
        <f>IF(SUM(C6:L6)=0,TEXT(0,"#"),SUM(C6:L6))</f>
        <v/>
      </c>
      <c r="N6" s="135" t="s">
        <v>114</v>
      </c>
      <c r="O6" s="137" t="s">
        <v>115</v>
      </c>
    </row>
    <row r="7" spans="1:18" x14ac:dyDescent="0.2">
      <c r="A7" s="138"/>
      <c r="B7" s="132" t="s">
        <v>116</v>
      </c>
      <c r="C7" s="201"/>
      <c r="D7" s="201"/>
      <c r="E7" s="201"/>
      <c r="F7" s="201"/>
      <c r="G7" s="201"/>
      <c r="H7" s="133"/>
      <c r="I7" s="133"/>
      <c r="J7" s="133"/>
      <c r="K7" s="133"/>
      <c r="L7" s="133"/>
      <c r="M7" s="134" t="str">
        <f>IF(SUM(C7:L7)=0,TEXT(0,"#"),SUM(C7:L7))</f>
        <v/>
      </c>
      <c r="N7" s="135">
        <f>IF(ISBLANK($C$3),TEXT(0,"#"),AVERAGE($C$3:$L$7))</f>
        <v>3.5</v>
      </c>
      <c r="O7" s="139">
        <v>0</v>
      </c>
      <c r="P7" s="140" t="s">
        <v>117</v>
      </c>
      <c r="Q7" s="140"/>
      <c r="R7" s="140"/>
    </row>
    <row r="8" spans="1:18" x14ac:dyDescent="0.2">
      <c r="A8" s="138"/>
      <c r="B8" s="141" t="s">
        <v>118</v>
      </c>
      <c r="C8" s="142">
        <f t="shared" ref="C8:L8" si="0">IF(SUM(C3:C7)=0,TEXT(0,"#"),SUM(C3:C7))</f>
        <v>9</v>
      </c>
      <c r="D8" s="142">
        <f t="shared" si="0"/>
        <v>10.5</v>
      </c>
      <c r="E8" s="142">
        <f t="shared" si="0"/>
        <v>12</v>
      </c>
      <c r="F8" s="142" t="str">
        <f t="shared" si="0"/>
        <v/>
      </c>
      <c r="G8" s="142" t="str">
        <f t="shared" si="0"/>
        <v/>
      </c>
      <c r="H8" s="142" t="str">
        <f t="shared" si="0"/>
        <v/>
      </c>
      <c r="I8" s="142" t="str">
        <f t="shared" si="0"/>
        <v/>
      </c>
      <c r="J8" s="142" t="str">
        <f t="shared" si="0"/>
        <v/>
      </c>
      <c r="K8" s="142" t="str">
        <f t="shared" si="0"/>
        <v/>
      </c>
      <c r="L8" s="142" t="str">
        <f t="shared" si="0"/>
        <v/>
      </c>
      <c r="M8" s="143"/>
      <c r="N8" s="135"/>
      <c r="O8" s="137" t="s">
        <v>119</v>
      </c>
    </row>
    <row r="9" spans="1:18" x14ac:dyDescent="0.2">
      <c r="A9" s="144"/>
      <c r="B9" s="145" t="s">
        <v>120</v>
      </c>
      <c r="C9" s="142">
        <f>IF(ISERROR(AVERAGE(C3:C7)),"",AVERAGE(C3:C7))</f>
        <v>3</v>
      </c>
      <c r="D9" s="142">
        <f t="shared" ref="D9:L9" si="1">IF(ISERROR(AVERAGE(D3:D7)),"",AVERAGE(D3:D7))</f>
        <v>3.5</v>
      </c>
      <c r="E9" s="142">
        <f t="shared" si="1"/>
        <v>4</v>
      </c>
      <c r="F9" s="142" t="str">
        <f t="shared" si="1"/>
        <v/>
      </c>
      <c r="G9" s="142" t="str">
        <f t="shared" si="1"/>
        <v/>
      </c>
      <c r="H9" s="142" t="str">
        <f t="shared" si="1"/>
        <v/>
      </c>
      <c r="I9" s="142" t="str">
        <f t="shared" si="1"/>
        <v/>
      </c>
      <c r="J9" s="142" t="str">
        <f t="shared" si="1"/>
        <v/>
      </c>
      <c r="K9" s="142" t="str">
        <f t="shared" si="1"/>
        <v/>
      </c>
      <c r="L9" s="142" t="str">
        <f t="shared" si="1"/>
        <v/>
      </c>
      <c r="M9" s="142"/>
      <c r="N9" s="135" t="s">
        <v>121</v>
      </c>
      <c r="O9" s="146">
        <f>N7-O7</f>
        <v>3.5</v>
      </c>
    </row>
    <row r="10" spans="1:18" ht="13.5" thickBot="1" x14ac:dyDescent="0.25">
      <c r="A10" s="147"/>
      <c r="B10" s="148" t="s">
        <v>122</v>
      </c>
      <c r="C10" s="149">
        <f>IF(OR(C3&lt;&gt;0,MAX(C3:C7)-MIN(C3:C7)&lt;&gt;0),MAX(C3:C7)-MIN(C3:C7),TEXT(C7,"#"))</f>
        <v>0</v>
      </c>
      <c r="D10" s="149">
        <f t="shared" ref="D10:L10" si="2">IF(OR(D3&lt;&gt;0,MAX(D3:D7)-MIN(D3:D7)&lt;&gt;0),MAX(D3:D7)-MIN(D3:D7),TEXT(D7,"#"))</f>
        <v>0</v>
      </c>
      <c r="E10" s="149">
        <f t="shared" si="2"/>
        <v>0</v>
      </c>
      <c r="F10" s="149" t="str">
        <f t="shared" si="2"/>
        <v/>
      </c>
      <c r="G10" s="149" t="str">
        <f t="shared" si="2"/>
        <v/>
      </c>
      <c r="H10" s="149" t="str">
        <f t="shared" si="2"/>
        <v/>
      </c>
      <c r="I10" s="149" t="str">
        <f t="shared" si="2"/>
        <v/>
      </c>
      <c r="J10" s="149" t="str">
        <f t="shared" si="2"/>
        <v/>
      </c>
      <c r="K10" s="149" t="str">
        <f t="shared" si="2"/>
        <v/>
      </c>
      <c r="L10" s="149" t="str">
        <f t="shared" si="2"/>
        <v/>
      </c>
      <c r="M10" s="204"/>
      <c r="N10" s="151">
        <f>IF(ISTEXT($C$10),TEXT(0,"#"),AVERAGE($C$10:$L$10))</f>
        <v>0</v>
      </c>
      <c r="O10" s="152"/>
    </row>
    <row r="11" spans="1:18" ht="13.5" thickBot="1" x14ac:dyDescent="0.25">
      <c r="A11" s="136" t="s">
        <v>215</v>
      </c>
      <c r="B11" s="128" t="s">
        <v>109</v>
      </c>
      <c r="C11" s="201">
        <v>3.25</v>
      </c>
      <c r="D11" s="201">
        <v>3.75</v>
      </c>
      <c r="E11" s="201">
        <v>3.75</v>
      </c>
      <c r="F11" s="201"/>
      <c r="G11" s="201"/>
      <c r="H11" s="201"/>
      <c r="I11" s="201"/>
      <c r="J11" s="201"/>
      <c r="K11" s="201"/>
      <c r="L11" s="201"/>
      <c r="M11" s="203">
        <f>IF(SUM(C11:L11)=0,TEXT(0,"#"),SUM(C11:L11))</f>
        <v>10.75</v>
      </c>
      <c r="N11" s="129"/>
      <c r="O11" s="130"/>
    </row>
    <row r="12" spans="1:18" ht="13.5" thickBot="1" x14ac:dyDescent="0.25">
      <c r="A12" s="131" t="s">
        <v>110</v>
      </c>
      <c r="B12" s="132" t="s">
        <v>111</v>
      </c>
      <c r="C12" s="201">
        <v>3.25</v>
      </c>
      <c r="D12" s="201">
        <v>3.75</v>
      </c>
      <c r="E12" s="201">
        <v>3.75</v>
      </c>
      <c r="F12" s="201"/>
      <c r="G12" s="201"/>
      <c r="H12" s="202"/>
      <c r="I12" s="202"/>
      <c r="J12" s="202"/>
      <c r="K12" s="202"/>
      <c r="L12" s="202"/>
      <c r="M12" s="134">
        <f>IF(SUM(C12:L12)=0,TEXT(0,"#"),SUM(C12:L12))</f>
        <v>10.75</v>
      </c>
      <c r="N12" s="135"/>
      <c r="O12" s="152"/>
    </row>
    <row r="13" spans="1:18" ht="13.5" thickBot="1" x14ac:dyDescent="0.25">
      <c r="A13" s="136"/>
      <c r="B13" s="132" t="s">
        <v>112</v>
      </c>
      <c r="C13" s="201">
        <v>3.25</v>
      </c>
      <c r="D13" s="201">
        <v>3.75</v>
      </c>
      <c r="E13" s="201">
        <v>4</v>
      </c>
      <c r="F13" s="201"/>
      <c r="G13" s="201"/>
      <c r="H13" s="202"/>
      <c r="I13" s="202"/>
      <c r="J13" s="202"/>
      <c r="K13" s="202"/>
      <c r="L13" s="202"/>
      <c r="M13" s="134">
        <f>IF(SUM(C13:L13)=0,TEXT(0,"#"),SUM(C13:L13))</f>
        <v>11</v>
      </c>
      <c r="N13" s="135"/>
      <c r="O13" s="152"/>
    </row>
    <row r="14" spans="1:18" ht="13.5" thickBot="1" x14ac:dyDescent="0.25">
      <c r="A14" s="136"/>
      <c r="B14" s="132" t="s">
        <v>113</v>
      </c>
      <c r="C14" s="201"/>
      <c r="D14" s="201"/>
      <c r="E14" s="201"/>
      <c r="F14" s="201"/>
      <c r="G14" s="201"/>
      <c r="H14" s="133"/>
      <c r="I14" s="133"/>
      <c r="J14" s="133"/>
      <c r="K14" s="133"/>
      <c r="L14" s="133"/>
      <c r="M14" s="134" t="str">
        <f>IF(SUM(C14:L14)=0,TEXT(0,"#"),SUM(C14:L14))</f>
        <v/>
      </c>
      <c r="N14" s="135" t="s">
        <v>124</v>
      </c>
      <c r="O14" s="137" t="s">
        <v>115</v>
      </c>
    </row>
    <row r="15" spans="1:18" x14ac:dyDescent="0.2">
      <c r="A15" s="138"/>
      <c r="B15" s="132" t="s">
        <v>116</v>
      </c>
      <c r="C15" s="201"/>
      <c r="D15" s="201"/>
      <c r="E15" s="201"/>
      <c r="F15" s="201"/>
      <c r="G15" s="201"/>
      <c r="H15" s="133"/>
      <c r="I15" s="133"/>
      <c r="J15" s="133"/>
      <c r="K15" s="133"/>
      <c r="L15" s="133"/>
      <c r="M15" s="134" t="str">
        <f>IF(SUM(C15:L15)=0,TEXT(0,"#"),SUM(C15:L15))</f>
        <v/>
      </c>
      <c r="N15" s="135">
        <f>IF(ISBLANK($C$11),TEXT(0,"#"),AVERAGE($C$11:$L$15))</f>
        <v>3.6111111111111112</v>
      </c>
      <c r="O15" s="139">
        <f>O7</f>
        <v>0</v>
      </c>
    </row>
    <row r="16" spans="1:18" x14ac:dyDescent="0.2">
      <c r="A16" s="138"/>
      <c r="B16" s="141" t="s">
        <v>118</v>
      </c>
      <c r="C16" s="142">
        <f t="shared" ref="C16:L16" si="3">IF(SUM(C11:C15)=0,TEXT(0,"#"),SUM(C11:C15))</f>
        <v>9.75</v>
      </c>
      <c r="D16" s="142">
        <f t="shared" si="3"/>
        <v>11.25</v>
      </c>
      <c r="E16" s="142">
        <f t="shared" si="3"/>
        <v>11.5</v>
      </c>
      <c r="F16" s="142" t="str">
        <f t="shared" si="3"/>
        <v/>
      </c>
      <c r="G16" s="142" t="str">
        <f t="shared" si="3"/>
        <v/>
      </c>
      <c r="H16" s="142" t="str">
        <f t="shared" si="3"/>
        <v/>
      </c>
      <c r="I16" s="142" t="str">
        <f t="shared" si="3"/>
        <v/>
      </c>
      <c r="J16" s="142" t="str">
        <f t="shared" si="3"/>
        <v/>
      </c>
      <c r="K16" s="142" t="str">
        <f t="shared" si="3"/>
        <v/>
      </c>
      <c r="L16" s="142" t="str">
        <f t="shared" si="3"/>
        <v/>
      </c>
      <c r="M16" s="143"/>
      <c r="N16" s="135"/>
      <c r="O16" s="137" t="s">
        <v>119</v>
      </c>
    </row>
    <row r="17" spans="1:15" x14ac:dyDescent="0.2">
      <c r="A17" s="144"/>
      <c r="B17" s="145" t="s">
        <v>125</v>
      </c>
      <c r="C17" s="142">
        <f>IF(ISERROR(AVERAGE(C11:C15)),"",AVERAGE(C11:C15))</f>
        <v>3.25</v>
      </c>
      <c r="D17" s="142">
        <f t="shared" ref="D17:L17" si="4">IF(ISERROR(AVERAGE(D11:D15)),"",AVERAGE(D11:D15))</f>
        <v>3.75</v>
      </c>
      <c r="E17" s="142">
        <f t="shared" si="4"/>
        <v>3.8333333333333335</v>
      </c>
      <c r="F17" s="142" t="str">
        <f t="shared" si="4"/>
        <v/>
      </c>
      <c r="G17" s="142" t="str">
        <f t="shared" si="4"/>
        <v/>
      </c>
      <c r="H17" s="142" t="str">
        <f t="shared" si="4"/>
        <v/>
      </c>
      <c r="I17" s="142" t="str">
        <f t="shared" si="4"/>
        <v/>
      </c>
      <c r="J17" s="142" t="str">
        <f t="shared" si="4"/>
        <v/>
      </c>
      <c r="K17" s="142" t="str">
        <f t="shared" si="4"/>
        <v/>
      </c>
      <c r="L17" s="142" t="str">
        <f t="shared" si="4"/>
        <v/>
      </c>
      <c r="M17" s="142"/>
      <c r="N17" s="135" t="s">
        <v>126</v>
      </c>
      <c r="O17" s="146">
        <f>N15-O15</f>
        <v>3.6111111111111112</v>
      </c>
    </row>
    <row r="18" spans="1:15" ht="13.5" thickBot="1" x14ac:dyDescent="0.25">
      <c r="A18" s="147"/>
      <c r="B18" s="148" t="s">
        <v>127</v>
      </c>
      <c r="C18" s="149">
        <f>IF(OR(C11&lt;&gt;0,MAX(C11:C15)-MIN(C11:C15)&lt;&gt;0),MAX(C11:C15)-MIN(C11:C15),TEXT(C15,"#"))</f>
        <v>0</v>
      </c>
      <c r="D18" s="149">
        <f>IF(OR(D11&lt;&gt;0,MAX(D11:D15)-MIN(D11:D15)&lt;&gt;0),MAX(D11:D15)-MIN(D11:D15),TEXT(D15,"#"))</f>
        <v>0</v>
      </c>
      <c r="E18" s="149">
        <f>IF(OR(E11&lt;&gt;0,MAX(E11:E15)-MIN(E11:E15)&lt;&gt;0),MAX(E11:E15)-MIN(E11:E15),TEXT(E15,"#"))</f>
        <v>0.25</v>
      </c>
      <c r="F18" s="149" t="str">
        <f t="shared" ref="F18:L18" si="5">IF(OR(F11&lt;&gt;0,MAX(F11:F15)-MIN(F11:F15)&lt;&gt;0),MAX(F11:F15)-MIN(F11:F15),TEXT(F15,"#"))</f>
        <v/>
      </c>
      <c r="G18" s="149" t="str">
        <f t="shared" si="5"/>
        <v/>
      </c>
      <c r="H18" s="149" t="str">
        <f t="shared" si="5"/>
        <v/>
      </c>
      <c r="I18" s="149" t="str">
        <f t="shared" si="5"/>
        <v/>
      </c>
      <c r="J18" s="149" t="str">
        <f t="shared" si="5"/>
        <v/>
      </c>
      <c r="K18" s="149" t="str">
        <f t="shared" si="5"/>
        <v/>
      </c>
      <c r="L18" s="149" t="str">
        <f t="shared" si="5"/>
        <v/>
      </c>
      <c r="M18" s="204"/>
      <c r="N18" s="151">
        <f>IF(ISTEXT(C18),TEXT(0,"#"),AVERAGE(C18:L18))</f>
        <v>8.3333333333333329E-2</v>
      </c>
      <c r="O18" s="152"/>
    </row>
    <row r="19" spans="1:15" ht="13.5" thickBot="1" x14ac:dyDescent="0.25">
      <c r="A19" s="136" t="s">
        <v>216</v>
      </c>
      <c r="B19" s="128" t="s">
        <v>109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3" t="str">
        <f>IF(SUM(C19:L19)=0,TEXT(0,"#"),SUM(C19:L19))</f>
        <v/>
      </c>
      <c r="N19" s="129"/>
      <c r="O19" s="152"/>
    </row>
    <row r="20" spans="1:15" ht="13.5" thickBot="1" x14ac:dyDescent="0.25">
      <c r="A20" s="131" t="s">
        <v>110</v>
      </c>
      <c r="B20" s="132" t="s">
        <v>111</v>
      </c>
      <c r="C20" s="201"/>
      <c r="D20" s="201"/>
      <c r="E20" s="201"/>
      <c r="F20" s="201"/>
      <c r="G20" s="201"/>
      <c r="H20" s="202"/>
      <c r="I20" s="202"/>
      <c r="J20" s="202"/>
      <c r="K20" s="202"/>
      <c r="L20" s="202"/>
      <c r="M20" s="134" t="str">
        <f>IF(SUM(C20:L20)=0,TEXT(0,"#"),SUM(C20:L20))</f>
        <v/>
      </c>
      <c r="N20" s="135"/>
      <c r="O20" s="152"/>
    </row>
    <row r="21" spans="1:15" ht="13.5" thickBot="1" x14ac:dyDescent="0.25">
      <c r="A21" s="136"/>
      <c r="B21" s="132" t="s">
        <v>112</v>
      </c>
      <c r="C21" s="201"/>
      <c r="D21" s="201"/>
      <c r="E21" s="201"/>
      <c r="F21" s="201"/>
      <c r="G21" s="201"/>
      <c r="H21" s="202"/>
      <c r="I21" s="202"/>
      <c r="J21" s="202"/>
      <c r="K21" s="202"/>
      <c r="L21" s="202"/>
      <c r="M21" s="134" t="str">
        <f>IF(SUM(C21:L21)=0,TEXT(0,"#"),SUM(C21:L21))</f>
        <v/>
      </c>
      <c r="N21" s="135"/>
      <c r="O21" s="152"/>
    </row>
    <row r="22" spans="1:15" ht="13.5" thickBot="1" x14ac:dyDescent="0.25">
      <c r="A22" s="136"/>
      <c r="B22" s="132" t="s">
        <v>113</v>
      </c>
      <c r="C22" s="201"/>
      <c r="D22" s="201"/>
      <c r="E22" s="201"/>
      <c r="F22" s="201"/>
      <c r="G22" s="201"/>
      <c r="H22" s="133"/>
      <c r="I22" s="133"/>
      <c r="J22" s="133"/>
      <c r="K22" s="133"/>
      <c r="L22" s="133"/>
      <c r="M22" s="134" t="str">
        <f>IF(SUM(C22:L22)=0,TEXT(0,"#"),SUM(C22:L22))</f>
        <v/>
      </c>
      <c r="N22" s="135" t="s">
        <v>129</v>
      </c>
      <c r="O22" s="137" t="s">
        <v>115</v>
      </c>
    </row>
    <row r="23" spans="1:15" x14ac:dyDescent="0.2">
      <c r="A23" s="138"/>
      <c r="B23" s="132" t="s">
        <v>116</v>
      </c>
      <c r="C23" s="201"/>
      <c r="D23" s="201"/>
      <c r="E23" s="201"/>
      <c r="F23" s="201"/>
      <c r="G23" s="201"/>
      <c r="H23" s="133"/>
      <c r="I23" s="133"/>
      <c r="J23" s="133"/>
      <c r="K23" s="133"/>
      <c r="L23" s="133"/>
      <c r="M23" s="134" t="str">
        <f>IF(SUM(C23:L23)=0,TEXT(0,"#"),SUM(C23:L23))</f>
        <v/>
      </c>
      <c r="N23" s="135" t="str">
        <f>IF(ISBLANK(C19),TEXT(0,"#"),AVERAGE(C19:L23))</f>
        <v/>
      </c>
      <c r="O23" s="153">
        <f>O15</f>
        <v>0</v>
      </c>
    </row>
    <row r="24" spans="1:15" x14ac:dyDescent="0.2">
      <c r="A24" s="138"/>
      <c r="B24" s="141" t="s">
        <v>118</v>
      </c>
      <c r="C24" s="142" t="str">
        <f>IF(SUM(C19:C23)=0,TEXT(0,"#"),SUM(C19:C23))</f>
        <v/>
      </c>
      <c r="D24" s="142" t="str">
        <f t="shared" ref="D24:L24" si="6">IF(SUM(D19:D23)=0,TEXT(0,"#"),SUM(D19:D23))</f>
        <v/>
      </c>
      <c r="E24" s="142" t="str">
        <f t="shared" si="6"/>
        <v/>
      </c>
      <c r="F24" s="142" t="str">
        <f t="shared" si="6"/>
        <v/>
      </c>
      <c r="G24" s="142" t="str">
        <f t="shared" si="6"/>
        <v/>
      </c>
      <c r="H24" s="142" t="str">
        <f t="shared" si="6"/>
        <v/>
      </c>
      <c r="I24" s="142" t="str">
        <f t="shared" si="6"/>
        <v/>
      </c>
      <c r="J24" s="142" t="str">
        <f t="shared" si="6"/>
        <v/>
      </c>
      <c r="K24" s="142" t="str">
        <f t="shared" si="6"/>
        <v/>
      </c>
      <c r="L24" s="142" t="str">
        <f t="shared" si="6"/>
        <v/>
      </c>
      <c r="M24" s="143"/>
      <c r="N24" s="135"/>
      <c r="O24" s="137" t="s">
        <v>119</v>
      </c>
    </row>
    <row r="25" spans="1:15" x14ac:dyDescent="0.2">
      <c r="A25" s="144"/>
      <c r="B25" s="145" t="s">
        <v>130</v>
      </c>
      <c r="C25" s="142" t="str">
        <f>IF(ISERROR(AVERAGE(C19:C23)),"",AVERAGE(C19:C23))</f>
        <v/>
      </c>
      <c r="D25" s="142" t="str">
        <f t="shared" ref="D25:L25" si="7">IF(ISERROR(AVERAGE(D19:D23)),"",AVERAGE(D19:D23))</f>
        <v/>
      </c>
      <c r="E25" s="142" t="str">
        <f t="shared" si="7"/>
        <v/>
      </c>
      <c r="F25" s="142" t="str">
        <f t="shared" si="7"/>
        <v/>
      </c>
      <c r="G25" s="142" t="str">
        <f t="shared" si="7"/>
        <v/>
      </c>
      <c r="H25" s="142" t="str">
        <f t="shared" si="7"/>
        <v/>
      </c>
      <c r="I25" s="142" t="str">
        <f t="shared" si="7"/>
        <v/>
      </c>
      <c r="J25" s="142" t="str">
        <f t="shared" si="7"/>
        <v/>
      </c>
      <c r="K25" s="142" t="str">
        <f t="shared" si="7"/>
        <v/>
      </c>
      <c r="L25" s="142" t="str">
        <f t="shared" si="7"/>
        <v/>
      </c>
      <c r="M25" s="142"/>
      <c r="N25" s="135" t="s">
        <v>131</v>
      </c>
      <c r="O25" s="154" t="str">
        <f ca="1">IF(CELL("contents",N23)="",TEXT(0,"#"),N23-O23)</f>
        <v/>
      </c>
    </row>
    <row r="26" spans="1:15" ht="13.5" thickBot="1" x14ac:dyDescent="0.25">
      <c r="A26" s="147"/>
      <c r="B26" s="149" t="s">
        <v>132</v>
      </c>
      <c r="C26" s="149" t="str">
        <f>IF(OR(C19&lt;&gt;0,MAX(C19:C23)-MIN(C19:C23)&lt;&gt;0),MAX(C19:C23)-MIN(C19:C23),TEXT(C23,"#"))</f>
        <v/>
      </c>
      <c r="D26" s="149" t="str">
        <f>IF(OR(D19&lt;&gt;0,MAX(D19:D23)-MIN(D19:D23)&lt;&gt;0),MAX(D19:D23)-MIN(D19:D23),TEXT(D23,"#"))</f>
        <v/>
      </c>
      <c r="E26" s="149" t="str">
        <f>IF(OR(E19&lt;&gt;0,MAX(E19:E23)-MIN(E19:E23)&lt;&gt;0),MAX(E19:E23)-MIN(E19:E23),TEXT(E23,"#"))</f>
        <v/>
      </c>
      <c r="F26" s="149" t="str">
        <f t="shared" ref="F26:L26" si="8">IF(OR(F19&lt;&gt;0,MAX(F19:F23)-MIN(F19:F23)&lt;&gt;0),MAX(F19:F23)-MIN(F19:F23),TEXT(F23,"#"))</f>
        <v/>
      </c>
      <c r="G26" s="149" t="str">
        <f t="shared" si="8"/>
        <v/>
      </c>
      <c r="H26" s="149" t="str">
        <f t="shared" si="8"/>
        <v/>
      </c>
      <c r="I26" s="149" t="str">
        <f t="shared" si="8"/>
        <v/>
      </c>
      <c r="J26" s="149" t="str">
        <f t="shared" si="8"/>
        <v/>
      </c>
      <c r="K26" s="149" t="str">
        <f t="shared" si="8"/>
        <v/>
      </c>
      <c r="L26" s="149" t="str">
        <f t="shared" si="8"/>
        <v/>
      </c>
      <c r="M26" s="149"/>
      <c r="N26" s="155" t="str">
        <f>IF(ISTEXT(C26),TEXT(0,"#"),AVERAGE(C26:L26))</f>
        <v/>
      </c>
      <c r="O26" s="152"/>
    </row>
    <row r="27" spans="1:15" hidden="1" x14ac:dyDescent="0.2">
      <c r="B27" s="130" t="s">
        <v>133</v>
      </c>
      <c r="C27" s="130"/>
      <c r="D27" s="130">
        <v>0.70709999999999995</v>
      </c>
      <c r="E27" s="130">
        <v>0.52310000000000001</v>
      </c>
      <c r="F27" s="130">
        <v>0.44669999999999999</v>
      </c>
      <c r="G27" s="130">
        <v>0.40300000000000002</v>
      </c>
      <c r="H27" s="130">
        <v>0.37419999999999998</v>
      </c>
      <c r="I27" s="130">
        <v>0.35339999999999999</v>
      </c>
      <c r="J27" s="130">
        <v>0.33750000000000002</v>
      </c>
      <c r="K27" s="130">
        <v>0.32490000000000002</v>
      </c>
      <c r="L27" s="130">
        <v>0.31459999999999999</v>
      </c>
      <c r="M27" s="130"/>
      <c r="N27" s="130"/>
      <c r="O27" s="130"/>
    </row>
    <row r="28" spans="1:15" hidden="1" x14ac:dyDescent="0.2">
      <c r="B28" s="130" t="s">
        <v>134</v>
      </c>
      <c r="C28" s="130">
        <f ca="1">C30+$I$42*C34</f>
        <v>3.7828888888888885</v>
      </c>
      <c r="D28" s="130">
        <f t="shared" ref="D28:L28" ca="1" si="9">D30+$I$42*D34</f>
        <v>3.7828888888888885</v>
      </c>
      <c r="E28" s="130">
        <f t="shared" ca="1" si="9"/>
        <v>3.7828888888888885</v>
      </c>
      <c r="F28" s="130">
        <f t="shared" ca="1" si="9"/>
        <v>3.7828888888888885</v>
      </c>
      <c r="G28" s="130">
        <f t="shared" ca="1" si="9"/>
        <v>3.7828888888888885</v>
      </c>
      <c r="H28" s="130">
        <f t="shared" ca="1" si="9"/>
        <v>3.7828888888888885</v>
      </c>
      <c r="I28" s="130">
        <f t="shared" ca="1" si="9"/>
        <v>3.7828888888888885</v>
      </c>
      <c r="J28" s="130">
        <f t="shared" ca="1" si="9"/>
        <v>3.7828888888888885</v>
      </c>
      <c r="K28" s="130">
        <f t="shared" ca="1" si="9"/>
        <v>3.7828888888888885</v>
      </c>
      <c r="L28" s="130">
        <f t="shared" ca="1" si="9"/>
        <v>3.7828888888888885</v>
      </c>
      <c r="M28" s="130"/>
      <c r="N28" s="130"/>
      <c r="O28" s="130"/>
    </row>
    <row r="29" spans="1:15" hidden="1" x14ac:dyDescent="0.2">
      <c r="A29" s="125" t="s">
        <v>135</v>
      </c>
      <c r="B29" s="156" t="s">
        <v>136</v>
      </c>
      <c r="C29" s="157">
        <f>IF(ISERROR(AVERAGE(C3:C7,C11:C15,C19:C23)),TEXT(0,"#"),AVERAGE(C3:C7,C11:C15,C19:C23))</f>
        <v>3.125</v>
      </c>
      <c r="D29" s="157">
        <f>IF(ISERROR(AVERAGE(D3:D7,D11:D15,D19:D23)),TEXT(0,"#"),AVERAGE(D3:D7,D11:D15,D19:D23))</f>
        <v>3.625</v>
      </c>
      <c r="E29" s="157">
        <f t="shared" ref="E29:L29" si="10">IF(ISERROR(AVERAGE(E3:E7,E11:E15,E19:E23)),TEXT(0,"#"),AVERAGE(E3:E7,E11:E15,E19:E23))</f>
        <v>3.9166666666666665</v>
      </c>
      <c r="F29" s="157" t="str">
        <f t="shared" si="10"/>
        <v/>
      </c>
      <c r="G29" s="157" t="str">
        <f t="shared" si="10"/>
        <v/>
      </c>
      <c r="H29" s="157" t="str">
        <f t="shared" si="10"/>
        <v/>
      </c>
      <c r="I29" s="157" t="str">
        <f t="shared" si="10"/>
        <v/>
      </c>
      <c r="J29" s="157" t="str">
        <f t="shared" si="10"/>
        <v/>
      </c>
      <c r="K29" s="157" t="str">
        <f t="shared" si="10"/>
        <v/>
      </c>
      <c r="L29" s="157" t="str">
        <f t="shared" si="10"/>
        <v/>
      </c>
      <c r="M29" s="157">
        <f>MAX(C29:L29)-MIN(C29:L29)</f>
        <v>0.79166666666666652</v>
      </c>
      <c r="N29" s="158" t="s">
        <v>137</v>
      </c>
      <c r="O29" s="130"/>
    </row>
    <row r="30" spans="1:15" hidden="1" x14ac:dyDescent="0.2">
      <c r="B30" s="156" t="s">
        <v>138</v>
      </c>
      <c r="C30" s="159">
        <f>AVERAGE($C$29:$L$29)</f>
        <v>3.5555555555555554</v>
      </c>
      <c r="D30" s="159">
        <f t="shared" ref="D30:L30" si="11">AVERAGE($C$29:$L$29)</f>
        <v>3.5555555555555554</v>
      </c>
      <c r="E30" s="159">
        <f t="shared" si="11"/>
        <v>3.5555555555555554</v>
      </c>
      <c r="F30" s="159">
        <f t="shared" si="11"/>
        <v>3.5555555555555554</v>
      </c>
      <c r="G30" s="159">
        <f t="shared" si="11"/>
        <v>3.5555555555555554</v>
      </c>
      <c r="H30" s="159">
        <f t="shared" si="11"/>
        <v>3.5555555555555554</v>
      </c>
      <c r="I30" s="159">
        <f t="shared" si="11"/>
        <v>3.5555555555555554</v>
      </c>
      <c r="J30" s="159">
        <f t="shared" si="11"/>
        <v>3.5555555555555554</v>
      </c>
      <c r="K30" s="159">
        <f t="shared" si="11"/>
        <v>3.5555555555555554</v>
      </c>
      <c r="L30" s="159">
        <f t="shared" si="11"/>
        <v>3.5555555555555554</v>
      </c>
      <c r="M30" s="157"/>
      <c r="N30" s="158"/>
      <c r="O30" s="130"/>
    </row>
    <row r="31" spans="1:15" hidden="1" x14ac:dyDescent="0.2">
      <c r="B31" s="156" t="s">
        <v>139</v>
      </c>
      <c r="C31" s="130">
        <f ca="1">C$30-$I$42*C34</f>
        <v>3.3282222222222222</v>
      </c>
      <c r="D31" s="130">
        <f t="shared" ref="D31:L31" ca="1" si="12">D$30-$I$42*D34</f>
        <v>3.3282222222222222</v>
      </c>
      <c r="E31" s="130">
        <f t="shared" ca="1" si="12"/>
        <v>3.3282222222222222</v>
      </c>
      <c r="F31" s="130">
        <f t="shared" ca="1" si="12"/>
        <v>3.3282222222222222</v>
      </c>
      <c r="G31" s="130">
        <f t="shared" ca="1" si="12"/>
        <v>3.3282222222222222</v>
      </c>
      <c r="H31" s="130">
        <f t="shared" ca="1" si="12"/>
        <v>3.3282222222222222</v>
      </c>
      <c r="I31" s="130">
        <f t="shared" ca="1" si="12"/>
        <v>3.3282222222222222</v>
      </c>
      <c r="J31" s="130">
        <f t="shared" ca="1" si="12"/>
        <v>3.3282222222222222</v>
      </c>
      <c r="K31" s="130">
        <f t="shared" ca="1" si="12"/>
        <v>3.3282222222222222</v>
      </c>
      <c r="L31" s="130">
        <f t="shared" ca="1" si="12"/>
        <v>3.3282222222222222</v>
      </c>
      <c r="M31" s="157"/>
      <c r="N31" s="158"/>
      <c r="O31" s="130"/>
    </row>
    <row r="32" spans="1:15" hidden="1" x14ac:dyDescent="0.2">
      <c r="B32" s="156" t="s">
        <v>134</v>
      </c>
      <c r="C32" s="157">
        <f ca="1">C34*$I$40</f>
        <v>0.57333333333333325</v>
      </c>
      <c r="D32" s="157">
        <f t="shared" ref="D32:L32" ca="1" si="13">D34*$I$40</f>
        <v>0.57333333333333325</v>
      </c>
      <c r="E32" s="157">
        <f t="shared" ca="1" si="13"/>
        <v>0.57333333333333325</v>
      </c>
      <c r="F32" s="157">
        <f t="shared" ca="1" si="13"/>
        <v>0.57333333333333325</v>
      </c>
      <c r="G32" s="157">
        <f t="shared" ca="1" si="13"/>
        <v>0.57333333333333325</v>
      </c>
      <c r="H32" s="157">
        <f t="shared" ca="1" si="13"/>
        <v>0.57333333333333325</v>
      </c>
      <c r="I32" s="157">
        <f t="shared" ca="1" si="13"/>
        <v>0.57333333333333325</v>
      </c>
      <c r="J32" s="157">
        <f t="shared" ca="1" si="13"/>
        <v>0.57333333333333325</v>
      </c>
      <c r="K32" s="157">
        <f t="shared" ca="1" si="13"/>
        <v>0.57333333333333325</v>
      </c>
      <c r="L32" s="157">
        <f t="shared" ca="1" si="13"/>
        <v>0.57333333333333325</v>
      </c>
      <c r="M32" s="157"/>
      <c r="N32" s="158"/>
      <c r="O32" s="130"/>
    </row>
    <row r="33" spans="1:15" hidden="1" x14ac:dyDescent="0.2">
      <c r="B33" s="156" t="s">
        <v>140</v>
      </c>
      <c r="C33" s="157">
        <f>IF(ISBLANK(C3),"",MAX(C9,C17,C25)-MIN(C9,C17,C25))</f>
        <v>0.25</v>
      </c>
      <c r="D33" s="157">
        <f t="shared" ref="D33:L33" si="14">IF(ISBLANK(D3),"",MAX(D9,D17,D25)-MIN(D9,D17,D25))</f>
        <v>0.25</v>
      </c>
      <c r="E33" s="157">
        <f t="shared" si="14"/>
        <v>0.16666666666666652</v>
      </c>
      <c r="F33" s="157" t="str">
        <f t="shared" si="14"/>
        <v/>
      </c>
      <c r="G33" s="157" t="str">
        <f t="shared" si="14"/>
        <v/>
      </c>
      <c r="H33" s="157" t="str">
        <f t="shared" si="14"/>
        <v/>
      </c>
      <c r="I33" s="157" t="str">
        <f t="shared" si="14"/>
        <v/>
      </c>
      <c r="J33" s="157" t="str">
        <f t="shared" si="14"/>
        <v/>
      </c>
      <c r="K33" s="157" t="str">
        <f t="shared" si="14"/>
        <v/>
      </c>
      <c r="L33" s="157" t="str">
        <f t="shared" si="14"/>
        <v/>
      </c>
      <c r="M33" s="157"/>
      <c r="N33" s="158"/>
      <c r="O33" s="130"/>
    </row>
    <row r="34" spans="1:15" hidden="1" x14ac:dyDescent="0.2">
      <c r="B34" s="156" t="s">
        <v>141</v>
      </c>
      <c r="C34" s="159">
        <f>AVERAGE($C$33:$L$33)</f>
        <v>0.22222222222222218</v>
      </c>
      <c r="D34" s="159">
        <f t="shared" ref="D34:L34" si="15">AVERAGE($C$33:$L$33)</f>
        <v>0.22222222222222218</v>
      </c>
      <c r="E34" s="159">
        <f t="shared" si="15"/>
        <v>0.22222222222222218</v>
      </c>
      <c r="F34" s="159">
        <f t="shared" si="15"/>
        <v>0.22222222222222218</v>
      </c>
      <c r="G34" s="159">
        <f t="shared" si="15"/>
        <v>0.22222222222222218</v>
      </c>
      <c r="H34" s="159">
        <f t="shared" si="15"/>
        <v>0.22222222222222218</v>
      </c>
      <c r="I34" s="159">
        <f t="shared" si="15"/>
        <v>0.22222222222222218</v>
      </c>
      <c r="J34" s="159">
        <f t="shared" si="15"/>
        <v>0.22222222222222218</v>
      </c>
      <c r="K34" s="159">
        <f t="shared" si="15"/>
        <v>0.22222222222222218</v>
      </c>
      <c r="L34" s="159">
        <f t="shared" si="15"/>
        <v>0.22222222222222218</v>
      </c>
      <c r="M34" s="157"/>
      <c r="N34" s="158"/>
      <c r="O34" s="130"/>
    </row>
    <row r="35" spans="1:15" hidden="1" x14ac:dyDescent="0.2">
      <c r="B35" s="156" t="s">
        <v>139</v>
      </c>
      <c r="C35" s="157">
        <f ca="1">C34*$I$41</f>
        <v>0</v>
      </c>
      <c r="D35" s="157">
        <f t="shared" ref="D35:L35" ca="1" si="16">D34*$I$41</f>
        <v>0</v>
      </c>
      <c r="E35" s="157">
        <f t="shared" ca="1" si="16"/>
        <v>0</v>
      </c>
      <c r="F35" s="157">
        <f t="shared" ca="1" si="16"/>
        <v>0</v>
      </c>
      <c r="G35" s="157">
        <f t="shared" ca="1" si="16"/>
        <v>0</v>
      </c>
      <c r="H35" s="157">
        <f t="shared" ca="1" si="16"/>
        <v>0</v>
      </c>
      <c r="I35" s="157">
        <f t="shared" ca="1" si="16"/>
        <v>0</v>
      </c>
      <c r="J35" s="157">
        <f t="shared" ca="1" si="16"/>
        <v>0</v>
      </c>
      <c r="K35" s="157">
        <f t="shared" ca="1" si="16"/>
        <v>0</v>
      </c>
      <c r="L35" s="157">
        <f t="shared" ca="1" si="16"/>
        <v>0</v>
      </c>
      <c r="M35" s="157"/>
      <c r="N35" s="158"/>
      <c r="O35" s="130"/>
    </row>
    <row r="36" spans="1:15" hidden="1" x14ac:dyDescent="0.2">
      <c r="B36" s="130" t="s">
        <v>107</v>
      </c>
      <c r="C36" s="157">
        <f>IF(SUM(C3:C7,C11:C15,C19:C23)=0,TEXT(0,"#"),SUM(C3:C7,C11:C15,C19:C23))</f>
        <v>18.75</v>
      </c>
      <c r="D36" s="157">
        <f t="shared" ref="D36:L36" si="17">IF(SUM(D3:D7,D11:D15,D19:D23)=0,TEXT(0,"#"),SUM(D3:D7,D11:D15,D19:D23))</f>
        <v>21.75</v>
      </c>
      <c r="E36" s="157">
        <f t="shared" si="17"/>
        <v>23.5</v>
      </c>
      <c r="F36" s="157" t="str">
        <f t="shared" si="17"/>
        <v/>
      </c>
      <c r="G36" s="157" t="str">
        <f t="shared" si="17"/>
        <v/>
      </c>
      <c r="H36" s="157" t="str">
        <f t="shared" si="17"/>
        <v/>
      </c>
      <c r="I36" s="157" t="str">
        <f t="shared" si="17"/>
        <v/>
      </c>
      <c r="J36" s="157" t="str">
        <f t="shared" si="17"/>
        <v/>
      </c>
      <c r="K36" s="157" t="str">
        <f t="shared" si="17"/>
        <v/>
      </c>
      <c r="L36" s="157" t="str">
        <f t="shared" si="17"/>
        <v/>
      </c>
      <c r="M36" s="160">
        <f>IF(SUM(C36:L36)=0,TEXT(0,"#"),SUM(C36:L36))</f>
        <v>64</v>
      </c>
      <c r="N36" s="152" t="s">
        <v>118</v>
      </c>
      <c r="O36" s="130"/>
    </row>
    <row r="37" spans="1:15" x14ac:dyDescent="0.2">
      <c r="B37" s="130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60"/>
      <c r="N37" s="152"/>
      <c r="O37" s="130"/>
    </row>
    <row r="38" spans="1:15" x14ac:dyDescent="0.2">
      <c r="A38" s="125" t="s">
        <v>142</v>
      </c>
      <c r="B38" s="161">
        <f>AVERAGE($N$10,$N$18,$N$26)</f>
        <v>4.1666666666666664E-2</v>
      </c>
      <c r="D38" s="162" t="s">
        <v>143</v>
      </c>
      <c r="E38" s="163"/>
      <c r="F38" s="163"/>
      <c r="G38" s="163"/>
      <c r="N38" s="164"/>
    </row>
    <row r="39" spans="1:15" x14ac:dyDescent="0.2">
      <c r="A39" s="125" t="s">
        <v>144</v>
      </c>
      <c r="B39" s="161">
        <f>MAX($N$7,$N$15,$N23)-MIN($N$7,$N$15,$N23)</f>
        <v>0.11111111111111116</v>
      </c>
      <c r="D39" s="165" t="s">
        <v>145</v>
      </c>
      <c r="E39" s="166" t="s">
        <v>146</v>
      </c>
      <c r="F39" s="166" t="s">
        <v>147</v>
      </c>
      <c r="G39" s="166" t="s">
        <v>148</v>
      </c>
      <c r="H39" s="166" t="s">
        <v>149</v>
      </c>
      <c r="I39" s="167">
        <f>COUNT($C$3:$C$7)</f>
        <v>3</v>
      </c>
    </row>
    <row r="40" spans="1:15" x14ac:dyDescent="0.2">
      <c r="A40" s="125" t="s">
        <v>134</v>
      </c>
      <c r="B40" s="161">
        <f ca="1">I40*B38</f>
        <v>0.1075</v>
      </c>
      <c r="D40" s="150">
        <v>2.11</v>
      </c>
      <c r="E40" s="168">
        <v>2.2799999999999998</v>
      </c>
      <c r="F40" s="168">
        <v>2.58</v>
      </c>
      <c r="G40" s="168">
        <v>3.27</v>
      </c>
      <c r="H40" s="169" t="s">
        <v>150</v>
      </c>
      <c r="I40" s="170">
        <f ca="1">OFFSET($I$40,0,-$I$39,1,1)</f>
        <v>2.58</v>
      </c>
      <c r="J40" s="171"/>
      <c r="L40" s="172" t="s">
        <v>151</v>
      </c>
    </row>
    <row r="41" spans="1:15" x14ac:dyDescent="0.2">
      <c r="A41" s="125" t="s">
        <v>139</v>
      </c>
      <c r="B41" s="161">
        <v>0</v>
      </c>
      <c r="D41" s="150">
        <v>0</v>
      </c>
      <c r="E41" s="168">
        <v>0</v>
      </c>
      <c r="F41" s="168">
        <v>0</v>
      </c>
      <c r="G41" s="168">
        <v>0</v>
      </c>
      <c r="H41" s="169" t="s">
        <v>152</v>
      </c>
      <c r="I41" s="170">
        <f ca="1">OFFSET($I$41,0,-$I$39,1,1)</f>
        <v>0</v>
      </c>
      <c r="J41" s="171"/>
      <c r="L41" s="172" t="s">
        <v>153</v>
      </c>
    </row>
    <row r="42" spans="1:15" x14ac:dyDescent="0.2">
      <c r="A42" s="125" t="s">
        <v>0</v>
      </c>
      <c r="B42" s="161">
        <f ca="1">B51</f>
        <v>2.4616666666666665E-2</v>
      </c>
      <c r="D42" s="150">
        <v>0.57699999999999996</v>
      </c>
      <c r="E42" s="168">
        <v>0.72899999999999998</v>
      </c>
      <c r="F42" s="168">
        <v>1.0229999999999999</v>
      </c>
      <c r="G42" s="168">
        <v>1.88</v>
      </c>
      <c r="H42" s="169" t="s">
        <v>1</v>
      </c>
      <c r="I42" s="170">
        <f ca="1">OFFSET($I$42,0,-$I$39,1,1)</f>
        <v>1.0229999999999999</v>
      </c>
      <c r="J42" s="171"/>
      <c r="L42" s="172" t="s">
        <v>2</v>
      </c>
    </row>
    <row r="43" spans="1:15" x14ac:dyDescent="0.2">
      <c r="A43" s="125" t="s">
        <v>3</v>
      </c>
      <c r="B43" s="161">
        <f ca="1">B53</f>
        <v>7.8136994881655181E-2</v>
      </c>
      <c r="D43" s="173">
        <v>0.4299</v>
      </c>
      <c r="E43" s="174">
        <v>0.48570000000000002</v>
      </c>
      <c r="F43" s="174">
        <v>0.59079999999999999</v>
      </c>
      <c r="G43" s="174">
        <v>0.88619999999999999</v>
      </c>
      <c r="H43" s="175" t="s">
        <v>4</v>
      </c>
      <c r="I43" s="176">
        <f ca="1">OFFSET($I$43,0,-$I$39,1,1)</f>
        <v>0.59079999999999999</v>
      </c>
      <c r="J43" s="171"/>
      <c r="L43" s="172" t="s">
        <v>5</v>
      </c>
    </row>
    <row r="44" spans="1:15" x14ac:dyDescent="0.2">
      <c r="A44" s="161" t="s">
        <v>6</v>
      </c>
      <c r="B44" s="161">
        <f ca="1">B55</f>
        <v>8.1922953113969146E-2</v>
      </c>
      <c r="D44" s="168">
        <v>0.70709999999999995</v>
      </c>
      <c r="E44" s="168">
        <v>0.52310000000000001</v>
      </c>
      <c r="F44" s="130"/>
      <c r="G44" s="130"/>
      <c r="H44" s="169" t="s">
        <v>7</v>
      </c>
      <c r="I44" s="170">
        <f>IF(ISBLANK($C$19),$D$44,$E$44)</f>
        <v>0.70709999999999995</v>
      </c>
    </row>
    <row r="45" spans="1:15" x14ac:dyDescent="0.2">
      <c r="A45" s="207" t="s">
        <v>8</v>
      </c>
      <c r="B45" s="207">
        <v>0.5</v>
      </c>
      <c r="D45" s="173" t="s">
        <v>9</v>
      </c>
      <c r="E45" s="174" t="s">
        <v>10</v>
      </c>
      <c r="F45" s="174"/>
      <c r="G45" s="174"/>
      <c r="H45" s="174"/>
      <c r="I45" s="176"/>
    </row>
    <row r="46" spans="1:15" x14ac:dyDescent="0.2">
      <c r="A46" s="125" t="s">
        <v>11</v>
      </c>
      <c r="B46" s="177">
        <f ca="1">+B44/B45</f>
        <v>0.16384590622793829</v>
      </c>
    </row>
    <row r="47" spans="1:15" x14ac:dyDescent="0.2">
      <c r="B47" s="177"/>
    </row>
    <row r="48" spans="1:15" x14ac:dyDescent="0.2">
      <c r="B48" s="177"/>
      <c r="M48" s="178"/>
    </row>
    <row r="49" spans="1:9" x14ac:dyDescent="0.2">
      <c r="B49" s="125" t="s">
        <v>12</v>
      </c>
      <c r="C49" s="125" t="s">
        <v>12</v>
      </c>
    </row>
    <row r="50" spans="1:9" x14ac:dyDescent="0.2">
      <c r="A50" s="125" t="s">
        <v>13</v>
      </c>
      <c r="B50" s="179" t="s">
        <v>14</v>
      </c>
      <c r="C50" s="179" t="s">
        <v>15</v>
      </c>
    </row>
    <row r="51" spans="1:9" x14ac:dyDescent="0.2">
      <c r="A51" s="125" t="s">
        <v>213</v>
      </c>
      <c r="B51" s="161">
        <f ca="1">$I$43*$B$38</f>
        <v>2.4616666666666665E-2</v>
      </c>
    </row>
    <row r="52" spans="1:9" x14ac:dyDescent="0.2">
      <c r="A52" s="125" t="s">
        <v>16</v>
      </c>
      <c r="B52" s="211">
        <f ca="1">B51/B59</f>
        <v>5.831312762929905E-2</v>
      </c>
      <c r="C52" s="180">
        <f ca="1">B51/($B$45/6)</f>
        <v>0.2954</v>
      </c>
    </row>
    <row r="53" spans="1:9" x14ac:dyDescent="0.2">
      <c r="A53" s="125" t="s">
        <v>217</v>
      </c>
      <c r="B53" s="183">
        <f ca="1">IF(ISERROR(SQRT((B39*I44)^2-(B51^2)/(C67*D67))),0,SQRT((B39*I44)^2-(B51^2)/(C67*D67)))</f>
        <v>7.8136994881655181E-2</v>
      </c>
    </row>
    <row r="54" spans="1:9" x14ac:dyDescent="0.2">
      <c r="A54" s="125" t="s">
        <v>20</v>
      </c>
      <c r="B54" s="211">
        <f ca="1">IF(ISERROR(100*B53/B59),0,B53/B59)</f>
        <v>0.18509461970631733</v>
      </c>
      <c r="C54" s="180">
        <f ca="1">B53/($B$45/6)</f>
        <v>0.93764393857986217</v>
      </c>
    </row>
    <row r="55" spans="1:9" x14ac:dyDescent="0.2">
      <c r="A55" s="125" t="s">
        <v>21</v>
      </c>
      <c r="B55" s="161">
        <f ca="1">SQRT(B51^2+B53^2)</f>
        <v>8.1922953113969146E-2</v>
      </c>
    </row>
    <row r="56" spans="1:9" x14ac:dyDescent="0.2">
      <c r="A56" s="125" t="s">
        <v>22</v>
      </c>
      <c r="B56" s="211">
        <f ca="1">B55/B59</f>
        <v>0.19406297714437229</v>
      </c>
      <c r="C56" s="180">
        <f ca="1">B55/($B$45/6)</f>
        <v>0.98307543736762981</v>
      </c>
    </row>
    <row r="57" spans="1:9" x14ac:dyDescent="0.2">
      <c r="A57" s="125" t="s">
        <v>23</v>
      </c>
      <c r="B57" s="161">
        <f>M29*INDEX($C$27:$L$27,1,COUNT(C3:L3))</f>
        <v>0.41412083333333327</v>
      </c>
    </row>
    <row r="58" spans="1:9" x14ac:dyDescent="0.2">
      <c r="A58" s="125" t="s">
        <v>24</v>
      </c>
      <c r="B58" s="211">
        <f ca="1">B57/B59</f>
        <v>0.9809890727739341</v>
      </c>
      <c r="C58" s="180">
        <f>B57/($B$45/6)</f>
        <v>4.9694499999999993</v>
      </c>
    </row>
    <row r="59" spans="1:9" x14ac:dyDescent="0.2">
      <c r="A59" s="125" t="s">
        <v>25</v>
      </c>
      <c r="B59" s="161">
        <f ca="1">SQRT(B55^2+B57^2)</f>
        <v>0.42214622448579114</v>
      </c>
    </row>
    <row r="60" spans="1:9" x14ac:dyDescent="0.2">
      <c r="B60" s="161"/>
    </row>
    <row r="61" spans="1:9" x14ac:dyDescent="0.2">
      <c r="A61" s="206" t="s">
        <v>212</v>
      </c>
      <c r="B61" s="161"/>
    </row>
    <row r="62" spans="1:9" s="210" customFormat="1" ht="15.95" customHeight="1" x14ac:dyDescent="0.2">
      <c r="A62" s="208" t="str">
        <f ca="1">IF($B$56&lt;0.1,"Gage System Okay",IF($B$56&lt;=0.3,"Gage system may be acceptable based on importance of application and cost","Gage system needs improvement"))</f>
        <v>Gage system may be acceptable based on importance of application and cost</v>
      </c>
      <c r="B62" s="209"/>
      <c r="C62" s="208"/>
      <c r="D62" s="208"/>
      <c r="E62" s="208"/>
      <c r="F62" s="208"/>
      <c r="G62" s="208"/>
      <c r="H62" s="208"/>
      <c r="I62" s="208"/>
    </row>
    <row r="63" spans="1:9" s="210" customFormat="1" ht="15.95" customHeight="1" x14ac:dyDescent="0.2">
      <c r="A63" s="208" t="str">
        <f ca="1">IF($B$56&lt;0.1,,IF($B$52&lt;$B$54,"Operator may need to be better trained or gage is hard to read","Gage may need maintenance, redesign, or better clamping"))</f>
        <v>Operator may need to be better trained or gage is hard to read</v>
      </c>
      <c r="B63" s="209"/>
      <c r="C63" s="208"/>
      <c r="D63" s="208"/>
      <c r="E63" s="208"/>
      <c r="F63" s="208"/>
      <c r="G63" s="208"/>
      <c r="H63" s="208"/>
      <c r="I63" s="208"/>
    </row>
    <row r="64" spans="1:9" x14ac:dyDescent="0.2">
      <c r="B64" s="161"/>
    </row>
    <row r="65" spans="1:20" x14ac:dyDescent="0.2">
      <c r="B65" s="161"/>
    </row>
    <row r="66" spans="1:20" x14ac:dyDescent="0.2">
      <c r="B66" s="161"/>
      <c r="C66" s="181" t="s">
        <v>17</v>
      </c>
      <c r="D66" s="182" t="s">
        <v>18</v>
      </c>
      <c r="E66" s="167" t="s">
        <v>19</v>
      </c>
    </row>
    <row r="67" spans="1:20" x14ac:dyDescent="0.2">
      <c r="B67" s="161"/>
      <c r="C67" s="173">
        <f>COUNT($C$3:$L$3)</f>
        <v>3</v>
      </c>
      <c r="D67" s="174">
        <f>COUNT($C$3:$C$7)</f>
        <v>3</v>
      </c>
      <c r="E67" s="176">
        <f>IF(ISBLANK(C19),2,3)</f>
        <v>2</v>
      </c>
    </row>
    <row r="68" spans="1:20" x14ac:dyDescent="0.2">
      <c r="B68" s="161"/>
    </row>
    <row r="69" spans="1:20" ht="13.5" thickBot="1" x14ac:dyDescent="0.25">
      <c r="B69" s="161"/>
    </row>
    <row r="70" spans="1:20" ht="13.5" thickBot="1" x14ac:dyDescent="0.25">
      <c r="A70" s="124" t="s">
        <v>26</v>
      </c>
      <c r="E70" s="198" t="s">
        <v>27</v>
      </c>
      <c r="F70" s="198"/>
      <c r="G70" s="198" t="s">
        <v>28</v>
      </c>
      <c r="H70" s="198"/>
    </row>
    <row r="71" spans="1:20" x14ac:dyDescent="0.2">
      <c r="A71" s="18" t="s">
        <v>29</v>
      </c>
      <c r="B71" s="19" t="s">
        <v>30</v>
      </c>
      <c r="C71" s="19" t="s">
        <v>31</v>
      </c>
      <c r="D71" s="19" t="s">
        <v>32</v>
      </c>
      <c r="E71" s="19" t="s">
        <v>33</v>
      </c>
      <c r="F71" s="199" t="s">
        <v>34</v>
      </c>
      <c r="G71" s="19" t="s">
        <v>33</v>
      </c>
      <c r="H71" s="199" t="s">
        <v>34</v>
      </c>
    </row>
    <row r="72" spans="1:20" x14ac:dyDescent="0.2">
      <c r="A72" s="20" t="s">
        <v>128</v>
      </c>
      <c r="B72" s="184">
        <f>IF(ISBLANK($C$19),1,2)</f>
        <v>1</v>
      </c>
      <c r="C72" s="185">
        <f>SUMSQ(M3,M11,M19)/($C$67*D67)-$M$36^2/($C$67*$D$67*$E$67)</f>
        <v>-202.46527777777777</v>
      </c>
      <c r="D72" s="185">
        <f>C72/B72</f>
        <v>-202.46527777777777</v>
      </c>
      <c r="E72" s="29">
        <f>D72/D74</f>
        <v>-1.997738796765794</v>
      </c>
      <c r="F72" s="200" t="e">
        <f>FDIST(E72,B72,$B$74)</f>
        <v>#NUM!</v>
      </c>
      <c r="G72" s="29">
        <f>D72/D76</f>
        <v>-13.981297526889085</v>
      </c>
      <c r="H72" s="200" t="e">
        <f>FDIST(G72,B72,$B$76)</f>
        <v>#NUM!</v>
      </c>
    </row>
    <row r="73" spans="1:20" x14ac:dyDescent="0.2">
      <c r="A73" s="20" t="s">
        <v>35</v>
      </c>
      <c r="B73" s="184">
        <f>C67-1</f>
        <v>2</v>
      </c>
      <c r="C73" s="185">
        <f>SUMSQ(C36:L36)/($D$67*$E$67)-$M$36^2/($C$67*$D$67*$E$67)</f>
        <v>1.9236111111111143</v>
      </c>
      <c r="D73" s="184">
        <f>C73/B73</f>
        <v>0.96180555555555713</v>
      </c>
      <c r="E73" s="29">
        <f>D73/D74</f>
        <v>9.4902014526517895E-3</v>
      </c>
      <c r="F73" s="200">
        <f>FDIST(E73,B73,$B$74)</f>
        <v>0.99059901578143561</v>
      </c>
      <c r="G73" s="29">
        <f>D73/D76</f>
        <v>6.6417757073371345E-2</v>
      </c>
      <c r="H73" s="200">
        <f>FDIST(G73,B73,$B$76)</f>
        <v>0.93603291085782303</v>
      </c>
    </row>
    <row r="74" spans="1:20" x14ac:dyDescent="0.2">
      <c r="A74" s="20" t="s">
        <v>36</v>
      </c>
      <c r="B74" s="184">
        <f>B72*B73</f>
        <v>2</v>
      </c>
      <c r="C74" s="185">
        <f>SUMSQ(C8:L8,C16:L16,C24:L24)/$D$67-C72-C73-M36^2/(C67*D67*E67)</f>
        <v>202.69444444444446</v>
      </c>
      <c r="D74" s="184">
        <f>C74/B74</f>
        <v>101.34722222222223</v>
      </c>
      <c r="E74" s="29">
        <f>D74/D75</f>
        <v>29188.000000006639</v>
      </c>
      <c r="F74" s="200">
        <f>FDIST(E74,B74,$B$75)</f>
        <v>7.5360865952629188E-23</v>
      </c>
      <c r="G74"/>
      <c r="H74"/>
    </row>
    <row r="75" spans="1:20" x14ac:dyDescent="0.2">
      <c r="A75" s="196" t="s">
        <v>37</v>
      </c>
      <c r="B75" s="184">
        <f>C67*E67*(D67-1)</f>
        <v>12</v>
      </c>
      <c r="C75" s="185">
        <f>C77-C72-C73-C74</f>
        <v>4.1666666666657193E-2</v>
      </c>
      <c r="D75" s="185">
        <f>C75/B75</f>
        <v>3.4722222222214327E-3</v>
      </c>
      <c r="E75" s="171"/>
      <c r="F75" s="171"/>
      <c r="G75" s="171"/>
    </row>
    <row r="76" spans="1:20" x14ac:dyDescent="0.2">
      <c r="A76" s="196" t="s">
        <v>38</v>
      </c>
      <c r="B76" s="29">
        <f>B74+B75</f>
        <v>14</v>
      </c>
      <c r="C76" s="197">
        <f>C74+C75</f>
        <v>202.73611111111111</v>
      </c>
      <c r="D76" s="197">
        <f>C76/B76</f>
        <v>14.481150793650794</v>
      </c>
      <c r="E76" s="171"/>
      <c r="F76" s="171"/>
      <c r="G76" s="171"/>
    </row>
    <row r="77" spans="1:20" ht="13.5" thickBot="1" x14ac:dyDescent="0.25">
      <c r="A77" s="186" t="s">
        <v>118</v>
      </c>
      <c r="B77" s="184">
        <f>C67*D67*E67-1</f>
        <v>17</v>
      </c>
      <c r="C77" s="184">
        <f>SUMSQ(C3:L7,C11:L15,C19:L23)-M36^2/(C67*D67*E67)</f>
        <v>2.1944444444444571</v>
      </c>
      <c r="F77" s="171"/>
      <c r="G77" s="171"/>
    </row>
    <row r="78" spans="1:20" x14ac:dyDescent="0.2">
      <c r="A78" s="187"/>
    </row>
    <row r="79" spans="1:20" s="190" customFormat="1" ht="33.75" x14ac:dyDescent="0.2">
      <c r="A79" s="188"/>
      <c r="B79" s="189" t="s">
        <v>39</v>
      </c>
      <c r="C79" s="189" t="s">
        <v>40</v>
      </c>
      <c r="D79" s="189"/>
      <c r="E79" s="189" t="s">
        <v>41</v>
      </c>
      <c r="F79" s="189" t="s">
        <v>42</v>
      </c>
      <c r="G79" s="189" t="s">
        <v>43</v>
      </c>
      <c r="S79" s="125"/>
      <c r="T79" s="125"/>
    </row>
    <row r="80" spans="1:20" x14ac:dyDescent="0.2">
      <c r="A80" s="191" t="s">
        <v>44</v>
      </c>
      <c r="B80" s="192">
        <f>D75</f>
        <v>3.4722222222214327E-3</v>
      </c>
      <c r="C80" s="184">
        <f>SQRT(B80)</f>
        <v>5.8925565098872264E-2</v>
      </c>
      <c r="D80" s="193" t="s">
        <v>45</v>
      </c>
      <c r="E80" s="184">
        <f>5.15*C80</f>
        <v>0.30346666025919217</v>
      </c>
      <c r="F80" s="194">
        <f>E80/$E$85</f>
        <v>6.4189004203560468E-3</v>
      </c>
      <c r="G80" s="194">
        <f>F80^2</f>
        <v>4.1202282606447036E-5</v>
      </c>
    </row>
    <row r="81" spans="1:7" x14ac:dyDescent="0.2">
      <c r="A81" s="191" t="s">
        <v>128</v>
      </c>
      <c r="B81" s="184">
        <f>ABS(D72-D74)/(C67*D67)</f>
        <v>33.756944444444443</v>
      </c>
      <c r="C81" s="184">
        <f>SQRT(B81)</f>
        <v>5.8100726711844528</v>
      </c>
      <c r="D81" s="193" t="s">
        <v>46</v>
      </c>
      <c r="E81" s="184">
        <f>5.15*C81</f>
        <v>29.921874256599935</v>
      </c>
      <c r="F81" s="194">
        <f>E81/$E$85</f>
        <v>0.63290488345403784</v>
      </c>
      <c r="G81" s="194">
        <f>F81^2</f>
        <v>0.40056859149996921</v>
      </c>
    </row>
    <row r="82" spans="1:7" x14ac:dyDescent="0.2">
      <c r="A82" s="191" t="s">
        <v>47</v>
      </c>
      <c r="B82" s="184">
        <f>ABS(D74-D75)/D67</f>
        <v>33.78125</v>
      </c>
      <c r="C82" s="184">
        <f>SQRT(B82)</f>
        <v>5.8121639687813351</v>
      </c>
      <c r="D82" s="193" t="s">
        <v>48</v>
      </c>
      <c r="E82" s="184">
        <f>5.15*C82</f>
        <v>29.932644439223878</v>
      </c>
      <c r="F82" s="194">
        <f>E82/$E$85</f>
        <v>0.63313269342075074</v>
      </c>
      <c r="G82" s="194">
        <f>F82^2</f>
        <v>0.40085700747821434</v>
      </c>
    </row>
    <row r="83" spans="1:7" x14ac:dyDescent="0.2">
      <c r="A83" s="191" t="s">
        <v>49</v>
      </c>
      <c r="B83" s="192">
        <f>SUM(B80:B82)</f>
        <v>67.541666666666657</v>
      </c>
      <c r="C83" s="184">
        <f>SQRT(B83)</f>
        <v>8.2183737239594219</v>
      </c>
      <c r="D83" s="193" t="s">
        <v>49</v>
      </c>
      <c r="E83" s="184">
        <f>5.15*C83</f>
        <v>42.324624678391025</v>
      </c>
      <c r="F83" s="194">
        <f>E83/$E$85</f>
        <v>0.8952467823236171</v>
      </c>
      <c r="G83" s="194">
        <f>F83^2</f>
        <v>0.80146680126078984</v>
      </c>
    </row>
    <row r="84" spans="1:7" x14ac:dyDescent="0.2">
      <c r="A84" s="191" t="s">
        <v>135</v>
      </c>
      <c r="B84" s="192">
        <f>ABS(D73-D74)/(D67*E67)</f>
        <v>16.730902777777779</v>
      </c>
      <c r="C84" s="184">
        <f>SQRT(B84)</f>
        <v>4.0903426235191809</v>
      </c>
      <c r="D84" s="193" t="s">
        <v>50</v>
      </c>
      <c r="E84" s="184">
        <f>5.15*C84</f>
        <v>21.065264511123782</v>
      </c>
      <c r="F84" s="194">
        <f>E84/$E$85</f>
        <v>0.44557064393787227</v>
      </c>
      <c r="G84" s="194">
        <f>F84^2</f>
        <v>0.19853319873921016</v>
      </c>
    </row>
    <row r="85" spans="1:7" x14ac:dyDescent="0.2">
      <c r="A85" s="195"/>
      <c r="B85" s="184"/>
      <c r="C85" s="184"/>
      <c r="D85" s="193" t="s">
        <v>14</v>
      </c>
      <c r="E85" s="184">
        <f>SQRT(E83^2+E84^2)</f>
        <v>47.277047529327355</v>
      </c>
      <c r="F85" s="184"/>
      <c r="G85" s="184"/>
    </row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78" spans="1:3" ht="12.75" customHeight="1" x14ac:dyDescent="0.2"/>
    <row r="179" spans="1:3" ht="12.75" customHeight="1" x14ac:dyDescent="0.2"/>
    <row r="180" spans="1:3" ht="12.75" customHeight="1" x14ac:dyDescent="0.2"/>
    <row r="181" spans="1:3" ht="12.75" customHeight="1" x14ac:dyDescent="0.2"/>
    <row r="182" spans="1:3" x14ac:dyDescent="0.2">
      <c r="A182" s="124" t="s">
        <v>51</v>
      </c>
      <c r="B182" s="125" t="s">
        <v>52</v>
      </c>
    </row>
    <row r="183" spans="1:3" x14ac:dyDescent="0.2">
      <c r="B183" s="125" t="s">
        <v>218</v>
      </c>
    </row>
    <row r="184" spans="1:3" x14ac:dyDescent="0.2">
      <c r="B184" s="125" t="s">
        <v>219</v>
      </c>
    </row>
    <row r="185" spans="1:3" x14ac:dyDescent="0.2">
      <c r="B185" s="125" t="s">
        <v>220</v>
      </c>
    </row>
    <row r="186" spans="1:3" x14ac:dyDescent="0.2">
      <c r="B186" s="125" t="s">
        <v>221</v>
      </c>
    </row>
    <row r="187" spans="1:3" x14ac:dyDescent="0.2">
      <c r="B187" s="125" t="s">
        <v>222</v>
      </c>
    </row>
    <row r="189" spans="1:3" x14ac:dyDescent="0.2">
      <c r="A189" s="124" t="s">
        <v>223</v>
      </c>
    </row>
    <row r="190" spans="1:3" x14ac:dyDescent="0.2">
      <c r="B190" s="125" t="s">
        <v>224</v>
      </c>
    </row>
    <row r="191" spans="1:3" x14ac:dyDescent="0.2">
      <c r="B191" s="124" t="s">
        <v>225</v>
      </c>
    </row>
    <row r="192" spans="1:3" x14ac:dyDescent="0.2">
      <c r="C192" s="124" t="s">
        <v>226</v>
      </c>
    </row>
    <row r="193" spans="1:4" x14ac:dyDescent="0.2">
      <c r="C193" s="125" t="s">
        <v>227</v>
      </c>
    </row>
    <row r="194" spans="1:4" x14ac:dyDescent="0.2">
      <c r="C194" s="125" t="s">
        <v>53</v>
      </c>
    </row>
    <row r="195" spans="1:4" x14ac:dyDescent="0.2">
      <c r="C195" s="125" t="s">
        <v>54</v>
      </c>
    </row>
    <row r="196" spans="1:4" x14ac:dyDescent="0.2">
      <c r="C196" s="125" t="s">
        <v>55</v>
      </c>
    </row>
    <row r="198" spans="1:4" x14ac:dyDescent="0.2">
      <c r="B198" s="124" t="s">
        <v>56</v>
      </c>
    </row>
    <row r="199" spans="1:4" x14ac:dyDescent="0.2">
      <c r="B199" s="124"/>
      <c r="C199" s="124" t="s">
        <v>57</v>
      </c>
    </row>
    <row r="200" spans="1:4" x14ac:dyDescent="0.2">
      <c r="C200" s="125" t="s">
        <v>58</v>
      </c>
    </row>
    <row r="201" spans="1:4" x14ac:dyDescent="0.2">
      <c r="C201" s="125" t="s">
        <v>59</v>
      </c>
    </row>
    <row r="202" spans="1:4" x14ac:dyDescent="0.2">
      <c r="C202" s="125" t="s">
        <v>60</v>
      </c>
    </row>
    <row r="204" spans="1:4" x14ac:dyDescent="0.2">
      <c r="A204" s="124" t="s">
        <v>61</v>
      </c>
    </row>
    <row r="205" spans="1:4" x14ac:dyDescent="0.2">
      <c r="B205" s="125" t="s">
        <v>62</v>
      </c>
      <c r="D205" s="125" t="s">
        <v>63</v>
      </c>
    </row>
    <row r="206" spans="1:4" x14ac:dyDescent="0.2">
      <c r="B206" s="125" t="s">
        <v>64</v>
      </c>
      <c r="D206" s="125" t="s">
        <v>65</v>
      </c>
    </row>
    <row r="207" spans="1:4" x14ac:dyDescent="0.2">
      <c r="B207" s="125" t="s">
        <v>66</v>
      </c>
      <c r="D207" s="125" t="s">
        <v>67</v>
      </c>
    </row>
    <row r="209" spans="2:2" x14ac:dyDescent="0.2">
      <c r="B209" s="125" t="s">
        <v>68</v>
      </c>
    </row>
  </sheetData>
  <phoneticPr fontId="3" type="noConversion"/>
  <printOptions horizontalCentered="1" verticalCentered="1"/>
  <pageMargins left="0.25" right="0.25" top="0.5" bottom="0.25" header="0.5" footer="0.5"/>
  <pageSetup scale="90" orientation="landscape" horizontalDpi="300" verticalDpi="4294967292"/>
  <rowBreaks count="2" manualBreakCount="2">
    <brk id="72" max="65535" man="1"/>
    <brk id="168" max="65535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showRuler="0" workbookViewId="0">
      <selection activeCell="D9" sqref="D9"/>
    </sheetView>
  </sheetViews>
  <sheetFormatPr defaultColWidth="8.7109375" defaultRowHeight="12.75" x14ac:dyDescent="0.2"/>
  <cols>
    <col min="1" max="1" width="12.5703125" style="1" customWidth="1"/>
    <col min="2" max="7" width="8.7109375" customWidth="1"/>
    <col min="8" max="8" width="6.28515625" customWidth="1"/>
    <col min="9" max="9" width="0.140625" hidden="1" customWidth="1"/>
    <col min="10" max="10" width="10" hidden="1" customWidth="1"/>
  </cols>
  <sheetData>
    <row r="1" spans="1:12" x14ac:dyDescent="0.2">
      <c r="A1" s="11" t="s">
        <v>69</v>
      </c>
      <c r="D1" s="21" t="s">
        <v>70</v>
      </c>
      <c r="E1" s="21"/>
    </row>
    <row r="2" spans="1:12" ht="13.5" thickBot="1" x14ac:dyDescent="0.25">
      <c r="A2" s="12" t="s">
        <v>135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7" t="s">
        <v>71</v>
      </c>
      <c r="I2" t="s">
        <v>72</v>
      </c>
      <c r="J2" t="s">
        <v>73</v>
      </c>
    </row>
    <row r="3" spans="1:12" x14ac:dyDescent="0.2">
      <c r="A3" s="13" t="s">
        <v>108</v>
      </c>
      <c r="B3" s="30">
        <v>12</v>
      </c>
      <c r="C3" s="30">
        <v>22</v>
      </c>
      <c r="D3" s="30">
        <v>12</v>
      </c>
      <c r="E3" s="30">
        <v>10</v>
      </c>
      <c r="F3" s="30">
        <v>11</v>
      </c>
      <c r="G3" s="23">
        <f>IF(ISERROR(AVERAGE(B3:F3)),"",AVERAGE(B3:F3))</f>
        <v>13.4</v>
      </c>
      <c r="I3" s="21">
        <v>1</v>
      </c>
      <c r="J3" s="21">
        <v>1.41</v>
      </c>
      <c r="K3" s="22"/>
      <c r="L3" s="22"/>
    </row>
    <row r="4" spans="1:12" x14ac:dyDescent="0.2">
      <c r="A4" s="14" t="s">
        <v>123</v>
      </c>
      <c r="B4" s="31">
        <v>11</v>
      </c>
      <c r="C4" s="31">
        <v>23</v>
      </c>
      <c r="D4" s="31">
        <v>13</v>
      </c>
      <c r="E4" s="31">
        <v>12</v>
      </c>
      <c r="F4" s="31">
        <v>21</v>
      </c>
      <c r="G4" s="33">
        <f>IF(ISERROR(AVERAGE(B4:F4)),"",AVERAGE(B4:F4))</f>
        <v>16</v>
      </c>
      <c r="H4" t="s">
        <v>74</v>
      </c>
      <c r="I4">
        <v>2</v>
      </c>
      <c r="J4">
        <v>1.28</v>
      </c>
    </row>
    <row r="5" spans="1:12" ht="13.5" thickBot="1" x14ac:dyDescent="0.25">
      <c r="A5" s="15" t="s">
        <v>140</v>
      </c>
      <c r="B5" s="35">
        <f>ABS(B3-B4)</f>
        <v>1</v>
      </c>
      <c r="C5" s="35">
        <f>ABS(C3-C4)</f>
        <v>1</v>
      </c>
      <c r="D5" s="35">
        <f>ABS(D3-D4)</f>
        <v>1</v>
      </c>
      <c r="E5" s="35">
        <f>ABS(E3-E4)</f>
        <v>2</v>
      </c>
      <c r="F5" s="35">
        <f>ABS(F3-F4)</f>
        <v>10</v>
      </c>
      <c r="G5" s="34">
        <f>IF(ISERROR(AVERAGE(B5:F5)),"",AVERAGE(B5:F5))</f>
        <v>3</v>
      </c>
      <c r="H5">
        <f ca="1">OFFSET($J$3,COUNT(B4:F4)-1,0,1,1)</f>
        <v>1.19</v>
      </c>
      <c r="I5">
        <v>3</v>
      </c>
      <c r="J5">
        <v>1.23</v>
      </c>
    </row>
    <row r="6" spans="1:12" x14ac:dyDescent="0.2">
      <c r="A6"/>
      <c r="I6">
        <v>4</v>
      </c>
      <c r="J6">
        <v>1.21</v>
      </c>
    </row>
    <row r="7" spans="1:12" x14ac:dyDescent="0.2">
      <c r="A7" s="36" t="s">
        <v>75</v>
      </c>
      <c r="B7" s="24">
        <f ca="1">G5/H5</f>
        <v>2.5210084033613445</v>
      </c>
      <c r="I7">
        <v>5</v>
      </c>
      <c r="J7">
        <v>1.19</v>
      </c>
    </row>
    <row r="8" spans="1:12" ht="51" x14ac:dyDescent="0.2">
      <c r="A8" s="32" t="s">
        <v>76</v>
      </c>
      <c r="B8" s="21">
        <f>STDEV(B3:F4)</f>
        <v>5.1218486246016024</v>
      </c>
      <c r="I8">
        <v>6</v>
      </c>
      <c r="J8">
        <v>1.18</v>
      </c>
    </row>
    <row r="9" spans="1:12" x14ac:dyDescent="0.2">
      <c r="A9" s="36" t="s">
        <v>77</v>
      </c>
      <c r="B9" s="37">
        <f ca="1">B7/B8</f>
        <v>0.49220673786653318</v>
      </c>
      <c r="I9">
        <v>7</v>
      </c>
      <c r="J9">
        <v>1.17</v>
      </c>
    </row>
    <row r="10" spans="1:12" x14ac:dyDescent="0.2">
      <c r="I10">
        <v>8</v>
      </c>
      <c r="J10">
        <v>1.17</v>
      </c>
    </row>
    <row r="11" spans="1:12" x14ac:dyDescent="0.2">
      <c r="I11">
        <v>9</v>
      </c>
      <c r="J11">
        <v>1.1599999999999999</v>
      </c>
    </row>
    <row r="12" spans="1:12" x14ac:dyDescent="0.2">
      <c r="I12">
        <v>10</v>
      </c>
      <c r="J12">
        <v>1.1599999999999999</v>
      </c>
    </row>
    <row r="13" spans="1:12" x14ac:dyDescent="0.2">
      <c r="I13">
        <v>11</v>
      </c>
      <c r="J13">
        <v>1.1599999999999999</v>
      </c>
    </row>
    <row r="14" spans="1:12" x14ac:dyDescent="0.2">
      <c r="I14">
        <v>12</v>
      </c>
      <c r="J14">
        <v>1.1499999999999999</v>
      </c>
    </row>
    <row r="15" spans="1:12" x14ac:dyDescent="0.2">
      <c r="I15">
        <v>13</v>
      </c>
      <c r="J15">
        <v>1.1499999999999999</v>
      </c>
    </row>
    <row r="16" spans="1:12" x14ac:dyDescent="0.2">
      <c r="I16">
        <v>14</v>
      </c>
      <c r="J16">
        <v>1.1499999999999999</v>
      </c>
    </row>
    <row r="17" spans="9:10" x14ac:dyDescent="0.2">
      <c r="I17">
        <v>15</v>
      </c>
      <c r="J17">
        <v>1.1499999999999999</v>
      </c>
    </row>
    <row r="18" spans="9:10" x14ac:dyDescent="0.2">
      <c r="J18">
        <v>1.1279999999999999</v>
      </c>
    </row>
    <row r="19" spans="9:10" x14ac:dyDescent="0.2">
      <c r="J19">
        <v>1.1279999999999999</v>
      </c>
    </row>
    <row r="20" spans="9:10" x14ac:dyDescent="0.2">
      <c r="J20">
        <v>1.1279999999999999</v>
      </c>
    </row>
    <row r="21" spans="9:10" x14ac:dyDescent="0.2">
      <c r="J21">
        <v>1.1279999999999999</v>
      </c>
    </row>
    <row r="22" spans="9:10" x14ac:dyDescent="0.2">
      <c r="J22">
        <v>1.1279999999999999</v>
      </c>
    </row>
    <row r="23" spans="9:10" x14ac:dyDescent="0.2">
      <c r="J23">
        <v>1.1279999999999999</v>
      </c>
    </row>
    <row r="24" spans="9:10" x14ac:dyDescent="0.2">
      <c r="J24">
        <v>1.1279999999999999</v>
      </c>
    </row>
    <row r="25" spans="9:10" x14ac:dyDescent="0.2">
      <c r="J25">
        <v>1.1279999999999999</v>
      </c>
    </row>
    <row r="26" spans="9:10" x14ac:dyDescent="0.2">
      <c r="J26">
        <v>1.1279999999999999</v>
      </c>
    </row>
    <row r="27" spans="9:10" x14ac:dyDescent="0.2">
      <c r="J27">
        <v>1.1279999999999999</v>
      </c>
    </row>
    <row r="28" spans="9:10" x14ac:dyDescent="0.2">
      <c r="J28">
        <v>1.1279999999999999</v>
      </c>
    </row>
    <row r="29" spans="9:10" x14ac:dyDescent="0.2">
      <c r="J29">
        <v>1.1279999999999999</v>
      </c>
    </row>
    <row r="30" spans="9:10" x14ac:dyDescent="0.2">
      <c r="J30">
        <v>1.1279999999999999</v>
      </c>
    </row>
    <row r="31" spans="9:10" x14ac:dyDescent="0.2">
      <c r="J31">
        <v>1.1279999999999999</v>
      </c>
    </row>
    <row r="32" spans="9:10" x14ac:dyDescent="0.2">
      <c r="J32">
        <v>1.1279999999999999</v>
      </c>
    </row>
    <row r="33" spans="10:10" x14ac:dyDescent="0.2">
      <c r="J33">
        <v>1.1279999999999999</v>
      </c>
    </row>
    <row r="34" spans="10:10" x14ac:dyDescent="0.2">
      <c r="J34">
        <v>1.1279999999999999</v>
      </c>
    </row>
    <row r="35" spans="10:10" x14ac:dyDescent="0.2">
      <c r="J35">
        <v>1.1279999999999999</v>
      </c>
    </row>
    <row r="36" spans="10:10" x14ac:dyDescent="0.2">
      <c r="J36">
        <v>1.1279999999999999</v>
      </c>
    </row>
    <row r="37" spans="10:10" x14ac:dyDescent="0.2">
      <c r="J37">
        <v>1.1279999999999999</v>
      </c>
    </row>
    <row r="38" spans="10:10" x14ac:dyDescent="0.2">
      <c r="J38">
        <v>1.1279999999999999</v>
      </c>
    </row>
    <row r="39" spans="10:10" x14ac:dyDescent="0.2">
      <c r="J39">
        <v>1.1279999999999999</v>
      </c>
    </row>
    <row r="40" spans="10:10" x14ac:dyDescent="0.2">
      <c r="J40">
        <v>1.1279999999999999</v>
      </c>
    </row>
    <row r="41" spans="10:10" x14ac:dyDescent="0.2">
      <c r="J41">
        <v>1.1279999999999999</v>
      </c>
    </row>
    <row r="42" spans="10:10" x14ac:dyDescent="0.2">
      <c r="J42">
        <v>1.1279999999999999</v>
      </c>
    </row>
    <row r="43" spans="10:10" x14ac:dyDescent="0.2">
      <c r="J43">
        <v>1.1279999999999999</v>
      </c>
    </row>
    <row r="44" spans="10:10" x14ac:dyDescent="0.2">
      <c r="J44">
        <v>1.1279999999999999</v>
      </c>
    </row>
  </sheetData>
  <phoneticPr fontId="3" type="noConversion"/>
  <pageMargins left="0.75" right="0.75" top="1" bottom="1" header="0.5" footer="0.5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"/>
  <sheetViews>
    <sheetView showRuler="0" workbookViewId="0">
      <selection activeCell="I19" sqref="I19"/>
    </sheetView>
  </sheetViews>
  <sheetFormatPr defaultColWidth="8.7109375" defaultRowHeight="12.75" x14ac:dyDescent="0.2"/>
  <cols>
    <col min="1" max="1" width="8.7109375" customWidth="1"/>
    <col min="2" max="2" width="11.7109375" customWidth="1"/>
    <col min="3" max="6" width="8.7109375" customWidth="1"/>
    <col min="7" max="7" width="9.85546875" customWidth="1"/>
  </cols>
  <sheetData>
    <row r="1" spans="1:30" s="1" customFormat="1" ht="51" x14ac:dyDescent="0.2">
      <c r="A1" s="108" t="s">
        <v>78</v>
      </c>
      <c r="B1" s="108" t="s">
        <v>79</v>
      </c>
      <c r="C1" s="109" t="s">
        <v>119</v>
      </c>
      <c r="D1" s="110" t="s">
        <v>80</v>
      </c>
      <c r="E1" s="111" t="s">
        <v>81</v>
      </c>
      <c r="F1" s="111" t="s">
        <v>82</v>
      </c>
      <c r="G1" s="111" t="s">
        <v>83</v>
      </c>
      <c r="H1" s="111" t="s">
        <v>84</v>
      </c>
      <c r="I1" s="111" t="s">
        <v>85</v>
      </c>
      <c r="J1" s="112" t="s">
        <v>30</v>
      </c>
      <c r="K1" s="113" t="s">
        <v>72</v>
      </c>
      <c r="L1" s="114">
        <v>2</v>
      </c>
      <c r="M1" s="114">
        <v>3</v>
      </c>
      <c r="N1" s="114">
        <v>4</v>
      </c>
      <c r="O1" s="114">
        <v>5</v>
      </c>
      <c r="P1" s="114">
        <v>6</v>
      </c>
      <c r="Q1" s="114">
        <v>7</v>
      </c>
      <c r="R1" s="114">
        <v>8</v>
      </c>
      <c r="S1" s="114">
        <v>9</v>
      </c>
      <c r="T1" s="114">
        <v>10</v>
      </c>
      <c r="U1" s="114">
        <v>11</v>
      </c>
      <c r="V1" s="114">
        <v>12</v>
      </c>
      <c r="W1" s="114">
        <v>13</v>
      </c>
      <c r="X1" s="114">
        <v>14</v>
      </c>
      <c r="Y1" s="114">
        <v>15</v>
      </c>
      <c r="Z1" s="114">
        <v>16</v>
      </c>
      <c r="AA1" s="114">
        <v>17</v>
      </c>
      <c r="AB1" s="114">
        <v>18</v>
      </c>
      <c r="AC1" s="114">
        <v>19</v>
      </c>
      <c r="AD1" s="115">
        <v>20</v>
      </c>
    </row>
    <row r="2" spans="1:30" x14ac:dyDescent="0.2">
      <c r="A2" s="116">
        <v>5.8</v>
      </c>
      <c r="B2" s="116">
        <v>6</v>
      </c>
      <c r="C2" s="117">
        <f t="shared" ref="C2:C16" si="0">A2-$B$2</f>
        <v>-0.20000000000000018</v>
      </c>
      <c r="D2" s="118">
        <f>COUNT(A:A)</f>
        <v>15</v>
      </c>
      <c r="E2" s="25">
        <f>AVERAGE(A:A)</f>
        <v>6.006666666666665</v>
      </c>
      <c r="F2" s="25">
        <f>STDEV(A:A)</f>
        <v>0.21201976547572388</v>
      </c>
      <c r="G2" s="25">
        <f>(MAX(A:A)-MIN(A:A))/HLOOKUP(COUNT(A:A),L1:AD2,2)</f>
        <v>0.2251409241472086</v>
      </c>
      <c r="H2" s="25">
        <f>E3/(G2/SQRT(D2))</f>
        <v>0.11468323261315951</v>
      </c>
      <c r="I2" s="25">
        <f>HLOOKUP(D2,L1:AD2,2)</f>
        <v>3.5533299999999999</v>
      </c>
      <c r="J2" s="26">
        <f>HLOOKUP(D2,L1:AD3,3)</f>
        <v>10.8</v>
      </c>
      <c r="K2" s="119" t="s">
        <v>86</v>
      </c>
      <c r="L2" s="25">
        <v>1.41421</v>
      </c>
      <c r="M2" s="25">
        <v>1.9115500000000001</v>
      </c>
      <c r="N2" s="25">
        <v>2.2388699999999999</v>
      </c>
      <c r="O2" s="25">
        <v>2.4812400000000001</v>
      </c>
      <c r="P2" s="25">
        <v>2.6725300000000001</v>
      </c>
      <c r="Q2" s="25">
        <v>2.8298100000000002</v>
      </c>
      <c r="R2" s="25">
        <v>2.9628800000000002</v>
      </c>
      <c r="S2" s="25">
        <v>3.0779399999999999</v>
      </c>
      <c r="T2" s="25">
        <v>3.1790500000000002</v>
      </c>
      <c r="U2" s="25">
        <v>3.2690899999999998</v>
      </c>
      <c r="V2" s="25">
        <v>3.3501599999999998</v>
      </c>
      <c r="W2" s="25">
        <v>3.4237799999999998</v>
      </c>
      <c r="X2" s="25">
        <v>3.4911599999999998</v>
      </c>
      <c r="Y2" s="25">
        <v>3.5533299999999999</v>
      </c>
      <c r="Z2" s="25">
        <v>3.6107100000000001</v>
      </c>
      <c r="AA2" s="25">
        <v>3.6642199999999998</v>
      </c>
      <c r="AB2" s="25">
        <v>3.7142400000000002</v>
      </c>
      <c r="AC2" s="25">
        <v>3.76118</v>
      </c>
      <c r="AD2" s="26">
        <v>3.8053699999999999</v>
      </c>
    </row>
    <row r="3" spans="1:30" x14ac:dyDescent="0.2">
      <c r="A3" s="116">
        <v>5.7</v>
      </c>
      <c r="C3" s="117">
        <f t="shared" si="0"/>
        <v>-0.29999999999999982</v>
      </c>
      <c r="D3" s="120" t="s">
        <v>119</v>
      </c>
      <c r="E3" s="121">
        <f>AVERAGE(C:C)</f>
        <v>6.6666666666666428E-3</v>
      </c>
      <c r="F3" s="122"/>
      <c r="G3" s="27">
        <f>G2/SQRT(D2)</f>
        <v>5.8131136651459074E-2</v>
      </c>
      <c r="H3" s="27">
        <f>HLOOKUP(ROUND(J2,0),L1:AD5,5)+((HLOOKUP(J2,L1:AD5,5)-HLOOKUP(ROUND(J2,0),L1:AD5,5))*(ROUND(J2,0)-J2))</f>
        <v>2.2063999999999999</v>
      </c>
      <c r="I3" s="27">
        <f>HLOOKUP(D2,L1:AD4,4)</f>
        <v>3.47193</v>
      </c>
      <c r="J3" s="28"/>
      <c r="K3" s="119" t="s">
        <v>30</v>
      </c>
      <c r="L3" s="25">
        <v>1</v>
      </c>
      <c r="M3" s="25">
        <v>2</v>
      </c>
      <c r="N3" s="25">
        <v>2.9</v>
      </c>
      <c r="O3" s="25">
        <v>3.8</v>
      </c>
      <c r="P3" s="25">
        <v>4.7</v>
      </c>
      <c r="Q3" s="25">
        <v>5.5</v>
      </c>
      <c r="R3" s="25">
        <v>6.3</v>
      </c>
      <c r="S3" s="25">
        <v>7</v>
      </c>
      <c r="T3" s="25">
        <v>7.7</v>
      </c>
      <c r="U3" s="25">
        <v>8.3000000000000007</v>
      </c>
      <c r="V3" s="25">
        <v>9</v>
      </c>
      <c r="W3" s="25">
        <v>9.6</v>
      </c>
      <c r="X3" s="25">
        <v>10.199999999999999</v>
      </c>
      <c r="Y3" s="25">
        <v>10.8</v>
      </c>
      <c r="Z3" s="25">
        <v>11.3</v>
      </c>
      <c r="AA3" s="25">
        <v>11.9</v>
      </c>
      <c r="AB3" s="25">
        <v>12.4</v>
      </c>
      <c r="AC3" s="25">
        <v>12.9</v>
      </c>
      <c r="AD3" s="26">
        <v>13.4</v>
      </c>
    </row>
    <row r="4" spans="1:30" x14ac:dyDescent="0.2">
      <c r="A4" s="116">
        <v>5.9</v>
      </c>
      <c r="C4" s="117">
        <f t="shared" si="0"/>
        <v>-9.9999999999999645E-2</v>
      </c>
      <c r="K4" s="119" t="s">
        <v>74</v>
      </c>
      <c r="L4" s="25">
        <v>1.1283799999999999</v>
      </c>
      <c r="M4" s="25">
        <v>1.6925699999999999</v>
      </c>
      <c r="N4" s="25">
        <v>2.0587499999999999</v>
      </c>
      <c r="O4" s="25">
        <v>2.3593000000000002</v>
      </c>
      <c r="P4" s="25">
        <v>2.5344099999999998</v>
      </c>
      <c r="Q4" s="25">
        <v>2.7043599999999999</v>
      </c>
      <c r="R4" s="25">
        <v>2.8472</v>
      </c>
      <c r="S4" s="25">
        <v>2.9700299999999999</v>
      </c>
      <c r="T4" s="25">
        <v>3.0775100000000002</v>
      </c>
      <c r="U4" s="25">
        <v>3.1728700000000001</v>
      </c>
      <c r="V4" s="25">
        <v>3.2584599999999999</v>
      </c>
      <c r="W4" s="25">
        <v>3.3359800000000002</v>
      </c>
      <c r="X4" s="25">
        <v>3.4067599999999998</v>
      </c>
      <c r="Y4" s="25">
        <v>3.47193</v>
      </c>
      <c r="Z4" s="25">
        <v>3.5319799999999999</v>
      </c>
      <c r="AA4" s="25">
        <v>3.5878800000000002</v>
      </c>
      <c r="AB4" s="25">
        <v>3.6400600000000001</v>
      </c>
      <c r="AC4" s="25">
        <v>3.6889599999999998</v>
      </c>
      <c r="AD4" s="26">
        <v>3.7349999999999999</v>
      </c>
    </row>
    <row r="5" spans="1:30" x14ac:dyDescent="0.2">
      <c r="A5" s="116">
        <v>5.9</v>
      </c>
      <c r="C5" s="117">
        <f t="shared" si="0"/>
        <v>-9.9999999999999645E-2</v>
      </c>
      <c r="F5" s="29" t="s">
        <v>87</v>
      </c>
      <c r="G5" s="29"/>
      <c r="K5" s="123" t="s">
        <v>88</v>
      </c>
      <c r="L5" s="27">
        <v>4.3029999999999999</v>
      </c>
      <c r="M5" s="27">
        <v>3.1819999999999999</v>
      </c>
      <c r="N5" s="27">
        <v>2.7759999999999998</v>
      </c>
      <c r="O5" s="27">
        <v>2.5710000000000002</v>
      </c>
      <c r="P5" s="27">
        <v>2.4470000000000001</v>
      </c>
      <c r="Q5" s="27">
        <v>2.3650000000000002</v>
      </c>
      <c r="R5" s="27">
        <v>2.306</v>
      </c>
      <c r="S5" s="27">
        <v>2.262</v>
      </c>
      <c r="T5" s="27">
        <v>2.2280000000000002</v>
      </c>
      <c r="U5" s="27">
        <v>2.2010000000000001</v>
      </c>
      <c r="V5" s="27">
        <v>2.1789999999999998</v>
      </c>
      <c r="W5" s="27">
        <v>2.16</v>
      </c>
      <c r="X5" s="27">
        <v>2.145</v>
      </c>
      <c r="Y5" s="27">
        <v>2.1309999999999998</v>
      </c>
      <c r="Z5" s="27">
        <v>2.12</v>
      </c>
      <c r="AA5" s="27">
        <v>2.11</v>
      </c>
      <c r="AB5" s="27">
        <v>2.101</v>
      </c>
      <c r="AC5" s="27">
        <v>2.093</v>
      </c>
      <c r="AD5" s="28">
        <v>2.0859999999999999</v>
      </c>
    </row>
    <row r="6" spans="1:30" x14ac:dyDescent="0.2">
      <c r="A6" s="116">
        <v>6</v>
      </c>
      <c r="C6" s="117">
        <f t="shared" si="0"/>
        <v>0</v>
      </c>
      <c r="F6" s="29" t="s">
        <v>89</v>
      </c>
      <c r="G6" s="29" t="s">
        <v>90</v>
      </c>
    </row>
    <row r="7" spans="1:30" x14ac:dyDescent="0.2">
      <c r="A7" s="116">
        <v>6.1</v>
      </c>
      <c r="C7" s="117">
        <f t="shared" si="0"/>
        <v>9.9999999999999645E-2</v>
      </c>
      <c r="F7" s="29">
        <f>$E$3-(($I$3*$G$3)/$I$2)*$H$3</f>
        <v>-0.11865566937361562</v>
      </c>
      <c r="G7" s="29">
        <f>$E$3+(($I$3*$G$3)/$I$2)*$H$3</f>
        <v>0.13198900270694891</v>
      </c>
    </row>
    <row r="8" spans="1:30" x14ac:dyDescent="0.2">
      <c r="A8" s="116">
        <v>6</v>
      </c>
      <c r="C8" s="117">
        <f t="shared" si="0"/>
        <v>0</v>
      </c>
      <c r="F8" s="21" t="str">
        <f>IF(AND(F7&lt;0,0&lt;G7),"Bias Acceptable","Bias Unacceptable")</f>
        <v>Bias Acceptable</v>
      </c>
      <c r="G8" s="21"/>
    </row>
    <row r="9" spans="1:30" x14ac:dyDescent="0.2">
      <c r="A9" s="116">
        <v>6.1</v>
      </c>
      <c r="C9" s="117">
        <f t="shared" si="0"/>
        <v>9.9999999999999645E-2</v>
      </c>
    </row>
    <row r="10" spans="1:30" x14ac:dyDescent="0.2">
      <c r="A10" s="116">
        <v>6.4</v>
      </c>
      <c r="C10" s="117">
        <f t="shared" si="0"/>
        <v>0.40000000000000036</v>
      </c>
      <c r="F10" t="s">
        <v>91</v>
      </c>
    </row>
    <row r="11" spans="1:30" x14ac:dyDescent="0.2">
      <c r="A11" s="116">
        <v>6.3</v>
      </c>
      <c r="C11" s="117">
        <f t="shared" si="0"/>
        <v>0.29999999999999982</v>
      </c>
    </row>
    <row r="12" spans="1:30" x14ac:dyDescent="0.2">
      <c r="A12" s="116">
        <v>6</v>
      </c>
      <c r="C12" s="117">
        <f t="shared" si="0"/>
        <v>0</v>
      </c>
    </row>
    <row r="13" spans="1:30" x14ac:dyDescent="0.2">
      <c r="A13" s="116">
        <v>6.1</v>
      </c>
      <c r="C13" s="117">
        <f t="shared" si="0"/>
        <v>9.9999999999999645E-2</v>
      </c>
    </row>
    <row r="14" spans="1:30" x14ac:dyDescent="0.2">
      <c r="A14" s="116">
        <v>6.2</v>
      </c>
      <c r="C14" s="117">
        <f t="shared" si="0"/>
        <v>0.20000000000000018</v>
      </c>
    </row>
    <row r="15" spans="1:30" x14ac:dyDescent="0.2">
      <c r="A15" s="116">
        <v>5.6</v>
      </c>
      <c r="C15" s="117">
        <f t="shared" si="0"/>
        <v>-0.40000000000000036</v>
      </c>
    </row>
    <row r="16" spans="1:30" x14ac:dyDescent="0.2">
      <c r="A16" s="116">
        <v>6</v>
      </c>
      <c r="C16" s="117">
        <f t="shared" si="0"/>
        <v>0</v>
      </c>
    </row>
  </sheetData>
  <phoneticPr fontId="3" type="noConversion"/>
  <pageMargins left="0.75" right="0.75" top="1" bottom="1" header="0.5" footer="0.5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showRuler="0" workbookViewId="0">
      <selection activeCell="G3" sqref="G3"/>
    </sheetView>
  </sheetViews>
  <sheetFormatPr defaultColWidth="8.7109375" defaultRowHeight="12.75" x14ac:dyDescent="0.2"/>
  <cols>
    <col min="1" max="1" width="15.28515625" style="1" customWidth="1"/>
  </cols>
  <sheetData>
    <row r="1" spans="1:10" x14ac:dyDescent="0.2">
      <c r="A1" s="7"/>
      <c r="B1" s="2"/>
      <c r="C1" s="2"/>
      <c r="D1" s="2" t="s">
        <v>135</v>
      </c>
      <c r="E1" s="2"/>
      <c r="F1" s="3"/>
    </row>
    <row r="2" spans="1:10" ht="13.5" thickBot="1" x14ac:dyDescent="0.25">
      <c r="A2" s="8" t="s">
        <v>92</v>
      </c>
      <c r="B2" s="5">
        <v>1</v>
      </c>
      <c r="C2" s="5">
        <v>2</v>
      </c>
      <c r="D2" s="5">
        <v>3</v>
      </c>
      <c r="E2" s="5">
        <v>4</v>
      </c>
      <c r="F2" s="6">
        <v>5</v>
      </c>
    </row>
    <row r="3" spans="1:10" x14ac:dyDescent="0.2">
      <c r="A3" s="4">
        <v>1</v>
      </c>
      <c r="B3" s="38">
        <v>2.7</v>
      </c>
      <c r="C3" s="38"/>
      <c r="D3" s="38"/>
      <c r="E3" s="38"/>
      <c r="F3" s="38"/>
      <c r="G3" s="21" t="s">
        <v>93</v>
      </c>
      <c r="H3" s="21"/>
      <c r="I3" s="21"/>
      <c r="J3" s="21"/>
    </row>
    <row r="4" spans="1:10" x14ac:dyDescent="0.2">
      <c r="A4" s="4">
        <v>2</v>
      </c>
      <c r="B4" s="38"/>
      <c r="C4" s="38"/>
      <c r="D4" s="38"/>
      <c r="E4" s="38"/>
      <c r="F4" s="38"/>
    </row>
    <row r="5" spans="1:10" x14ac:dyDescent="0.2">
      <c r="A5" s="4">
        <v>3</v>
      </c>
      <c r="B5" s="38"/>
      <c r="C5" s="38"/>
      <c r="D5" s="38"/>
      <c r="E5" s="38"/>
      <c r="F5" s="38"/>
      <c r="H5" t="s">
        <v>154</v>
      </c>
    </row>
    <row r="6" spans="1:10" x14ac:dyDescent="0.2">
      <c r="A6" s="4">
        <v>4</v>
      </c>
      <c r="B6" s="38"/>
      <c r="C6" s="38"/>
      <c r="D6" s="38"/>
      <c r="E6" s="38"/>
      <c r="F6" s="38"/>
      <c r="H6" t="s">
        <v>155</v>
      </c>
    </row>
    <row r="7" spans="1:10" x14ac:dyDescent="0.2">
      <c r="A7" s="4">
        <v>5</v>
      </c>
      <c r="B7" s="38"/>
      <c r="C7" s="38"/>
      <c r="D7" s="38"/>
      <c r="E7" s="38"/>
      <c r="F7" s="38"/>
      <c r="H7" t="s">
        <v>156</v>
      </c>
    </row>
    <row r="8" spans="1:10" x14ac:dyDescent="0.2">
      <c r="A8" s="4">
        <v>6</v>
      </c>
      <c r="B8" s="38"/>
      <c r="C8" s="38"/>
      <c r="D8" s="38"/>
      <c r="E8" s="38"/>
      <c r="F8" s="38"/>
      <c r="H8" t="s">
        <v>157</v>
      </c>
    </row>
    <row r="9" spans="1:10" x14ac:dyDescent="0.2">
      <c r="A9" s="4">
        <v>7</v>
      </c>
      <c r="B9" s="38"/>
      <c r="C9" s="38"/>
      <c r="D9" s="38"/>
      <c r="E9" s="38"/>
      <c r="F9" s="38"/>
      <c r="H9" t="s">
        <v>158</v>
      </c>
    </row>
    <row r="10" spans="1:10" x14ac:dyDescent="0.2">
      <c r="A10" s="4">
        <v>8</v>
      </c>
      <c r="B10" s="38"/>
      <c r="C10" s="38"/>
      <c r="D10" s="38"/>
      <c r="E10" s="38"/>
      <c r="F10" s="38"/>
      <c r="H10" t="s">
        <v>159</v>
      </c>
    </row>
    <row r="11" spans="1:10" x14ac:dyDescent="0.2">
      <c r="A11" s="4">
        <v>9</v>
      </c>
      <c r="B11" s="38"/>
      <c r="C11" s="38"/>
      <c r="D11" s="38"/>
      <c r="E11" s="38"/>
      <c r="F11" s="38"/>
    </row>
    <row r="12" spans="1:10" x14ac:dyDescent="0.2">
      <c r="A12" s="4">
        <v>10</v>
      </c>
      <c r="B12" s="38"/>
      <c r="C12" s="38"/>
      <c r="D12" s="38"/>
      <c r="E12" s="38"/>
      <c r="F12" s="38"/>
    </row>
    <row r="13" spans="1:10" x14ac:dyDescent="0.2">
      <c r="A13" s="4">
        <v>11</v>
      </c>
      <c r="B13" s="38"/>
      <c r="C13" s="38"/>
      <c r="D13" s="38"/>
      <c r="E13" s="38"/>
      <c r="F13" s="38"/>
    </row>
    <row r="14" spans="1:10" x14ac:dyDescent="0.2">
      <c r="A14" s="4">
        <v>12</v>
      </c>
      <c r="B14" s="38"/>
      <c r="C14" s="38"/>
      <c r="D14" s="38"/>
      <c r="E14" s="38"/>
      <c r="F14" s="38"/>
    </row>
    <row r="15" spans="1:10" x14ac:dyDescent="0.2">
      <c r="A15" s="9" t="s">
        <v>71</v>
      </c>
      <c r="B15" s="40">
        <f>IF(ISERROR(AVERAGE(B3:B14)),"",AVERAGE(B3:B14))</f>
        <v>2.7</v>
      </c>
      <c r="C15" s="40" t="str">
        <f>IF(ISERROR(AVERAGE(C3:C14)),"",AVERAGE(C3:C14))</f>
        <v/>
      </c>
      <c r="D15" s="40" t="str">
        <f>IF(ISERROR(AVERAGE(D3:D14)),"",AVERAGE(D3:D14))</f>
        <v/>
      </c>
      <c r="E15" s="40" t="str">
        <f>IF(ISERROR(AVERAGE(E3:E14)),"",AVERAGE(E3:E14))</f>
        <v/>
      </c>
      <c r="F15" s="40" t="str">
        <f>IF(ISERROR(AVERAGE(F3:F14)),"",AVERAGE(F3:F14))</f>
        <v/>
      </c>
    </row>
    <row r="16" spans="1:10" ht="27.75" customHeight="1" x14ac:dyDescent="0.2">
      <c r="A16" s="9" t="s">
        <v>160</v>
      </c>
      <c r="B16" s="39">
        <v>2</v>
      </c>
      <c r="C16" s="39"/>
      <c r="D16" s="39"/>
      <c r="E16" s="39"/>
      <c r="F16" s="39"/>
      <c r="G16" s="21" t="s">
        <v>161</v>
      </c>
      <c r="H16" s="21"/>
      <c r="I16" s="21"/>
      <c r="J16" s="21"/>
    </row>
    <row r="17" spans="1:6" x14ac:dyDescent="0.2">
      <c r="A17" s="9" t="s">
        <v>119</v>
      </c>
      <c r="B17" s="40">
        <f>IF(ISERROR(B15-B16),"",B15-B16)</f>
        <v>0.70000000000000018</v>
      </c>
      <c r="C17" s="40" t="str">
        <f>IF(ISERROR(C15-C16),"",C15-C16)</f>
        <v/>
      </c>
      <c r="D17" s="40" t="str">
        <f>IF(ISERROR(D15-D16),"",D15-D16)</f>
        <v/>
      </c>
      <c r="E17" s="40" t="str">
        <f>IF(ISERROR(E15-E16),"",E15-E16)</f>
        <v/>
      </c>
      <c r="F17" s="40" t="str">
        <f>IF(ISERROR(F15-F16),"",F15-F16)</f>
        <v/>
      </c>
    </row>
    <row r="18" spans="1:6" x14ac:dyDescent="0.2">
      <c r="A18" s="9" t="s">
        <v>140</v>
      </c>
      <c r="B18" s="40">
        <f>MAX(B3:B14)-MIN(B3:B14)</f>
        <v>0</v>
      </c>
      <c r="C18" s="40">
        <f>MAX(C3:C14)-MIN(C3:C14)</f>
        <v>0</v>
      </c>
      <c r="D18" s="40">
        <f>MAX(D3:D14)-MIN(D3:D14)</f>
        <v>0</v>
      </c>
      <c r="E18" s="40">
        <f>MAX(E3:E14)-MIN(E3:E14)</f>
        <v>0</v>
      </c>
      <c r="F18" s="40">
        <f>MAX(F3:F14)-MIN(F3:F14)</f>
        <v>0</v>
      </c>
    </row>
    <row r="19" spans="1:6" ht="25.5" x14ac:dyDescent="0.2">
      <c r="A19" s="10" t="s">
        <v>162</v>
      </c>
      <c r="B19" s="29" t="str">
        <f>IF(ISERROR($B$20*B16+$B$21),"",$B$20*B16+$B$21)</f>
        <v/>
      </c>
      <c r="C19" s="29" t="str">
        <f>IF(ISERROR($B$20*C16+$B$21),"",$B$20*C16+$B$21)</f>
        <v/>
      </c>
      <c r="D19" s="29" t="str">
        <f>IF(ISERROR($B$20*D16+$B$21),"",$B$20*D16+$B$21)</f>
        <v/>
      </c>
      <c r="E19" s="29" t="str">
        <f>IF(ISERROR($B$20*E16+$B$21),"",$B$20*E16+$B$21)</f>
        <v/>
      </c>
      <c r="F19" s="29" t="str">
        <f>IF(ISERROR($B$20*F16+$B$21),"",$B$20*F16+$B$21)</f>
        <v/>
      </c>
    </row>
    <row r="20" spans="1:6" x14ac:dyDescent="0.2">
      <c r="A20" s="1" t="s">
        <v>163</v>
      </c>
      <c r="B20" s="24" t="e">
        <f>INDEX(LINEST(B$17:F$17,B$16:F$16),1)</f>
        <v>#VALUE!</v>
      </c>
    </row>
    <row r="21" spans="1:6" x14ac:dyDescent="0.2">
      <c r="A21" s="1" t="s">
        <v>164</v>
      </c>
      <c r="B21" s="24" t="e">
        <f>INDEX(LINEST(B$17:F$17,B$16:F$16),2)</f>
        <v>#VALUE!</v>
      </c>
    </row>
    <row r="22" spans="1:6" x14ac:dyDescent="0.2">
      <c r="A22" s="1" t="s">
        <v>165</v>
      </c>
      <c r="B22" s="24" t="e">
        <f>INDEX(LINEST(B$17:F$17,B$16:F$16,TRUE,TRUE),3)</f>
        <v>#VALUE!</v>
      </c>
    </row>
    <row r="23" spans="1:6" ht="25.5" x14ac:dyDescent="0.2">
      <c r="A23" s="1" t="s">
        <v>166</v>
      </c>
      <c r="B23" s="21" t="str">
        <f>IF(ISERR(STDEV(B3:F14)),"",STDEV(B3:F14))</f>
        <v/>
      </c>
    </row>
    <row r="24" spans="1:6" x14ac:dyDescent="0.2">
      <c r="A24" s="1" t="s">
        <v>167</v>
      </c>
      <c r="B24" s="24" t="e">
        <f>ABS(B20)*B23</f>
        <v>#VALUE!</v>
      </c>
    </row>
    <row r="25" spans="1:6" x14ac:dyDescent="0.2">
      <c r="A25" s="1" t="s">
        <v>168</v>
      </c>
      <c r="B25" s="37" t="e">
        <f>ABS(B20)</f>
        <v>#VALUE!</v>
      </c>
    </row>
  </sheetData>
  <phoneticPr fontId="3" type="noConversion"/>
  <pageMargins left="0.75" right="0.75" top="1" bottom="1" header="0.5" footer="0.5"/>
  <headerFooter>
    <oddHeader>&amp;A</oddHeader>
    <oddFooter>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showRuler="0" zoomScale="75" workbookViewId="0">
      <selection activeCell="J3" sqref="J3"/>
    </sheetView>
  </sheetViews>
  <sheetFormatPr defaultColWidth="9.140625" defaultRowHeight="12.75" x14ac:dyDescent="0.2"/>
  <cols>
    <col min="1" max="1" width="6.28515625" style="51" customWidth="1"/>
    <col min="2" max="3" width="6.7109375" style="51" customWidth="1"/>
    <col min="4" max="4" width="6.5703125" style="51" customWidth="1"/>
    <col min="5" max="5" width="6.28515625" style="51" customWidth="1"/>
    <col min="6" max="6" width="6.42578125" style="51" customWidth="1"/>
    <col min="7" max="7" width="6.5703125" style="51" customWidth="1"/>
    <col min="8" max="8" width="6.28515625" style="51" customWidth="1"/>
    <col min="9" max="10" width="6.42578125" style="51" customWidth="1"/>
    <col min="11" max="12" width="9.140625" style="51" customWidth="1"/>
    <col min="13" max="13" width="5.42578125" style="51" customWidth="1"/>
    <col min="14" max="14" width="7.140625" style="51" customWidth="1"/>
    <col min="15" max="15" width="6.42578125" style="51" customWidth="1"/>
    <col min="16" max="16" width="7.5703125" style="51" customWidth="1"/>
    <col min="17" max="17" width="12.85546875" style="51" customWidth="1"/>
    <col min="18" max="18" width="2.28515625" style="51" customWidth="1"/>
    <col min="19" max="19" width="2.85546875" style="51" customWidth="1"/>
    <col min="20" max="21" width="2.28515625" style="51" customWidth="1"/>
    <col min="22" max="22" width="2.7109375" style="51" customWidth="1"/>
    <col min="23" max="24" width="2.28515625" style="51" customWidth="1"/>
    <col min="25" max="25" width="3.28515625" style="51" customWidth="1"/>
    <col min="26" max="27" width="2.28515625" style="51" customWidth="1"/>
    <col min="28" max="29" width="2.85546875" style="51" customWidth="1"/>
    <col min="30" max="30" width="2.28515625" style="51" customWidth="1"/>
    <col min="31" max="31" width="2.7109375" style="51" customWidth="1"/>
    <col min="32" max="32" width="2.85546875" style="51" customWidth="1"/>
    <col min="33" max="33" width="2.28515625" style="51" customWidth="1"/>
    <col min="34" max="34" width="2.7109375" style="51" customWidth="1"/>
    <col min="35" max="35" width="2.85546875" style="51" customWidth="1"/>
    <col min="36" max="44" width="4" style="51" customWidth="1"/>
    <col min="45" max="45" width="4.85546875" style="51" customWidth="1"/>
    <col min="46" max="46" width="7.42578125" style="51" customWidth="1"/>
    <col min="47" max="47" width="6.85546875" style="51" customWidth="1"/>
    <col min="48" max="16384" width="9.140625" style="51"/>
  </cols>
  <sheetData>
    <row r="1" spans="1:48" x14ac:dyDescent="0.2">
      <c r="A1" s="41"/>
      <c r="B1" s="42" t="s">
        <v>169</v>
      </c>
      <c r="C1" s="42"/>
      <c r="D1" s="43"/>
      <c r="E1" s="42" t="s">
        <v>170</v>
      </c>
      <c r="F1" s="42"/>
      <c r="G1" s="43"/>
      <c r="H1" s="42" t="s">
        <v>171</v>
      </c>
      <c r="I1" s="42"/>
      <c r="J1" s="43"/>
      <c r="K1" s="44"/>
      <c r="L1" s="45" t="s">
        <v>172</v>
      </c>
      <c r="M1" s="41"/>
      <c r="N1" s="44"/>
      <c r="O1" s="44"/>
      <c r="P1" s="44"/>
      <c r="Q1" s="41"/>
      <c r="R1" s="46"/>
      <c r="S1" s="47" t="s">
        <v>173</v>
      </c>
      <c r="T1" s="48"/>
      <c r="U1" s="49"/>
      <c r="V1" s="47" t="s">
        <v>174</v>
      </c>
      <c r="W1" s="43"/>
      <c r="X1" s="46"/>
      <c r="Y1" s="47" t="s">
        <v>175</v>
      </c>
      <c r="Z1" s="50"/>
      <c r="AA1" s="46"/>
      <c r="AB1" s="47" t="s">
        <v>176</v>
      </c>
      <c r="AC1" s="48"/>
      <c r="AD1" s="49"/>
      <c r="AE1" s="47" t="s">
        <v>177</v>
      </c>
      <c r="AF1" s="43"/>
      <c r="AG1" s="46"/>
      <c r="AH1" s="47" t="s">
        <v>178</v>
      </c>
      <c r="AI1" s="50"/>
    </row>
    <row r="2" spans="1:48" x14ac:dyDescent="0.2">
      <c r="A2" s="52" t="s">
        <v>179</v>
      </c>
      <c r="B2" s="53" t="s">
        <v>109</v>
      </c>
      <c r="C2" s="53" t="s">
        <v>180</v>
      </c>
      <c r="D2" s="53" t="s">
        <v>181</v>
      </c>
      <c r="E2" s="53" t="s">
        <v>109</v>
      </c>
      <c r="F2" s="53" t="s">
        <v>180</v>
      </c>
      <c r="G2" s="53" t="s">
        <v>181</v>
      </c>
      <c r="H2" s="53" t="s">
        <v>109</v>
      </c>
      <c r="I2" s="53" t="s">
        <v>180</v>
      </c>
      <c r="J2" s="53" t="s">
        <v>181</v>
      </c>
      <c r="K2" s="54" t="s">
        <v>115</v>
      </c>
      <c r="L2" s="54" t="s">
        <v>182</v>
      </c>
      <c r="M2" s="54" t="s">
        <v>183</v>
      </c>
      <c r="N2" s="55" t="s">
        <v>184</v>
      </c>
      <c r="O2" s="55" t="s">
        <v>185</v>
      </c>
      <c r="P2" s="55" t="s">
        <v>22</v>
      </c>
      <c r="Q2" s="54" t="s">
        <v>186</v>
      </c>
      <c r="R2" s="56">
        <v>1</v>
      </c>
      <c r="S2" s="57">
        <v>2</v>
      </c>
      <c r="T2" s="57">
        <v>3</v>
      </c>
      <c r="U2" s="56">
        <v>1</v>
      </c>
      <c r="V2" s="57">
        <v>2</v>
      </c>
      <c r="W2" s="58">
        <v>3</v>
      </c>
      <c r="X2" s="56">
        <v>1</v>
      </c>
      <c r="Y2" s="57">
        <v>2</v>
      </c>
      <c r="Z2" s="58">
        <v>3</v>
      </c>
      <c r="AA2" s="56">
        <v>1</v>
      </c>
      <c r="AB2" s="57">
        <v>2</v>
      </c>
      <c r="AC2" s="57">
        <v>3</v>
      </c>
      <c r="AD2" s="56">
        <v>1</v>
      </c>
      <c r="AE2" s="57">
        <v>2</v>
      </c>
      <c r="AF2" s="58">
        <v>3</v>
      </c>
      <c r="AG2" s="56">
        <v>1</v>
      </c>
      <c r="AH2" s="57">
        <v>2</v>
      </c>
      <c r="AI2" s="58">
        <v>3</v>
      </c>
    </row>
    <row r="3" spans="1:48" x14ac:dyDescent="0.2">
      <c r="A3" s="54">
        <v>1</v>
      </c>
      <c r="B3" s="59">
        <v>1</v>
      </c>
      <c r="C3" s="59">
        <v>1</v>
      </c>
      <c r="D3" s="59">
        <v>1</v>
      </c>
      <c r="E3" s="59">
        <v>1</v>
      </c>
      <c r="F3" s="59">
        <v>1</v>
      </c>
      <c r="G3" s="59">
        <v>1</v>
      </c>
      <c r="H3" s="59">
        <v>1</v>
      </c>
      <c r="I3" s="59">
        <v>1</v>
      </c>
      <c r="J3" s="59">
        <v>1</v>
      </c>
      <c r="K3" s="55">
        <f>IF(AND(L3&lt;=$O$3,L3&gt;=$N$3),1,0)</f>
        <v>1</v>
      </c>
      <c r="L3" s="59">
        <v>0.47690100000000002</v>
      </c>
      <c r="M3" s="55" t="str">
        <f>IF(OR(AND(L3&lt;=$N$3+$Q$3,L3&gt;=$N$3-$Q$3),AND(L3&lt;=$O$3+$Q$3,L3&gt;=$O$3-$Q$3)),"X",IF(AND(L3&lt;=$O$3,L3&gt;=$N$3),"+","-"))</f>
        <v>+</v>
      </c>
      <c r="N3" s="59">
        <v>0.45</v>
      </c>
      <c r="O3" s="59">
        <v>0.55000000000000004</v>
      </c>
      <c r="P3" s="60">
        <v>0.25</v>
      </c>
      <c r="Q3" s="61">
        <f>(O3-N3)*P3</f>
        <v>2.5000000000000008E-2</v>
      </c>
      <c r="R3" s="62">
        <f t="shared" ref="R3:R19" si="0">IF(ISBLANK(B3),"",IF(B3=E3,B3,IF(B3=0,-2,-1)))</f>
        <v>1</v>
      </c>
      <c r="S3" s="63">
        <f t="shared" ref="S3:W18" si="1">IF(ISBLANK(C3),"",IF(C3=F3,C3,IF(C3=0,-2,-1)))</f>
        <v>1</v>
      </c>
      <c r="T3" s="63">
        <f t="shared" si="1"/>
        <v>1</v>
      </c>
      <c r="U3" s="62">
        <f t="shared" si="1"/>
        <v>1</v>
      </c>
      <c r="V3" s="63">
        <f t="shared" si="1"/>
        <v>1</v>
      </c>
      <c r="W3" s="41">
        <f t="shared" si="1"/>
        <v>1</v>
      </c>
      <c r="X3" s="62">
        <f t="shared" ref="X3:X19" si="2">IF(ISBLANK(H3),"",IF(H3=B3,H3,IF(H3=0,-2,-1)))</f>
        <v>1</v>
      </c>
      <c r="Y3" s="63">
        <f t="shared" ref="Y3:Z18" si="3">IF(ISBLANK(I3),"",IF(I3=C3,I3,IF(I3=0,-2,-1)))</f>
        <v>1</v>
      </c>
      <c r="Z3" s="41">
        <f t="shared" si="3"/>
        <v>1</v>
      </c>
      <c r="AA3" s="62">
        <f t="shared" ref="AA3:AA19" si="4">IF(ISBLANK(B3),"",IF(B3=$K3,B3,IF(B3=0,-2,-1)))</f>
        <v>1</v>
      </c>
      <c r="AB3" s="63">
        <f t="shared" ref="AB3:AI18" si="5">IF(ISBLANK(C3),"",IF(C3=$K3,C3,IF(C3=0,-2,-1)))</f>
        <v>1</v>
      </c>
      <c r="AC3" s="63">
        <f t="shared" si="5"/>
        <v>1</v>
      </c>
      <c r="AD3" s="62">
        <f t="shared" si="5"/>
        <v>1</v>
      </c>
      <c r="AE3" s="63">
        <f t="shared" si="5"/>
        <v>1</v>
      </c>
      <c r="AF3" s="41">
        <f t="shared" si="5"/>
        <v>1</v>
      </c>
      <c r="AG3" s="62">
        <f t="shared" si="5"/>
        <v>1</v>
      </c>
      <c r="AH3" s="63">
        <f t="shared" si="5"/>
        <v>1</v>
      </c>
      <c r="AI3" s="41">
        <f t="shared" si="5"/>
        <v>1</v>
      </c>
    </row>
    <row r="4" spans="1:48" ht="13.5" thickBot="1" x14ac:dyDescent="0.25">
      <c r="A4" s="54">
        <f>A3+1</f>
        <v>2</v>
      </c>
      <c r="B4" s="59">
        <v>0</v>
      </c>
      <c r="C4" s="59">
        <v>0</v>
      </c>
      <c r="D4" s="59">
        <v>0</v>
      </c>
      <c r="E4" s="59">
        <v>0</v>
      </c>
      <c r="F4" s="59">
        <v>0</v>
      </c>
      <c r="G4" s="59">
        <v>0</v>
      </c>
      <c r="H4" s="59">
        <v>0</v>
      </c>
      <c r="I4" s="59">
        <v>0</v>
      </c>
      <c r="J4" s="59">
        <v>0</v>
      </c>
      <c r="K4" s="55">
        <f t="shared" ref="K4:K19" si="6">IF(AND(L4&lt;=$O$3,L4&gt;=$N$3),1,0)</f>
        <v>0</v>
      </c>
      <c r="L4" s="59">
        <v>0.57645900000000005</v>
      </c>
      <c r="M4" s="55" t="str">
        <f t="shared" ref="M4:M19" si="7">IF(OR(AND(L4&lt;=$N$3+$Q$3,L4&gt;=$N$3-$Q$3),AND(L4&lt;=$O$3+$Q$3,L4&gt;=$O$3-$Q$3)),"X",IF(AND(L4&lt;=$O$3,L4&gt;=$N$3),"+","-"))</f>
        <v>-</v>
      </c>
      <c r="N4" s="64" t="s">
        <v>187</v>
      </c>
      <c r="R4" s="62">
        <f t="shared" si="0"/>
        <v>0</v>
      </c>
      <c r="S4" s="63">
        <f t="shared" si="1"/>
        <v>0</v>
      </c>
      <c r="T4" s="63">
        <f t="shared" si="1"/>
        <v>0</v>
      </c>
      <c r="U4" s="62">
        <f t="shared" si="1"/>
        <v>0</v>
      </c>
      <c r="V4" s="63">
        <f t="shared" si="1"/>
        <v>0</v>
      </c>
      <c r="W4" s="41">
        <f t="shared" si="1"/>
        <v>0</v>
      </c>
      <c r="X4" s="62">
        <f t="shared" si="2"/>
        <v>0</v>
      </c>
      <c r="Y4" s="63">
        <f t="shared" si="3"/>
        <v>0</v>
      </c>
      <c r="Z4" s="41">
        <f t="shared" si="3"/>
        <v>0</v>
      </c>
      <c r="AA4" s="62">
        <f t="shared" si="4"/>
        <v>0</v>
      </c>
      <c r="AB4" s="63">
        <f t="shared" si="5"/>
        <v>0</v>
      </c>
      <c r="AC4" s="63">
        <f t="shared" si="5"/>
        <v>0</v>
      </c>
      <c r="AD4" s="62">
        <f t="shared" si="5"/>
        <v>0</v>
      </c>
      <c r="AE4" s="63">
        <f t="shared" si="5"/>
        <v>0</v>
      </c>
      <c r="AF4" s="41">
        <f t="shared" si="5"/>
        <v>0</v>
      </c>
      <c r="AG4" s="62">
        <f t="shared" si="5"/>
        <v>0</v>
      </c>
      <c r="AH4" s="63">
        <f t="shared" si="5"/>
        <v>0</v>
      </c>
      <c r="AI4" s="41">
        <f t="shared" si="5"/>
        <v>0</v>
      </c>
    </row>
    <row r="5" spans="1:48" ht="13.5" thickBot="1" x14ac:dyDescent="0.25">
      <c r="A5" s="54">
        <f t="shared" ref="A5:A20" si="8">A4+1</f>
        <v>3</v>
      </c>
      <c r="B5" s="59">
        <v>1</v>
      </c>
      <c r="C5" s="59">
        <v>1</v>
      </c>
      <c r="D5" s="59">
        <v>0</v>
      </c>
      <c r="E5" s="59">
        <v>1</v>
      </c>
      <c r="F5" s="59">
        <v>1</v>
      </c>
      <c r="G5" s="59">
        <v>0</v>
      </c>
      <c r="H5" s="59">
        <v>1</v>
      </c>
      <c r="I5" s="59">
        <v>0</v>
      </c>
      <c r="J5" s="59">
        <v>0</v>
      </c>
      <c r="K5" s="55">
        <f t="shared" si="6"/>
        <v>1</v>
      </c>
      <c r="L5" s="59">
        <v>0.54495099999999996</v>
      </c>
      <c r="M5" s="55" t="str">
        <f t="shared" si="7"/>
        <v>X</v>
      </c>
      <c r="N5" s="51" t="s">
        <v>188</v>
      </c>
      <c r="R5" s="62">
        <f t="shared" si="0"/>
        <v>1</v>
      </c>
      <c r="S5" s="63">
        <f t="shared" si="1"/>
        <v>1</v>
      </c>
      <c r="T5" s="63">
        <f t="shared" si="1"/>
        <v>0</v>
      </c>
      <c r="U5" s="62">
        <f t="shared" si="1"/>
        <v>1</v>
      </c>
      <c r="V5" s="63">
        <f t="shared" si="1"/>
        <v>-1</v>
      </c>
      <c r="W5" s="41">
        <f t="shared" si="1"/>
        <v>0</v>
      </c>
      <c r="X5" s="62">
        <f t="shared" si="2"/>
        <v>1</v>
      </c>
      <c r="Y5" s="63">
        <f t="shared" si="3"/>
        <v>-2</v>
      </c>
      <c r="Z5" s="41">
        <f t="shared" si="3"/>
        <v>0</v>
      </c>
      <c r="AA5" s="62">
        <f t="shared" si="4"/>
        <v>1</v>
      </c>
      <c r="AB5" s="63">
        <f t="shared" si="5"/>
        <v>1</v>
      </c>
      <c r="AC5" s="63">
        <f t="shared" si="5"/>
        <v>-2</v>
      </c>
      <c r="AD5" s="62">
        <f t="shared" si="5"/>
        <v>1</v>
      </c>
      <c r="AE5" s="63">
        <f t="shared" si="5"/>
        <v>1</v>
      </c>
      <c r="AF5" s="41">
        <f t="shared" si="5"/>
        <v>-2</v>
      </c>
      <c r="AG5" s="62">
        <f t="shared" si="5"/>
        <v>1</v>
      </c>
      <c r="AH5" s="63">
        <f t="shared" si="5"/>
        <v>-2</v>
      </c>
      <c r="AI5" s="41">
        <f t="shared" si="5"/>
        <v>-2</v>
      </c>
      <c r="AJ5" s="65" t="s">
        <v>189</v>
      </c>
      <c r="AK5" s="65"/>
      <c r="AL5" s="65"/>
      <c r="AM5" s="65"/>
      <c r="AO5" s="65" t="s">
        <v>189</v>
      </c>
      <c r="AP5" s="65"/>
      <c r="AQ5" s="65"/>
      <c r="AR5" s="65"/>
      <c r="AT5" s="66"/>
      <c r="AU5" s="67"/>
      <c r="AV5" s="68" t="s">
        <v>190</v>
      </c>
    </row>
    <row r="6" spans="1:48" x14ac:dyDescent="0.2">
      <c r="A6" s="54">
        <f t="shared" si="8"/>
        <v>4</v>
      </c>
      <c r="B6" s="59"/>
      <c r="C6" s="59"/>
      <c r="D6" s="59"/>
      <c r="E6" s="59"/>
      <c r="F6" s="59"/>
      <c r="G6" s="59"/>
      <c r="H6" s="59"/>
      <c r="I6" s="59"/>
      <c r="J6" s="59"/>
      <c r="K6" s="55">
        <f t="shared" si="6"/>
        <v>0</v>
      </c>
      <c r="L6" s="59"/>
      <c r="M6" s="55" t="str">
        <f t="shared" si="7"/>
        <v>-</v>
      </c>
      <c r="N6" s="51" t="s">
        <v>191</v>
      </c>
      <c r="R6" s="62" t="str">
        <f t="shared" si="0"/>
        <v/>
      </c>
      <c r="S6" s="63" t="str">
        <f t="shared" si="1"/>
        <v/>
      </c>
      <c r="T6" s="63" t="str">
        <f t="shared" si="1"/>
        <v/>
      </c>
      <c r="U6" s="62" t="str">
        <f t="shared" si="1"/>
        <v/>
      </c>
      <c r="V6" s="63" t="str">
        <f t="shared" si="1"/>
        <v/>
      </c>
      <c r="W6" s="41" t="str">
        <f t="shared" si="1"/>
        <v/>
      </c>
      <c r="X6" s="62" t="str">
        <f t="shared" si="2"/>
        <v/>
      </c>
      <c r="Y6" s="63" t="str">
        <f t="shared" si="3"/>
        <v/>
      </c>
      <c r="Z6" s="41" t="str">
        <f t="shared" si="3"/>
        <v/>
      </c>
      <c r="AA6" s="62" t="str">
        <f t="shared" si="4"/>
        <v/>
      </c>
      <c r="AB6" s="63" t="str">
        <f t="shared" si="5"/>
        <v/>
      </c>
      <c r="AC6" s="63" t="str">
        <f t="shared" si="5"/>
        <v/>
      </c>
      <c r="AD6" s="62" t="str">
        <f t="shared" si="5"/>
        <v/>
      </c>
      <c r="AE6" s="63" t="str">
        <f t="shared" si="5"/>
        <v/>
      </c>
      <c r="AF6" s="41" t="str">
        <f t="shared" si="5"/>
        <v/>
      </c>
      <c r="AG6" s="62" t="str">
        <f t="shared" si="5"/>
        <v/>
      </c>
      <c r="AH6" s="63" t="str">
        <f t="shared" si="5"/>
        <v/>
      </c>
      <c r="AI6" s="41" t="str">
        <f t="shared" si="5"/>
        <v/>
      </c>
      <c r="AJ6" s="69"/>
      <c r="AK6" s="70" t="s">
        <v>192</v>
      </c>
      <c r="AL6" s="70"/>
      <c r="AM6" s="71" t="s">
        <v>118</v>
      </c>
      <c r="AO6" s="69"/>
      <c r="AP6" s="70" t="s">
        <v>193</v>
      </c>
      <c r="AQ6" s="70"/>
      <c r="AR6" s="71" t="s">
        <v>118</v>
      </c>
      <c r="AT6" s="72"/>
      <c r="AU6" s="73" t="s">
        <v>194</v>
      </c>
      <c r="AV6" s="74" t="s">
        <v>195</v>
      </c>
    </row>
    <row r="7" spans="1:48" x14ac:dyDescent="0.2">
      <c r="A7" s="54">
        <f t="shared" si="8"/>
        <v>5</v>
      </c>
      <c r="B7" s="59"/>
      <c r="C7" s="59"/>
      <c r="D7" s="59"/>
      <c r="E7" s="59"/>
      <c r="F7" s="59"/>
      <c r="G7" s="59"/>
      <c r="H7" s="59"/>
      <c r="I7" s="59"/>
      <c r="J7" s="59"/>
      <c r="K7" s="55">
        <f t="shared" si="6"/>
        <v>0</v>
      </c>
      <c r="L7" s="59"/>
      <c r="M7" s="55" t="str">
        <f t="shared" si="7"/>
        <v>-</v>
      </c>
      <c r="N7" s="51" t="s">
        <v>196</v>
      </c>
      <c r="R7" s="62" t="str">
        <f t="shared" si="0"/>
        <v/>
      </c>
      <c r="S7" s="63" t="str">
        <f t="shared" si="1"/>
        <v/>
      </c>
      <c r="T7" s="63" t="str">
        <f t="shared" si="1"/>
        <v/>
      </c>
      <c r="U7" s="62" t="str">
        <f t="shared" si="1"/>
        <v/>
      </c>
      <c r="V7" s="63" t="str">
        <f t="shared" si="1"/>
        <v/>
      </c>
      <c r="W7" s="41" t="str">
        <f t="shared" si="1"/>
        <v/>
      </c>
      <c r="X7" s="62" t="str">
        <f t="shared" si="2"/>
        <v/>
      </c>
      <c r="Y7" s="63" t="str">
        <f t="shared" si="3"/>
        <v/>
      </c>
      <c r="Z7" s="41" t="str">
        <f t="shared" si="3"/>
        <v/>
      </c>
      <c r="AA7" s="62" t="str">
        <f t="shared" si="4"/>
        <v/>
      </c>
      <c r="AB7" s="63" t="str">
        <f t="shared" si="5"/>
        <v/>
      </c>
      <c r="AC7" s="63" t="str">
        <f t="shared" si="5"/>
        <v/>
      </c>
      <c r="AD7" s="62" t="str">
        <f t="shared" si="5"/>
        <v/>
      </c>
      <c r="AE7" s="63" t="str">
        <f t="shared" si="5"/>
        <v/>
      </c>
      <c r="AF7" s="41" t="str">
        <f t="shared" si="5"/>
        <v/>
      </c>
      <c r="AG7" s="62" t="str">
        <f t="shared" si="5"/>
        <v/>
      </c>
      <c r="AH7" s="63" t="str">
        <f t="shared" si="5"/>
        <v/>
      </c>
      <c r="AI7" s="41" t="str">
        <f t="shared" si="5"/>
        <v/>
      </c>
      <c r="AJ7" s="75" t="s">
        <v>197</v>
      </c>
      <c r="AK7" s="76">
        <v>0</v>
      </c>
      <c r="AL7" s="76">
        <v>1</v>
      </c>
      <c r="AM7" s="77"/>
      <c r="AO7" s="75" t="s">
        <v>197</v>
      </c>
      <c r="AP7" s="76">
        <v>0</v>
      </c>
      <c r="AQ7" s="76">
        <v>1</v>
      </c>
      <c r="AR7" s="77"/>
      <c r="AT7" s="78" t="s">
        <v>197</v>
      </c>
      <c r="AU7" s="79">
        <f>(AP8+AQ9)/AR10</f>
        <v>0.88888888888888884</v>
      </c>
      <c r="AV7" s="80">
        <f>(AQ8+AP9)/AR10</f>
        <v>0.1111111111111111</v>
      </c>
    </row>
    <row r="8" spans="1:48" x14ac:dyDescent="0.2">
      <c r="A8" s="54">
        <f t="shared" si="8"/>
        <v>6</v>
      </c>
      <c r="B8" s="59"/>
      <c r="C8" s="59"/>
      <c r="D8" s="59"/>
      <c r="E8" s="59"/>
      <c r="F8" s="59"/>
      <c r="G8" s="59"/>
      <c r="H8" s="59"/>
      <c r="I8" s="59"/>
      <c r="J8" s="59"/>
      <c r="K8" s="55">
        <f t="shared" si="6"/>
        <v>0</v>
      </c>
      <c r="L8" s="59"/>
      <c r="M8" s="55" t="str">
        <f t="shared" si="7"/>
        <v>-</v>
      </c>
      <c r="N8" s="51" t="s">
        <v>198</v>
      </c>
      <c r="R8" s="62" t="str">
        <f t="shared" si="0"/>
        <v/>
      </c>
      <c r="S8" s="63" t="str">
        <f t="shared" si="1"/>
        <v/>
      </c>
      <c r="T8" s="63" t="str">
        <f t="shared" si="1"/>
        <v/>
      </c>
      <c r="U8" s="62" t="str">
        <f t="shared" si="1"/>
        <v/>
      </c>
      <c r="V8" s="63" t="str">
        <f t="shared" si="1"/>
        <v/>
      </c>
      <c r="W8" s="41" t="str">
        <f t="shared" si="1"/>
        <v/>
      </c>
      <c r="X8" s="62" t="str">
        <f t="shared" si="2"/>
        <v/>
      </c>
      <c r="Y8" s="63" t="str">
        <f t="shared" si="3"/>
        <v/>
      </c>
      <c r="Z8" s="41" t="str">
        <f t="shared" si="3"/>
        <v/>
      </c>
      <c r="AA8" s="62" t="str">
        <f t="shared" si="4"/>
        <v/>
      </c>
      <c r="AB8" s="63" t="str">
        <f t="shared" si="5"/>
        <v/>
      </c>
      <c r="AC8" s="63" t="str">
        <f t="shared" si="5"/>
        <v/>
      </c>
      <c r="AD8" s="62" t="str">
        <f t="shared" si="5"/>
        <v/>
      </c>
      <c r="AE8" s="63" t="str">
        <f t="shared" si="5"/>
        <v/>
      </c>
      <c r="AF8" s="41" t="str">
        <f t="shared" si="5"/>
        <v/>
      </c>
      <c r="AG8" s="62" t="str">
        <f t="shared" si="5"/>
        <v/>
      </c>
      <c r="AH8" s="63" t="str">
        <f t="shared" si="5"/>
        <v/>
      </c>
      <c r="AI8" s="41" t="str">
        <f t="shared" si="5"/>
        <v/>
      </c>
      <c r="AJ8" s="75">
        <v>0</v>
      </c>
      <c r="AK8" s="81">
        <f>COUNTIF(R3:T52,"="&amp;AJ8)</f>
        <v>4</v>
      </c>
      <c r="AL8" s="82">
        <f>COUNTIF(R3:T52,"=-1")</f>
        <v>0</v>
      </c>
      <c r="AM8" s="83">
        <f>SUM(AK8:AL8)</f>
        <v>4</v>
      </c>
      <c r="AO8" s="75">
        <v>0</v>
      </c>
      <c r="AP8" s="81">
        <f>COUNTIF(AA3:AC52,"="&amp;AO8)</f>
        <v>3</v>
      </c>
      <c r="AQ8" s="82">
        <f>COUNTIF(AA3:AC52,"=-1")</f>
        <v>0</v>
      </c>
      <c r="AR8" s="83">
        <f>SUM(AP8:AQ8)</f>
        <v>3</v>
      </c>
      <c r="AT8" s="78" t="s">
        <v>192</v>
      </c>
      <c r="AU8" s="79">
        <f>(AP14+AQ15)/AR16</f>
        <v>0.88888888888888884</v>
      </c>
      <c r="AV8" s="80">
        <f>(AQ14+AP15)/AR16</f>
        <v>0.1111111111111111</v>
      </c>
    </row>
    <row r="9" spans="1:48" ht="13.5" thickBot="1" x14ac:dyDescent="0.25">
      <c r="A9" s="54">
        <f t="shared" si="8"/>
        <v>7</v>
      </c>
      <c r="B9" s="59"/>
      <c r="C9" s="59"/>
      <c r="D9" s="59"/>
      <c r="E9" s="59"/>
      <c r="F9" s="59"/>
      <c r="G9" s="59"/>
      <c r="H9" s="59"/>
      <c r="I9" s="59"/>
      <c r="J9" s="59"/>
      <c r="K9" s="55">
        <f t="shared" si="6"/>
        <v>0</v>
      </c>
      <c r="L9" s="59"/>
      <c r="M9" s="55" t="str">
        <f t="shared" si="7"/>
        <v>-</v>
      </c>
      <c r="R9" s="62" t="str">
        <f t="shared" si="0"/>
        <v/>
      </c>
      <c r="S9" s="63" t="str">
        <f t="shared" si="1"/>
        <v/>
      </c>
      <c r="T9" s="63" t="str">
        <f t="shared" si="1"/>
        <v/>
      </c>
      <c r="U9" s="62" t="str">
        <f t="shared" si="1"/>
        <v/>
      </c>
      <c r="V9" s="63" t="str">
        <f t="shared" si="1"/>
        <v/>
      </c>
      <c r="W9" s="41" t="str">
        <f t="shared" si="1"/>
        <v/>
      </c>
      <c r="X9" s="62" t="str">
        <f t="shared" si="2"/>
        <v/>
      </c>
      <c r="Y9" s="63" t="str">
        <f t="shared" si="3"/>
        <v/>
      </c>
      <c r="Z9" s="41" t="str">
        <f t="shared" si="3"/>
        <v/>
      </c>
      <c r="AA9" s="62" t="str">
        <f t="shared" si="4"/>
        <v/>
      </c>
      <c r="AB9" s="63" t="str">
        <f t="shared" si="5"/>
        <v/>
      </c>
      <c r="AC9" s="63" t="str">
        <f t="shared" si="5"/>
        <v/>
      </c>
      <c r="AD9" s="62" t="str">
        <f t="shared" si="5"/>
        <v/>
      </c>
      <c r="AE9" s="63" t="str">
        <f t="shared" si="5"/>
        <v/>
      </c>
      <c r="AF9" s="41" t="str">
        <f t="shared" si="5"/>
        <v/>
      </c>
      <c r="AG9" s="62" t="str">
        <f t="shared" si="5"/>
        <v/>
      </c>
      <c r="AH9" s="63" t="str">
        <f t="shared" si="5"/>
        <v/>
      </c>
      <c r="AI9" s="41" t="str">
        <f t="shared" si="5"/>
        <v/>
      </c>
      <c r="AJ9" s="75">
        <v>1</v>
      </c>
      <c r="AK9" s="82">
        <f>COUNTIF(R2:T52,"=-2")</f>
        <v>0</v>
      </c>
      <c r="AL9" s="81">
        <f>COUNTIF(R3:T52,"="&amp;AJ9)</f>
        <v>5</v>
      </c>
      <c r="AM9" s="83">
        <f>SUM(AL9:AL9)</f>
        <v>5</v>
      </c>
      <c r="AO9" s="75">
        <v>1</v>
      </c>
      <c r="AP9" s="82">
        <f>COUNTIF(AA2:AC52,"=-2")</f>
        <v>1</v>
      </c>
      <c r="AQ9" s="81">
        <f>COUNTIF(AA3:AC52,"="&amp;AO9)</f>
        <v>5</v>
      </c>
      <c r="AR9" s="83">
        <f>SUM(AQ9:AQ9)</f>
        <v>5</v>
      </c>
      <c r="AT9" s="84" t="s">
        <v>199</v>
      </c>
      <c r="AU9" s="85">
        <f>(AP20+AQ21)/AR22</f>
        <v>0.77777777777777779</v>
      </c>
      <c r="AV9" s="86">
        <f>(AQ20+AP21)/AR22</f>
        <v>0.22222222222222221</v>
      </c>
    </row>
    <row r="10" spans="1:48" ht="13.5" thickBot="1" x14ac:dyDescent="0.25">
      <c r="A10" s="54">
        <f t="shared" si="8"/>
        <v>8</v>
      </c>
      <c r="B10" s="59"/>
      <c r="C10" s="59"/>
      <c r="D10" s="59"/>
      <c r="E10" s="59"/>
      <c r="F10" s="59"/>
      <c r="G10" s="59"/>
      <c r="H10" s="59"/>
      <c r="I10" s="59"/>
      <c r="J10" s="59"/>
      <c r="K10" s="55">
        <f t="shared" si="6"/>
        <v>0</v>
      </c>
      <c r="L10" s="59"/>
      <c r="M10" s="55" t="str">
        <f t="shared" si="7"/>
        <v>-</v>
      </c>
      <c r="R10" s="62" t="str">
        <f t="shared" si="0"/>
        <v/>
      </c>
      <c r="S10" s="63" t="str">
        <f t="shared" si="1"/>
        <v/>
      </c>
      <c r="T10" s="63" t="str">
        <f t="shared" si="1"/>
        <v/>
      </c>
      <c r="U10" s="62" t="str">
        <f t="shared" si="1"/>
        <v/>
      </c>
      <c r="V10" s="63" t="str">
        <f t="shared" si="1"/>
        <v/>
      </c>
      <c r="W10" s="41" t="str">
        <f t="shared" si="1"/>
        <v/>
      </c>
      <c r="X10" s="62" t="str">
        <f t="shared" si="2"/>
        <v/>
      </c>
      <c r="Y10" s="63" t="str">
        <f t="shared" si="3"/>
        <v/>
      </c>
      <c r="Z10" s="41" t="str">
        <f t="shared" si="3"/>
        <v/>
      </c>
      <c r="AA10" s="62" t="str">
        <f t="shared" si="4"/>
        <v/>
      </c>
      <c r="AB10" s="63" t="str">
        <f t="shared" si="5"/>
        <v/>
      </c>
      <c r="AC10" s="63" t="str">
        <f t="shared" si="5"/>
        <v/>
      </c>
      <c r="AD10" s="62" t="str">
        <f t="shared" si="5"/>
        <v/>
      </c>
      <c r="AE10" s="63" t="str">
        <f t="shared" si="5"/>
        <v/>
      </c>
      <c r="AF10" s="41" t="str">
        <f t="shared" si="5"/>
        <v/>
      </c>
      <c r="AG10" s="62" t="str">
        <f t="shared" si="5"/>
        <v/>
      </c>
      <c r="AH10" s="63" t="str">
        <f t="shared" si="5"/>
        <v/>
      </c>
      <c r="AI10" s="41" t="str">
        <f t="shared" si="5"/>
        <v/>
      </c>
      <c r="AJ10" s="87" t="s">
        <v>118</v>
      </c>
      <c r="AK10" s="88">
        <f>SUM(AK8:AK9)</f>
        <v>4</v>
      </c>
      <c r="AL10" s="88">
        <f>SUM(AL8:AL9)</f>
        <v>5</v>
      </c>
      <c r="AM10" s="89">
        <f>SUM(AK10:AL10)</f>
        <v>9</v>
      </c>
      <c r="AO10" s="87" t="s">
        <v>118</v>
      </c>
      <c r="AP10" s="88">
        <f>SUM(AP8:AP9)</f>
        <v>4</v>
      </c>
      <c r="AQ10" s="88">
        <f>SUM(AQ8:AQ9)</f>
        <v>5</v>
      </c>
      <c r="AR10" s="89">
        <f>SUM(AP10:AQ10)</f>
        <v>9</v>
      </c>
      <c r="AT10" s="90" t="s">
        <v>200</v>
      </c>
      <c r="AU10" s="91">
        <f>AVERAGE(AU7:AU9)</f>
        <v>0.85185185185185175</v>
      </c>
      <c r="AV10" s="92">
        <f>AVERAGE(AV7:AV9)</f>
        <v>0.14814814814814814</v>
      </c>
    </row>
    <row r="11" spans="1:48" ht="13.5" thickBot="1" x14ac:dyDescent="0.25">
      <c r="A11" s="54">
        <f t="shared" si="8"/>
        <v>9</v>
      </c>
      <c r="B11" s="59"/>
      <c r="C11" s="59"/>
      <c r="D11" s="59"/>
      <c r="E11" s="59"/>
      <c r="F11" s="59"/>
      <c r="G11" s="59"/>
      <c r="H11" s="59"/>
      <c r="I11" s="59"/>
      <c r="J11" s="59"/>
      <c r="K11" s="55">
        <f t="shared" si="6"/>
        <v>0</v>
      </c>
      <c r="L11" s="59"/>
      <c r="M11" s="55" t="str">
        <f t="shared" si="7"/>
        <v>-</v>
      </c>
      <c r="R11" s="62" t="str">
        <f t="shared" si="0"/>
        <v/>
      </c>
      <c r="S11" s="63" t="str">
        <f t="shared" si="1"/>
        <v/>
      </c>
      <c r="T11" s="63" t="str">
        <f t="shared" si="1"/>
        <v/>
      </c>
      <c r="U11" s="62" t="str">
        <f t="shared" si="1"/>
        <v/>
      </c>
      <c r="V11" s="63" t="str">
        <f t="shared" si="1"/>
        <v/>
      </c>
      <c r="W11" s="41" t="str">
        <f t="shared" si="1"/>
        <v/>
      </c>
      <c r="X11" s="62" t="str">
        <f t="shared" si="2"/>
        <v/>
      </c>
      <c r="Y11" s="63" t="str">
        <f t="shared" si="3"/>
        <v/>
      </c>
      <c r="Z11" s="41" t="str">
        <f t="shared" si="3"/>
        <v/>
      </c>
      <c r="AA11" s="62" t="str">
        <f t="shared" si="4"/>
        <v/>
      </c>
      <c r="AB11" s="63" t="str">
        <f t="shared" si="5"/>
        <v/>
      </c>
      <c r="AC11" s="63" t="str">
        <f t="shared" si="5"/>
        <v/>
      </c>
      <c r="AD11" s="62" t="str">
        <f t="shared" si="5"/>
        <v/>
      </c>
      <c r="AE11" s="63" t="str">
        <f t="shared" si="5"/>
        <v/>
      </c>
      <c r="AF11" s="41" t="str">
        <f t="shared" si="5"/>
        <v/>
      </c>
      <c r="AG11" s="62" t="str">
        <f t="shared" si="5"/>
        <v/>
      </c>
      <c r="AH11" s="63" t="str">
        <f t="shared" si="5"/>
        <v/>
      </c>
      <c r="AI11" s="41" t="str">
        <f t="shared" si="5"/>
        <v/>
      </c>
      <c r="AT11" s="93"/>
      <c r="AU11" s="94">
        <f>AVERAGE(AU7:AU9)</f>
        <v>0.85185185185185175</v>
      </c>
      <c r="AV11" s="93"/>
    </row>
    <row r="12" spans="1:48" x14ac:dyDescent="0.2">
      <c r="A12" s="54">
        <f t="shared" si="8"/>
        <v>10</v>
      </c>
      <c r="B12" s="59"/>
      <c r="C12" s="59"/>
      <c r="D12" s="59"/>
      <c r="E12" s="59"/>
      <c r="F12" s="59"/>
      <c r="G12" s="59"/>
      <c r="H12" s="59"/>
      <c r="I12" s="59"/>
      <c r="J12" s="59"/>
      <c r="K12" s="55">
        <f t="shared" si="6"/>
        <v>0</v>
      </c>
      <c r="L12" s="59"/>
      <c r="M12" s="55" t="str">
        <f t="shared" si="7"/>
        <v>-</v>
      </c>
      <c r="R12" s="62" t="str">
        <f t="shared" si="0"/>
        <v/>
      </c>
      <c r="S12" s="63" t="str">
        <f t="shared" si="1"/>
        <v/>
      </c>
      <c r="T12" s="63" t="str">
        <f t="shared" si="1"/>
        <v/>
      </c>
      <c r="U12" s="62" t="str">
        <f t="shared" si="1"/>
        <v/>
      </c>
      <c r="V12" s="63" t="str">
        <f t="shared" si="1"/>
        <v/>
      </c>
      <c r="W12" s="41" t="str">
        <f t="shared" si="1"/>
        <v/>
      </c>
      <c r="X12" s="62" t="str">
        <f t="shared" si="2"/>
        <v/>
      </c>
      <c r="Y12" s="63" t="str">
        <f t="shared" si="3"/>
        <v/>
      </c>
      <c r="Z12" s="41" t="str">
        <f t="shared" si="3"/>
        <v/>
      </c>
      <c r="AA12" s="62" t="str">
        <f t="shared" si="4"/>
        <v/>
      </c>
      <c r="AB12" s="63" t="str">
        <f t="shared" si="5"/>
        <v/>
      </c>
      <c r="AC12" s="63" t="str">
        <f t="shared" si="5"/>
        <v/>
      </c>
      <c r="AD12" s="62" t="str">
        <f t="shared" si="5"/>
        <v/>
      </c>
      <c r="AE12" s="63" t="str">
        <f t="shared" si="5"/>
        <v/>
      </c>
      <c r="AF12" s="41" t="str">
        <f t="shared" si="5"/>
        <v/>
      </c>
      <c r="AG12" s="62" t="str">
        <f t="shared" si="5"/>
        <v/>
      </c>
      <c r="AH12" s="63" t="str">
        <f t="shared" si="5"/>
        <v/>
      </c>
      <c r="AI12" s="41" t="str">
        <f t="shared" si="5"/>
        <v/>
      </c>
      <c r="AJ12" s="69"/>
      <c r="AK12" s="70" t="s">
        <v>199</v>
      </c>
      <c r="AL12" s="70"/>
      <c r="AM12" s="71" t="s">
        <v>118</v>
      </c>
      <c r="AO12" s="69"/>
      <c r="AP12" s="70" t="s">
        <v>193</v>
      </c>
      <c r="AQ12" s="70"/>
      <c r="AR12" s="71" t="s">
        <v>118</v>
      </c>
      <c r="AT12" s="95" t="s">
        <v>194</v>
      </c>
      <c r="AU12" s="96"/>
      <c r="AV12" s="97"/>
    </row>
    <row r="13" spans="1:48" x14ac:dyDescent="0.2">
      <c r="A13" s="54">
        <f t="shared" si="8"/>
        <v>11</v>
      </c>
      <c r="B13" s="59"/>
      <c r="C13" s="59"/>
      <c r="D13" s="59"/>
      <c r="E13" s="59"/>
      <c r="F13" s="59"/>
      <c r="G13" s="59"/>
      <c r="H13" s="59"/>
      <c r="I13" s="59"/>
      <c r="J13" s="59"/>
      <c r="K13" s="55">
        <f t="shared" si="6"/>
        <v>0</v>
      </c>
      <c r="L13" s="59"/>
      <c r="M13" s="55" t="str">
        <f t="shared" si="7"/>
        <v>-</v>
      </c>
      <c r="R13" s="62" t="str">
        <f t="shared" si="0"/>
        <v/>
      </c>
      <c r="S13" s="63" t="str">
        <f t="shared" si="1"/>
        <v/>
      </c>
      <c r="T13" s="63" t="str">
        <f t="shared" si="1"/>
        <v/>
      </c>
      <c r="U13" s="62" t="str">
        <f t="shared" si="1"/>
        <v/>
      </c>
      <c r="V13" s="63" t="str">
        <f t="shared" si="1"/>
        <v/>
      </c>
      <c r="W13" s="41" t="str">
        <f t="shared" si="1"/>
        <v/>
      </c>
      <c r="X13" s="62" t="str">
        <f t="shared" si="2"/>
        <v/>
      </c>
      <c r="Y13" s="63" t="str">
        <f t="shared" si="3"/>
        <v/>
      </c>
      <c r="Z13" s="41" t="str">
        <f t="shared" si="3"/>
        <v/>
      </c>
      <c r="AA13" s="62" t="str">
        <f t="shared" si="4"/>
        <v/>
      </c>
      <c r="AB13" s="63" t="str">
        <f t="shared" si="5"/>
        <v/>
      </c>
      <c r="AC13" s="63" t="str">
        <f t="shared" si="5"/>
        <v/>
      </c>
      <c r="AD13" s="62" t="str">
        <f t="shared" si="5"/>
        <v/>
      </c>
      <c r="AE13" s="63" t="str">
        <f t="shared" si="5"/>
        <v/>
      </c>
      <c r="AF13" s="41" t="str">
        <f t="shared" si="5"/>
        <v/>
      </c>
      <c r="AG13" s="62" t="str">
        <f t="shared" si="5"/>
        <v/>
      </c>
      <c r="AH13" s="63" t="str">
        <f t="shared" si="5"/>
        <v/>
      </c>
      <c r="AI13" s="41" t="str">
        <f t="shared" si="5"/>
        <v/>
      </c>
      <c r="AJ13" s="75" t="s">
        <v>192</v>
      </c>
      <c r="AK13" s="76">
        <v>0</v>
      </c>
      <c r="AL13" s="76">
        <v>1</v>
      </c>
      <c r="AM13" s="77"/>
      <c r="AO13" s="75" t="s">
        <v>192</v>
      </c>
      <c r="AP13" s="76">
        <v>0</v>
      </c>
      <c r="AQ13" s="76">
        <v>1</v>
      </c>
      <c r="AR13" s="77"/>
      <c r="AT13" s="98" t="s">
        <v>201</v>
      </c>
      <c r="AU13" s="99"/>
      <c r="AV13" s="100" t="s">
        <v>202</v>
      </c>
    </row>
    <row r="14" spans="1:48" x14ac:dyDescent="0.2">
      <c r="A14" s="54">
        <f t="shared" si="8"/>
        <v>12</v>
      </c>
      <c r="B14" s="59"/>
      <c r="C14" s="59"/>
      <c r="D14" s="59"/>
      <c r="E14" s="59"/>
      <c r="F14" s="59"/>
      <c r="G14" s="59"/>
      <c r="H14" s="59"/>
      <c r="I14" s="59"/>
      <c r="J14" s="59"/>
      <c r="K14" s="55">
        <f t="shared" si="6"/>
        <v>0</v>
      </c>
      <c r="L14" s="59"/>
      <c r="M14" s="55" t="str">
        <f t="shared" si="7"/>
        <v>-</v>
      </c>
      <c r="R14" s="62" t="str">
        <f t="shared" si="0"/>
        <v/>
      </c>
      <c r="S14" s="63" t="str">
        <f t="shared" si="1"/>
        <v/>
      </c>
      <c r="T14" s="63" t="str">
        <f t="shared" si="1"/>
        <v/>
      </c>
      <c r="U14" s="62" t="str">
        <f t="shared" si="1"/>
        <v/>
      </c>
      <c r="V14" s="63" t="str">
        <f t="shared" si="1"/>
        <v/>
      </c>
      <c r="W14" s="41" t="str">
        <f t="shared" si="1"/>
        <v/>
      </c>
      <c r="X14" s="62" t="str">
        <f t="shared" si="2"/>
        <v/>
      </c>
      <c r="Y14" s="63" t="str">
        <f t="shared" si="3"/>
        <v/>
      </c>
      <c r="Z14" s="41" t="str">
        <f t="shared" si="3"/>
        <v/>
      </c>
      <c r="AA14" s="62" t="str">
        <f t="shared" si="4"/>
        <v/>
      </c>
      <c r="AB14" s="63" t="str">
        <f t="shared" si="5"/>
        <v/>
      </c>
      <c r="AC14" s="63" t="str">
        <f t="shared" si="5"/>
        <v/>
      </c>
      <c r="AD14" s="62" t="str">
        <f t="shared" si="5"/>
        <v/>
      </c>
      <c r="AE14" s="63" t="str">
        <f t="shared" si="5"/>
        <v/>
      </c>
      <c r="AF14" s="41" t="str">
        <f t="shared" si="5"/>
        <v/>
      </c>
      <c r="AG14" s="62" t="str">
        <f t="shared" si="5"/>
        <v/>
      </c>
      <c r="AH14" s="63" t="str">
        <f t="shared" si="5"/>
        <v/>
      </c>
      <c r="AI14" s="41" t="str">
        <f t="shared" si="5"/>
        <v/>
      </c>
      <c r="AJ14" s="75">
        <v>0</v>
      </c>
      <c r="AK14" s="81">
        <f>COUNTIF(U3:W52,"="&amp;AJ14)</f>
        <v>4</v>
      </c>
      <c r="AL14" s="82">
        <f>COUNTIF(U3:W52,"=-1")</f>
        <v>1</v>
      </c>
      <c r="AM14" s="83">
        <f>SUM(AK14:AL14)</f>
        <v>5</v>
      </c>
      <c r="AO14" s="75">
        <v>0</v>
      </c>
      <c r="AP14" s="81">
        <f>COUNTIF(AD3:AF52,"="&amp;AO14)</f>
        <v>3</v>
      </c>
      <c r="AQ14" s="82">
        <f>COUNTIF(AD3:AF52,"=-1")</f>
        <v>0</v>
      </c>
      <c r="AR14" s="83">
        <f>SUM(AP14:AQ14)</f>
        <v>3</v>
      </c>
      <c r="AT14" s="98" t="s">
        <v>203</v>
      </c>
      <c r="AU14" s="99"/>
      <c r="AV14" s="100" t="s">
        <v>204</v>
      </c>
    </row>
    <row r="15" spans="1:48" ht="13.5" thickBot="1" x14ac:dyDescent="0.25">
      <c r="A15" s="54">
        <f t="shared" si="8"/>
        <v>13</v>
      </c>
      <c r="B15" s="59"/>
      <c r="C15" s="59"/>
      <c r="D15" s="59"/>
      <c r="E15" s="59"/>
      <c r="F15" s="59"/>
      <c r="G15" s="59"/>
      <c r="H15" s="59"/>
      <c r="I15" s="59"/>
      <c r="J15" s="59"/>
      <c r="K15" s="55">
        <f t="shared" si="6"/>
        <v>0</v>
      </c>
      <c r="L15" s="59"/>
      <c r="M15" s="55" t="str">
        <f t="shared" si="7"/>
        <v>-</v>
      </c>
      <c r="R15" s="62" t="str">
        <f t="shared" si="0"/>
        <v/>
      </c>
      <c r="S15" s="63" t="str">
        <f t="shared" si="1"/>
        <v/>
      </c>
      <c r="T15" s="63" t="str">
        <f t="shared" si="1"/>
        <v/>
      </c>
      <c r="U15" s="62" t="str">
        <f t="shared" si="1"/>
        <v/>
      </c>
      <c r="V15" s="63" t="str">
        <f t="shared" si="1"/>
        <v/>
      </c>
      <c r="W15" s="41" t="str">
        <f t="shared" si="1"/>
        <v/>
      </c>
      <c r="X15" s="62" t="str">
        <f t="shared" si="2"/>
        <v/>
      </c>
      <c r="Y15" s="63" t="str">
        <f t="shared" si="3"/>
        <v/>
      </c>
      <c r="Z15" s="41" t="str">
        <f t="shared" si="3"/>
        <v/>
      </c>
      <c r="AA15" s="62" t="str">
        <f t="shared" si="4"/>
        <v/>
      </c>
      <c r="AB15" s="63" t="str">
        <f t="shared" si="5"/>
        <v/>
      </c>
      <c r="AC15" s="63" t="str">
        <f t="shared" si="5"/>
        <v/>
      </c>
      <c r="AD15" s="62" t="str">
        <f t="shared" si="5"/>
        <v/>
      </c>
      <c r="AE15" s="63" t="str">
        <f t="shared" si="5"/>
        <v/>
      </c>
      <c r="AF15" s="41" t="str">
        <f t="shared" si="5"/>
        <v/>
      </c>
      <c r="AG15" s="62" t="str">
        <f t="shared" si="5"/>
        <v/>
      </c>
      <c r="AH15" s="63" t="str">
        <f t="shared" si="5"/>
        <v/>
      </c>
      <c r="AI15" s="41" t="str">
        <f t="shared" si="5"/>
        <v/>
      </c>
      <c r="AJ15" s="75">
        <v>1</v>
      </c>
      <c r="AK15" s="82">
        <f>COUNTIF(U3:W52,"=-2")</f>
        <v>0</v>
      </c>
      <c r="AL15" s="81">
        <f>COUNTIF(U3:W52,"="&amp;AJ15)</f>
        <v>4</v>
      </c>
      <c r="AM15" s="83">
        <f>SUM(AK15:AL15)</f>
        <v>4</v>
      </c>
      <c r="AO15" s="75">
        <v>1</v>
      </c>
      <c r="AP15" s="82">
        <f>COUNTIF(AD3:AF52,"=-2")</f>
        <v>1</v>
      </c>
      <c r="AQ15" s="81">
        <f>COUNTIF(AD3:AF52,"="&amp;AO15)</f>
        <v>5</v>
      </c>
      <c r="AR15" s="83">
        <f>SUM(AP15:AQ15)</f>
        <v>6</v>
      </c>
      <c r="AT15" s="101" t="s">
        <v>205</v>
      </c>
      <c r="AU15" s="102"/>
      <c r="AV15" s="103" t="s">
        <v>206</v>
      </c>
    </row>
    <row r="16" spans="1:48" ht="13.5" thickBot="1" x14ac:dyDescent="0.25">
      <c r="A16" s="54">
        <f t="shared" si="8"/>
        <v>14</v>
      </c>
      <c r="B16" s="59"/>
      <c r="C16" s="59"/>
      <c r="D16" s="59"/>
      <c r="E16" s="59"/>
      <c r="F16" s="59"/>
      <c r="G16" s="59"/>
      <c r="H16" s="59"/>
      <c r="I16" s="59"/>
      <c r="J16" s="59"/>
      <c r="K16" s="55">
        <f t="shared" si="6"/>
        <v>0</v>
      </c>
      <c r="L16" s="59"/>
      <c r="M16" s="55" t="str">
        <f t="shared" si="7"/>
        <v>-</v>
      </c>
      <c r="R16" s="62" t="str">
        <f t="shared" si="0"/>
        <v/>
      </c>
      <c r="S16" s="63" t="str">
        <f t="shared" si="1"/>
        <v/>
      </c>
      <c r="T16" s="63" t="str">
        <f t="shared" si="1"/>
        <v/>
      </c>
      <c r="U16" s="62" t="str">
        <f t="shared" si="1"/>
        <v/>
      </c>
      <c r="V16" s="63" t="str">
        <f t="shared" si="1"/>
        <v/>
      </c>
      <c r="W16" s="41" t="str">
        <f t="shared" si="1"/>
        <v/>
      </c>
      <c r="X16" s="62" t="str">
        <f t="shared" si="2"/>
        <v/>
      </c>
      <c r="Y16" s="63" t="str">
        <f t="shared" si="3"/>
        <v/>
      </c>
      <c r="Z16" s="41" t="str">
        <f t="shared" si="3"/>
        <v/>
      </c>
      <c r="AA16" s="62" t="str">
        <f t="shared" si="4"/>
        <v/>
      </c>
      <c r="AB16" s="63" t="str">
        <f t="shared" si="5"/>
        <v/>
      </c>
      <c r="AC16" s="63" t="str">
        <f t="shared" si="5"/>
        <v/>
      </c>
      <c r="AD16" s="62" t="str">
        <f t="shared" si="5"/>
        <v/>
      </c>
      <c r="AE16" s="63" t="str">
        <f t="shared" si="5"/>
        <v/>
      </c>
      <c r="AF16" s="41" t="str">
        <f t="shared" si="5"/>
        <v/>
      </c>
      <c r="AG16" s="62" t="str">
        <f t="shared" si="5"/>
        <v/>
      </c>
      <c r="AH16" s="63" t="str">
        <f t="shared" si="5"/>
        <v/>
      </c>
      <c r="AI16" s="41" t="str">
        <f t="shared" si="5"/>
        <v/>
      </c>
      <c r="AJ16" s="87" t="s">
        <v>118</v>
      </c>
      <c r="AK16" s="88">
        <f>SUM(AK14:AK15)</f>
        <v>4</v>
      </c>
      <c r="AL16" s="88">
        <f>SUM(AL14:AL15)</f>
        <v>5</v>
      </c>
      <c r="AM16" s="89">
        <f>SUM(AK16:AL16)</f>
        <v>9</v>
      </c>
      <c r="AO16" s="87" t="s">
        <v>118</v>
      </c>
      <c r="AP16" s="88">
        <f>SUM(AP14:AP15)</f>
        <v>4</v>
      </c>
      <c r="AQ16" s="88">
        <f>SUM(AQ14:AQ15)</f>
        <v>5</v>
      </c>
      <c r="AR16" s="89">
        <f>SUM(AP16:AQ16)</f>
        <v>9</v>
      </c>
    </row>
    <row r="17" spans="1:44" ht="13.5" thickBot="1" x14ac:dyDescent="0.25">
      <c r="A17" s="54">
        <f t="shared" si="8"/>
        <v>15</v>
      </c>
      <c r="B17" s="59"/>
      <c r="C17" s="59"/>
      <c r="D17" s="59"/>
      <c r="E17" s="59"/>
      <c r="F17" s="59"/>
      <c r="G17" s="59"/>
      <c r="H17" s="59"/>
      <c r="I17" s="59"/>
      <c r="J17" s="59"/>
      <c r="K17" s="55">
        <f t="shared" si="6"/>
        <v>0</v>
      </c>
      <c r="L17" s="59"/>
      <c r="M17" s="55" t="str">
        <f t="shared" si="7"/>
        <v>-</v>
      </c>
      <c r="R17" s="62" t="str">
        <f t="shared" si="0"/>
        <v/>
      </c>
      <c r="S17" s="63" t="str">
        <f t="shared" si="1"/>
        <v/>
      </c>
      <c r="T17" s="63" t="str">
        <f t="shared" si="1"/>
        <v/>
      </c>
      <c r="U17" s="62" t="str">
        <f t="shared" si="1"/>
        <v/>
      </c>
      <c r="V17" s="63" t="str">
        <f t="shared" si="1"/>
        <v/>
      </c>
      <c r="W17" s="41" t="str">
        <f t="shared" si="1"/>
        <v/>
      </c>
      <c r="X17" s="62" t="str">
        <f t="shared" si="2"/>
        <v/>
      </c>
      <c r="Y17" s="63" t="str">
        <f t="shared" si="3"/>
        <v/>
      </c>
      <c r="Z17" s="41" t="str">
        <f t="shared" si="3"/>
        <v/>
      </c>
      <c r="AA17" s="62" t="str">
        <f t="shared" si="4"/>
        <v/>
      </c>
      <c r="AB17" s="63" t="str">
        <f t="shared" si="5"/>
        <v/>
      </c>
      <c r="AC17" s="63" t="str">
        <f t="shared" si="5"/>
        <v/>
      </c>
      <c r="AD17" s="62" t="str">
        <f t="shared" si="5"/>
        <v/>
      </c>
      <c r="AE17" s="63" t="str">
        <f t="shared" si="5"/>
        <v/>
      </c>
      <c r="AF17" s="41" t="str">
        <f t="shared" si="5"/>
        <v/>
      </c>
      <c r="AG17" s="62" t="str">
        <f t="shared" si="5"/>
        <v/>
      </c>
      <c r="AH17" s="63" t="str">
        <f t="shared" si="5"/>
        <v/>
      </c>
      <c r="AI17" s="41" t="str">
        <f t="shared" si="5"/>
        <v/>
      </c>
    </row>
    <row r="18" spans="1:44" x14ac:dyDescent="0.2">
      <c r="A18" s="54">
        <f t="shared" si="8"/>
        <v>16</v>
      </c>
      <c r="B18" s="59"/>
      <c r="C18" s="59"/>
      <c r="D18" s="59"/>
      <c r="E18" s="59"/>
      <c r="F18" s="59"/>
      <c r="G18" s="59"/>
      <c r="H18" s="59"/>
      <c r="I18" s="59"/>
      <c r="J18" s="59"/>
      <c r="K18" s="55">
        <f t="shared" si="6"/>
        <v>0</v>
      </c>
      <c r="L18" s="59"/>
      <c r="M18" s="55" t="str">
        <f t="shared" si="7"/>
        <v>-</v>
      </c>
      <c r="R18" s="62" t="str">
        <f t="shared" si="0"/>
        <v/>
      </c>
      <c r="S18" s="63" t="str">
        <f t="shared" si="1"/>
        <v/>
      </c>
      <c r="T18" s="63" t="str">
        <f t="shared" si="1"/>
        <v/>
      </c>
      <c r="U18" s="62" t="str">
        <f t="shared" si="1"/>
        <v/>
      </c>
      <c r="V18" s="63" t="str">
        <f t="shared" si="1"/>
        <v/>
      </c>
      <c r="W18" s="41" t="str">
        <f t="shared" si="1"/>
        <v/>
      </c>
      <c r="X18" s="62" t="str">
        <f t="shared" si="2"/>
        <v/>
      </c>
      <c r="Y18" s="63" t="str">
        <f t="shared" si="3"/>
        <v/>
      </c>
      <c r="Z18" s="41" t="str">
        <f t="shared" si="3"/>
        <v/>
      </c>
      <c r="AA18" s="62" t="str">
        <f t="shared" si="4"/>
        <v/>
      </c>
      <c r="AB18" s="63" t="str">
        <f t="shared" si="5"/>
        <v/>
      </c>
      <c r="AC18" s="63" t="str">
        <f t="shared" si="5"/>
        <v/>
      </c>
      <c r="AD18" s="62" t="str">
        <f t="shared" si="5"/>
        <v/>
      </c>
      <c r="AE18" s="63" t="str">
        <f t="shared" si="5"/>
        <v/>
      </c>
      <c r="AF18" s="41" t="str">
        <f t="shared" si="5"/>
        <v/>
      </c>
      <c r="AG18" s="62" t="str">
        <f t="shared" si="5"/>
        <v/>
      </c>
      <c r="AH18" s="63" t="str">
        <f t="shared" si="5"/>
        <v/>
      </c>
      <c r="AI18" s="41" t="str">
        <f t="shared" si="5"/>
        <v/>
      </c>
      <c r="AJ18" s="69"/>
      <c r="AK18" s="70" t="s">
        <v>197</v>
      </c>
      <c r="AL18" s="70"/>
      <c r="AM18" s="71" t="s">
        <v>118</v>
      </c>
      <c r="AO18" s="69"/>
      <c r="AP18" s="70" t="s">
        <v>193</v>
      </c>
      <c r="AQ18" s="70"/>
      <c r="AR18" s="71" t="s">
        <v>118</v>
      </c>
    </row>
    <row r="19" spans="1:44" x14ac:dyDescent="0.2">
      <c r="A19" s="54">
        <f t="shared" si="8"/>
        <v>17</v>
      </c>
      <c r="B19" s="59"/>
      <c r="C19" s="59"/>
      <c r="D19" s="59"/>
      <c r="E19" s="59"/>
      <c r="F19" s="59"/>
      <c r="G19" s="59"/>
      <c r="H19" s="59"/>
      <c r="I19" s="59"/>
      <c r="J19" s="59"/>
      <c r="K19" s="55">
        <f t="shared" si="6"/>
        <v>0</v>
      </c>
      <c r="L19" s="59"/>
      <c r="M19" s="55" t="str">
        <f t="shared" si="7"/>
        <v>-</v>
      </c>
      <c r="R19" s="62" t="str">
        <f t="shared" si="0"/>
        <v/>
      </c>
      <c r="S19" s="63" t="str">
        <f>IF(ISBLANK(C19),"",IF(C19=F19,C19,IF(C19=0,-2,-1)))</f>
        <v/>
      </c>
      <c r="T19" s="63" t="str">
        <f>IF(ISBLANK(D19),"",IF(D19=G19,D19,IF(D19=0,-2,-1)))</f>
        <v/>
      </c>
      <c r="U19" s="62" t="str">
        <f>IF(ISBLANK(E19),"",IF(E19=H19,E19,IF(E19=0,-2,-1)))</f>
        <v/>
      </c>
      <c r="V19" s="63" t="str">
        <f>IF(ISBLANK(F19),"",IF(F19=I19,F19,IF(F19=0,-2,-1)))</f>
        <v/>
      </c>
      <c r="W19" s="41" t="str">
        <f>IF(ISBLANK(G19),"",IF(G19=J19,G19,IF(G19=0,-2,-1)))</f>
        <v/>
      </c>
      <c r="X19" s="62" t="str">
        <f t="shared" si="2"/>
        <v/>
      </c>
      <c r="Y19" s="63" t="str">
        <f>IF(ISBLANK(I19),"",IF(I19=C19,I19,IF(I19=0,-2,-1)))</f>
        <v/>
      </c>
      <c r="Z19" s="41" t="str">
        <f>IF(ISBLANK(J19),"",IF(J19=D19,J19,IF(J19=0,-2,-1)))</f>
        <v/>
      </c>
      <c r="AA19" s="62" t="str">
        <f t="shared" si="4"/>
        <v/>
      </c>
      <c r="AB19" s="63" t="str">
        <f t="shared" ref="AB19:AI19" si="9">IF(ISBLANK(C19),"",IF(C19=$K19,C19,IF(C19=0,-2,-1)))</f>
        <v/>
      </c>
      <c r="AC19" s="63" t="str">
        <f t="shared" si="9"/>
        <v/>
      </c>
      <c r="AD19" s="62" t="str">
        <f t="shared" si="9"/>
        <v/>
      </c>
      <c r="AE19" s="63" t="str">
        <f t="shared" si="9"/>
        <v/>
      </c>
      <c r="AF19" s="41" t="str">
        <f t="shared" si="9"/>
        <v/>
      </c>
      <c r="AG19" s="62" t="str">
        <f t="shared" si="9"/>
        <v/>
      </c>
      <c r="AH19" s="63" t="str">
        <f t="shared" si="9"/>
        <v/>
      </c>
      <c r="AI19" s="41" t="str">
        <f t="shared" si="9"/>
        <v/>
      </c>
      <c r="AJ19" s="75" t="s">
        <v>199</v>
      </c>
      <c r="AK19" s="76">
        <v>0</v>
      </c>
      <c r="AL19" s="76">
        <v>1</v>
      </c>
      <c r="AM19" s="77"/>
      <c r="AO19" s="75" t="s">
        <v>199</v>
      </c>
      <c r="AP19" s="76">
        <v>0</v>
      </c>
      <c r="AQ19" s="76">
        <v>1</v>
      </c>
      <c r="AR19" s="77"/>
    </row>
    <row r="20" spans="1:44" x14ac:dyDescent="0.2">
      <c r="A20" s="54">
        <f t="shared" si="8"/>
        <v>18</v>
      </c>
      <c r="B20" s="59"/>
      <c r="C20" s="59"/>
      <c r="D20" s="59"/>
      <c r="E20" s="59"/>
      <c r="F20" s="59"/>
      <c r="G20" s="59"/>
      <c r="H20" s="59"/>
      <c r="I20" s="59"/>
      <c r="J20" s="59"/>
      <c r="K20" s="55">
        <f t="shared" ref="K20:K35" si="10">IF(AND(L20&lt;=$O$3,L20&gt;=$N$3),1,0)</f>
        <v>0</v>
      </c>
      <c r="L20" s="59"/>
      <c r="M20" s="55" t="str">
        <f t="shared" ref="M20:M35" si="11">IF(OR(AND(L20&lt;=$N$3+$Q$3,L20&gt;=$N$3-$Q$3),AND(L20&lt;=$O$3+$Q$3,L20&gt;=$O$3-$Q$3)),"X",IF(AND(L20&lt;=$O$3,L20&gt;=$N$3),"+","-"))</f>
        <v>-</v>
      </c>
      <c r="R20" s="62" t="str">
        <f t="shared" ref="R20:W35" si="12">IF(ISBLANK(B20),"",IF(B20=E20,B20,IF(B20=0,-2,-1)))</f>
        <v/>
      </c>
      <c r="S20" s="63" t="str">
        <f t="shared" si="12"/>
        <v/>
      </c>
      <c r="T20" s="63" t="str">
        <f t="shared" si="12"/>
        <v/>
      </c>
      <c r="U20" s="62" t="str">
        <f t="shared" si="12"/>
        <v/>
      </c>
      <c r="V20" s="63" t="str">
        <f t="shared" si="12"/>
        <v/>
      </c>
      <c r="W20" s="41" t="str">
        <f t="shared" si="12"/>
        <v/>
      </c>
      <c r="X20" s="62" t="str">
        <f t="shared" ref="X20:Z35" si="13">IF(ISBLANK(H20),"",IF(H20=B20,H20,IF(H20=0,-2,-1)))</f>
        <v/>
      </c>
      <c r="Y20" s="63" t="str">
        <f t="shared" si="13"/>
        <v/>
      </c>
      <c r="Z20" s="41" t="str">
        <f t="shared" si="13"/>
        <v/>
      </c>
      <c r="AA20" s="62" t="str">
        <f t="shared" ref="AA20:AI35" si="14">IF(ISBLANK(B20),"",IF(B20=$K20,B20,IF(B20=0,-2,-1)))</f>
        <v/>
      </c>
      <c r="AB20" s="63" t="str">
        <f t="shared" si="14"/>
        <v/>
      </c>
      <c r="AC20" s="63" t="str">
        <f t="shared" si="14"/>
        <v/>
      </c>
      <c r="AD20" s="62" t="str">
        <f t="shared" si="14"/>
        <v/>
      </c>
      <c r="AE20" s="63" t="str">
        <f t="shared" si="14"/>
        <v/>
      </c>
      <c r="AF20" s="41" t="str">
        <f t="shared" si="14"/>
        <v/>
      </c>
      <c r="AG20" s="62" t="str">
        <f t="shared" si="14"/>
        <v/>
      </c>
      <c r="AH20" s="63" t="str">
        <f t="shared" si="14"/>
        <v/>
      </c>
      <c r="AI20" s="41" t="str">
        <f t="shared" si="14"/>
        <v/>
      </c>
      <c r="AJ20" s="75">
        <v>0</v>
      </c>
      <c r="AK20" s="81">
        <f>COUNTIF(X3:Z52,"="&amp;AJ20)</f>
        <v>4</v>
      </c>
      <c r="AL20" s="82">
        <f>COUNTIF(X3:Z52,"=-1")</f>
        <v>0</v>
      </c>
      <c r="AM20" s="83">
        <f>SUM(AK20:AL20)</f>
        <v>4</v>
      </c>
      <c r="AO20" s="75">
        <v>0</v>
      </c>
      <c r="AP20" s="81">
        <f>COUNTIF(AG3:AI52,"="&amp;AO20)</f>
        <v>3</v>
      </c>
      <c r="AQ20" s="82">
        <f>COUNTIF(AG3:AI52,"=-1")</f>
        <v>0</v>
      </c>
      <c r="AR20" s="83">
        <f>SUM(AP20:AQ20)</f>
        <v>3</v>
      </c>
    </row>
    <row r="21" spans="1:44" x14ac:dyDescent="0.2">
      <c r="A21" s="54">
        <f t="shared" ref="A21:A36" si="15">A20+1</f>
        <v>19</v>
      </c>
      <c r="B21" s="59"/>
      <c r="C21" s="59"/>
      <c r="D21" s="59"/>
      <c r="E21" s="59"/>
      <c r="F21" s="59"/>
      <c r="G21" s="59"/>
      <c r="H21" s="59"/>
      <c r="I21" s="59"/>
      <c r="J21" s="59"/>
      <c r="K21" s="55">
        <f t="shared" si="10"/>
        <v>0</v>
      </c>
      <c r="L21" s="59"/>
      <c r="M21" s="55" t="str">
        <f t="shared" si="11"/>
        <v>-</v>
      </c>
      <c r="R21" s="62" t="str">
        <f t="shared" si="12"/>
        <v/>
      </c>
      <c r="S21" s="63" t="str">
        <f t="shared" si="12"/>
        <v/>
      </c>
      <c r="T21" s="63" t="str">
        <f t="shared" si="12"/>
        <v/>
      </c>
      <c r="U21" s="62" t="str">
        <f t="shared" si="12"/>
        <v/>
      </c>
      <c r="V21" s="63" t="str">
        <f t="shared" si="12"/>
        <v/>
      </c>
      <c r="W21" s="41" t="str">
        <f t="shared" si="12"/>
        <v/>
      </c>
      <c r="X21" s="62" t="str">
        <f t="shared" si="13"/>
        <v/>
      </c>
      <c r="Y21" s="63" t="str">
        <f t="shared" si="13"/>
        <v/>
      </c>
      <c r="Z21" s="41" t="str">
        <f t="shared" si="13"/>
        <v/>
      </c>
      <c r="AA21" s="62" t="str">
        <f t="shared" si="14"/>
        <v/>
      </c>
      <c r="AB21" s="63" t="str">
        <f t="shared" si="14"/>
        <v/>
      </c>
      <c r="AC21" s="63" t="str">
        <f t="shared" si="14"/>
        <v/>
      </c>
      <c r="AD21" s="62" t="str">
        <f t="shared" si="14"/>
        <v/>
      </c>
      <c r="AE21" s="63" t="str">
        <f t="shared" si="14"/>
        <v/>
      </c>
      <c r="AF21" s="41" t="str">
        <f t="shared" si="14"/>
        <v/>
      </c>
      <c r="AG21" s="62" t="str">
        <f t="shared" si="14"/>
        <v/>
      </c>
      <c r="AH21" s="63" t="str">
        <f t="shared" si="14"/>
        <v/>
      </c>
      <c r="AI21" s="41" t="str">
        <f t="shared" si="14"/>
        <v/>
      </c>
      <c r="AJ21" s="75">
        <v>1</v>
      </c>
      <c r="AK21" s="82">
        <f>COUNTIF(X3:Z52,"=-2")</f>
        <v>1</v>
      </c>
      <c r="AL21" s="81">
        <f>COUNTIF(X3:Z52,"="&amp;AJ21)</f>
        <v>4</v>
      </c>
      <c r="AM21" s="83">
        <f>SUM(AK21:AL21)</f>
        <v>5</v>
      </c>
      <c r="AO21" s="75">
        <v>1</v>
      </c>
      <c r="AP21" s="82">
        <f>COUNTIF(AG3:AI52,"=-2")</f>
        <v>2</v>
      </c>
      <c r="AQ21" s="81">
        <f>COUNTIF(AG3:AI52,"="&amp;AO21)</f>
        <v>4</v>
      </c>
      <c r="AR21" s="83">
        <f>SUM(AP21:AQ21)</f>
        <v>6</v>
      </c>
    </row>
    <row r="22" spans="1:44" ht="13.5" thickBot="1" x14ac:dyDescent="0.25">
      <c r="A22" s="54">
        <f t="shared" si="15"/>
        <v>20</v>
      </c>
      <c r="B22" s="59"/>
      <c r="C22" s="59"/>
      <c r="D22" s="59"/>
      <c r="E22" s="59"/>
      <c r="F22" s="59"/>
      <c r="G22" s="59"/>
      <c r="H22" s="59"/>
      <c r="I22" s="59"/>
      <c r="J22" s="59"/>
      <c r="K22" s="55">
        <f t="shared" si="10"/>
        <v>0</v>
      </c>
      <c r="L22" s="59"/>
      <c r="M22" s="55" t="str">
        <f t="shared" si="11"/>
        <v>-</v>
      </c>
      <c r="R22" s="62" t="str">
        <f t="shared" si="12"/>
        <v/>
      </c>
      <c r="S22" s="63" t="str">
        <f t="shared" si="12"/>
        <v/>
      </c>
      <c r="T22" s="63" t="str">
        <f t="shared" si="12"/>
        <v/>
      </c>
      <c r="U22" s="62" t="str">
        <f t="shared" si="12"/>
        <v/>
      </c>
      <c r="V22" s="63" t="str">
        <f t="shared" si="12"/>
        <v/>
      </c>
      <c r="W22" s="41" t="str">
        <f t="shared" si="12"/>
        <v/>
      </c>
      <c r="X22" s="62" t="str">
        <f t="shared" si="13"/>
        <v/>
      </c>
      <c r="Y22" s="63" t="str">
        <f t="shared" si="13"/>
        <v/>
      </c>
      <c r="Z22" s="41" t="str">
        <f t="shared" si="13"/>
        <v/>
      </c>
      <c r="AA22" s="62" t="str">
        <f t="shared" si="14"/>
        <v/>
      </c>
      <c r="AB22" s="63" t="str">
        <f t="shared" si="14"/>
        <v/>
      </c>
      <c r="AC22" s="63" t="str">
        <f t="shared" si="14"/>
        <v/>
      </c>
      <c r="AD22" s="62" t="str">
        <f t="shared" si="14"/>
        <v/>
      </c>
      <c r="AE22" s="63" t="str">
        <f t="shared" si="14"/>
        <v/>
      </c>
      <c r="AF22" s="41" t="str">
        <f t="shared" si="14"/>
        <v/>
      </c>
      <c r="AG22" s="62" t="str">
        <f t="shared" si="14"/>
        <v/>
      </c>
      <c r="AH22" s="63" t="str">
        <f t="shared" si="14"/>
        <v/>
      </c>
      <c r="AI22" s="41" t="str">
        <f t="shared" si="14"/>
        <v/>
      </c>
      <c r="AJ22" s="87" t="s">
        <v>118</v>
      </c>
      <c r="AK22" s="88">
        <f>SUM(AK20:AK21)</f>
        <v>5</v>
      </c>
      <c r="AL22" s="88">
        <f>SUM(AL20:AL21)</f>
        <v>4</v>
      </c>
      <c r="AM22" s="89">
        <f>SUM(AK22:AL22)</f>
        <v>9</v>
      </c>
      <c r="AO22" s="87" t="s">
        <v>118</v>
      </c>
      <c r="AP22" s="88">
        <f>SUM(AP20:AP21)</f>
        <v>5</v>
      </c>
      <c r="AQ22" s="88">
        <f>SUM(AQ20:AQ21)</f>
        <v>4</v>
      </c>
      <c r="AR22" s="89">
        <f>SUM(AP22:AQ22)</f>
        <v>9</v>
      </c>
    </row>
    <row r="23" spans="1:44" x14ac:dyDescent="0.2">
      <c r="A23" s="54">
        <f t="shared" si="15"/>
        <v>21</v>
      </c>
      <c r="B23" s="59"/>
      <c r="C23" s="59"/>
      <c r="D23" s="59"/>
      <c r="E23" s="59"/>
      <c r="F23" s="59"/>
      <c r="G23" s="59"/>
      <c r="H23" s="59"/>
      <c r="I23" s="59"/>
      <c r="J23" s="59"/>
      <c r="K23" s="55">
        <f t="shared" si="10"/>
        <v>0</v>
      </c>
      <c r="L23" s="59"/>
      <c r="M23" s="55" t="str">
        <f t="shared" si="11"/>
        <v>-</v>
      </c>
      <c r="R23" s="62" t="str">
        <f t="shared" si="12"/>
        <v/>
      </c>
      <c r="S23" s="63" t="str">
        <f t="shared" si="12"/>
        <v/>
      </c>
      <c r="T23" s="63" t="str">
        <f t="shared" si="12"/>
        <v/>
      </c>
      <c r="U23" s="62" t="str">
        <f t="shared" si="12"/>
        <v/>
      </c>
      <c r="V23" s="63" t="str">
        <f t="shared" si="12"/>
        <v/>
      </c>
      <c r="W23" s="41" t="str">
        <f t="shared" si="12"/>
        <v/>
      </c>
      <c r="X23" s="62" t="str">
        <f t="shared" si="13"/>
        <v/>
      </c>
      <c r="Y23" s="63" t="str">
        <f t="shared" si="13"/>
        <v/>
      </c>
      <c r="Z23" s="41" t="str">
        <f t="shared" si="13"/>
        <v/>
      </c>
      <c r="AA23" s="62" t="str">
        <f t="shared" si="14"/>
        <v/>
      </c>
      <c r="AB23" s="63" t="str">
        <f t="shared" si="14"/>
        <v/>
      </c>
      <c r="AC23" s="63" t="str">
        <f t="shared" si="14"/>
        <v/>
      </c>
      <c r="AD23" s="62" t="str">
        <f t="shared" si="14"/>
        <v/>
      </c>
      <c r="AE23" s="63" t="str">
        <f t="shared" si="14"/>
        <v/>
      </c>
      <c r="AF23" s="41" t="str">
        <f t="shared" si="14"/>
        <v/>
      </c>
      <c r="AG23" s="62" t="str">
        <f t="shared" si="14"/>
        <v/>
      </c>
      <c r="AH23" s="63" t="str">
        <f t="shared" si="14"/>
        <v/>
      </c>
      <c r="AI23" s="41" t="str">
        <f t="shared" si="14"/>
        <v/>
      </c>
    </row>
    <row r="24" spans="1:44" x14ac:dyDescent="0.2">
      <c r="A24" s="54">
        <f t="shared" si="15"/>
        <v>22</v>
      </c>
      <c r="B24" s="59"/>
      <c r="C24" s="59"/>
      <c r="D24" s="59"/>
      <c r="E24" s="59"/>
      <c r="F24" s="59"/>
      <c r="G24" s="59"/>
      <c r="H24" s="59"/>
      <c r="I24" s="59"/>
      <c r="J24" s="59"/>
      <c r="K24" s="55">
        <f t="shared" si="10"/>
        <v>0</v>
      </c>
      <c r="L24" s="59"/>
      <c r="M24" s="55" t="str">
        <f t="shared" si="11"/>
        <v>-</v>
      </c>
      <c r="R24" s="62" t="str">
        <f t="shared" si="12"/>
        <v/>
      </c>
      <c r="S24" s="63" t="str">
        <f t="shared" si="12"/>
        <v/>
      </c>
      <c r="T24" s="63" t="str">
        <f t="shared" si="12"/>
        <v/>
      </c>
      <c r="U24" s="62" t="str">
        <f t="shared" si="12"/>
        <v/>
      </c>
      <c r="V24" s="63" t="str">
        <f t="shared" si="12"/>
        <v/>
      </c>
      <c r="W24" s="41" t="str">
        <f t="shared" si="12"/>
        <v/>
      </c>
      <c r="X24" s="62" t="str">
        <f t="shared" si="13"/>
        <v/>
      </c>
      <c r="Y24" s="63" t="str">
        <f t="shared" si="13"/>
        <v/>
      </c>
      <c r="Z24" s="41" t="str">
        <f t="shared" si="13"/>
        <v/>
      </c>
      <c r="AA24" s="62" t="str">
        <f t="shared" si="14"/>
        <v/>
      </c>
      <c r="AB24" s="63" t="str">
        <f t="shared" si="14"/>
        <v/>
      </c>
      <c r="AC24" s="63" t="str">
        <f t="shared" si="14"/>
        <v/>
      </c>
      <c r="AD24" s="62" t="str">
        <f t="shared" si="14"/>
        <v/>
      </c>
      <c r="AE24" s="63" t="str">
        <f t="shared" si="14"/>
        <v/>
      </c>
      <c r="AF24" s="41" t="str">
        <f t="shared" si="14"/>
        <v/>
      </c>
      <c r="AG24" s="62" t="str">
        <f t="shared" si="14"/>
        <v/>
      </c>
      <c r="AH24" s="63" t="str">
        <f t="shared" si="14"/>
        <v/>
      </c>
      <c r="AI24" s="41" t="str">
        <f t="shared" si="14"/>
        <v/>
      </c>
    </row>
    <row r="25" spans="1:44" x14ac:dyDescent="0.2">
      <c r="A25" s="54">
        <f t="shared" si="15"/>
        <v>23</v>
      </c>
      <c r="B25" s="59"/>
      <c r="C25" s="59"/>
      <c r="D25" s="59"/>
      <c r="E25" s="59"/>
      <c r="F25" s="59"/>
      <c r="G25" s="59"/>
      <c r="H25" s="59"/>
      <c r="I25" s="59"/>
      <c r="J25" s="59"/>
      <c r="K25" s="55">
        <f t="shared" si="10"/>
        <v>0</v>
      </c>
      <c r="L25" s="59"/>
      <c r="M25" s="55" t="str">
        <f t="shared" si="11"/>
        <v>-</v>
      </c>
      <c r="R25" s="62" t="str">
        <f t="shared" si="12"/>
        <v/>
      </c>
      <c r="S25" s="63" t="str">
        <f t="shared" si="12"/>
        <v/>
      </c>
      <c r="T25" s="63" t="str">
        <f t="shared" si="12"/>
        <v/>
      </c>
      <c r="U25" s="62" t="str">
        <f t="shared" si="12"/>
        <v/>
      </c>
      <c r="V25" s="63" t="str">
        <f t="shared" si="12"/>
        <v/>
      </c>
      <c r="W25" s="41" t="str">
        <f t="shared" si="12"/>
        <v/>
      </c>
      <c r="X25" s="62" t="str">
        <f t="shared" si="13"/>
        <v/>
      </c>
      <c r="Y25" s="63" t="str">
        <f t="shared" si="13"/>
        <v/>
      </c>
      <c r="Z25" s="41" t="str">
        <f t="shared" si="13"/>
        <v/>
      </c>
      <c r="AA25" s="62" t="str">
        <f t="shared" si="14"/>
        <v/>
      </c>
      <c r="AB25" s="63" t="str">
        <f t="shared" si="14"/>
        <v/>
      </c>
      <c r="AC25" s="63" t="str">
        <f t="shared" si="14"/>
        <v/>
      </c>
      <c r="AD25" s="62" t="str">
        <f t="shared" si="14"/>
        <v/>
      </c>
      <c r="AE25" s="63" t="str">
        <f t="shared" si="14"/>
        <v/>
      </c>
      <c r="AF25" s="41" t="str">
        <f t="shared" si="14"/>
        <v/>
      </c>
      <c r="AG25" s="62" t="str">
        <f t="shared" si="14"/>
        <v/>
      </c>
      <c r="AH25" s="63" t="str">
        <f t="shared" si="14"/>
        <v/>
      </c>
      <c r="AI25" s="41" t="str">
        <f t="shared" si="14"/>
        <v/>
      </c>
    </row>
    <row r="26" spans="1:44" x14ac:dyDescent="0.2">
      <c r="A26" s="54">
        <f t="shared" si="15"/>
        <v>24</v>
      </c>
      <c r="B26" s="59"/>
      <c r="C26" s="59"/>
      <c r="D26" s="59"/>
      <c r="E26" s="59"/>
      <c r="F26" s="59"/>
      <c r="G26" s="59"/>
      <c r="H26" s="59"/>
      <c r="I26" s="59"/>
      <c r="J26" s="59"/>
      <c r="K26" s="55">
        <f t="shared" si="10"/>
        <v>0</v>
      </c>
      <c r="L26" s="59"/>
      <c r="M26" s="55" t="str">
        <f t="shared" si="11"/>
        <v>-</v>
      </c>
      <c r="R26" s="62" t="str">
        <f t="shared" si="12"/>
        <v/>
      </c>
      <c r="S26" s="63" t="str">
        <f t="shared" si="12"/>
        <v/>
      </c>
      <c r="T26" s="63" t="str">
        <f t="shared" si="12"/>
        <v/>
      </c>
      <c r="U26" s="62" t="str">
        <f t="shared" si="12"/>
        <v/>
      </c>
      <c r="V26" s="63" t="str">
        <f t="shared" si="12"/>
        <v/>
      </c>
      <c r="W26" s="41" t="str">
        <f t="shared" si="12"/>
        <v/>
      </c>
      <c r="X26" s="62" t="str">
        <f t="shared" si="13"/>
        <v/>
      </c>
      <c r="Y26" s="63" t="str">
        <f t="shared" si="13"/>
        <v/>
      </c>
      <c r="Z26" s="41" t="str">
        <f t="shared" si="13"/>
        <v/>
      </c>
      <c r="AA26" s="62" t="str">
        <f t="shared" si="14"/>
        <v/>
      </c>
      <c r="AB26" s="63" t="str">
        <f t="shared" si="14"/>
        <v/>
      </c>
      <c r="AC26" s="63" t="str">
        <f t="shared" si="14"/>
        <v/>
      </c>
      <c r="AD26" s="62" t="str">
        <f t="shared" si="14"/>
        <v/>
      </c>
      <c r="AE26" s="63" t="str">
        <f t="shared" si="14"/>
        <v/>
      </c>
      <c r="AF26" s="41" t="str">
        <f t="shared" si="14"/>
        <v/>
      </c>
      <c r="AG26" s="62" t="str">
        <f t="shared" si="14"/>
        <v/>
      </c>
      <c r="AH26" s="63" t="str">
        <f t="shared" si="14"/>
        <v/>
      </c>
      <c r="AI26" s="41" t="str">
        <f t="shared" si="14"/>
        <v/>
      </c>
    </row>
    <row r="27" spans="1:44" x14ac:dyDescent="0.2">
      <c r="A27" s="54">
        <f t="shared" si="15"/>
        <v>25</v>
      </c>
      <c r="B27" s="59"/>
      <c r="C27" s="59"/>
      <c r="D27" s="59"/>
      <c r="E27" s="59"/>
      <c r="F27" s="59"/>
      <c r="G27" s="59"/>
      <c r="H27" s="59"/>
      <c r="I27" s="59"/>
      <c r="J27" s="59"/>
      <c r="K27" s="55">
        <f t="shared" si="10"/>
        <v>0</v>
      </c>
      <c r="L27" s="59"/>
      <c r="M27" s="55" t="str">
        <f t="shared" si="11"/>
        <v>-</v>
      </c>
      <c r="R27" s="62" t="str">
        <f t="shared" si="12"/>
        <v/>
      </c>
      <c r="S27" s="63" t="str">
        <f t="shared" si="12"/>
        <v/>
      </c>
      <c r="T27" s="63" t="str">
        <f t="shared" si="12"/>
        <v/>
      </c>
      <c r="U27" s="62" t="str">
        <f t="shared" si="12"/>
        <v/>
      </c>
      <c r="V27" s="63" t="str">
        <f t="shared" si="12"/>
        <v/>
      </c>
      <c r="W27" s="41" t="str">
        <f t="shared" si="12"/>
        <v/>
      </c>
      <c r="X27" s="62" t="str">
        <f t="shared" si="13"/>
        <v/>
      </c>
      <c r="Y27" s="63" t="str">
        <f t="shared" si="13"/>
        <v/>
      </c>
      <c r="Z27" s="41" t="str">
        <f t="shared" si="13"/>
        <v/>
      </c>
      <c r="AA27" s="62" t="str">
        <f t="shared" si="14"/>
        <v/>
      </c>
      <c r="AB27" s="63" t="str">
        <f t="shared" si="14"/>
        <v/>
      </c>
      <c r="AC27" s="63" t="str">
        <f t="shared" si="14"/>
        <v/>
      </c>
      <c r="AD27" s="62" t="str">
        <f t="shared" si="14"/>
        <v/>
      </c>
      <c r="AE27" s="63" t="str">
        <f t="shared" si="14"/>
        <v/>
      </c>
      <c r="AF27" s="41" t="str">
        <f t="shared" si="14"/>
        <v/>
      </c>
      <c r="AG27" s="62" t="str">
        <f t="shared" si="14"/>
        <v/>
      </c>
      <c r="AH27" s="63" t="str">
        <f t="shared" si="14"/>
        <v/>
      </c>
      <c r="AI27" s="41" t="str">
        <f t="shared" si="14"/>
        <v/>
      </c>
    </row>
    <row r="28" spans="1:44" x14ac:dyDescent="0.2">
      <c r="A28" s="54">
        <f t="shared" si="15"/>
        <v>26</v>
      </c>
      <c r="B28" s="59"/>
      <c r="C28" s="59"/>
      <c r="D28" s="59"/>
      <c r="E28" s="59"/>
      <c r="F28" s="59"/>
      <c r="G28" s="59"/>
      <c r="H28" s="59"/>
      <c r="I28" s="59"/>
      <c r="J28" s="59"/>
      <c r="K28" s="55">
        <f t="shared" si="10"/>
        <v>0</v>
      </c>
      <c r="L28" s="59"/>
      <c r="M28" s="55" t="str">
        <f t="shared" si="11"/>
        <v>-</v>
      </c>
      <c r="R28" s="62" t="str">
        <f t="shared" si="12"/>
        <v/>
      </c>
      <c r="S28" s="63" t="str">
        <f t="shared" si="12"/>
        <v/>
      </c>
      <c r="T28" s="63" t="str">
        <f t="shared" si="12"/>
        <v/>
      </c>
      <c r="U28" s="62" t="str">
        <f t="shared" si="12"/>
        <v/>
      </c>
      <c r="V28" s="63" t="str">
        <f t="shared" si="12"/>
        <v/>
      </c>
      <c r="W28" s="41" t="str">
        <f t="shared" si="12"/>
        <v/>
      </c>
      <c r="X28" s="62" t="str">
        <f t="shared" si="13"/>
        <v/>
      </c>
      <c r="Y28" s="63" t="str">
        <f t="shared" si="13"/>
        <v/>
      </c>
      <c r="Z28" s="41" t="str">
        <f t="shared" si="13"/>
        <v/>
      </c>
      <c r="AA28" s="62" t="str">
        <f t="shared" si="14"/>
        <v/>
      </c>
      <c r="AB28" s="63" t="str">
        <f t="shared" si="14"/>
        <v/>
      </c>
      <c r="AC28" s="63" t="str">
        <f t="shared" si="14"/>
        <v/>
      </c>
      <c r="AD28" s="62" t="str">
        <f t="shared" si="14"/>
        <v/>
      </c>
      <c r="AE28" s="63" t="str">
        <f t="shared" si="14"/>
        <v/>
      </c>
      <c r="AF28" s="41" t="str">
        <f t="shared" si="14"/>
        <v/>
      </c>
      <c r="AG28" s="62" t="str">
        <f t="shared" si="14"/>
        <v/>
      </c>
      <c r="AH28" s="63" t="str">
        <f t="shared" si="14"/>
        <v/>
      </c>
      <c r="AI28" s="41" t="str">
        <f t="shared" si="14"/>
        <v/>
      </c>
    </row>
    <row r="29" spans="1:44" x14ac:dyDescent="0.2">
      <c r="A29" s="54">
        <f t="shared" si="15"/>
        <v>27</v>
      </c>
      <c r="B29" s="59"/>
      <c r="C29" s="59"/>
      <c r="D29" s="59"/>
      <c r="E29" s="59"/>
      <c r="F29" s="59"/>
      <c r="G29" s="59"/>
      <c r="H29" s="59"/>
      <c r="I29" s="59"/>
      <c r="J29" s="59"/>
      <c r="K29" s="55">
        <f t="shared" si="10"/>
        <v>0</v>
      </c>
      <c r="L29" s="59"/>
      <c r="M29" s="55" t="str">
        <f t="shared" si="11"/>
        <v>-</v>
      </c>
      <c r="R29" s="62" t="str">
        <f t="shared" si="12"/>
        <v/>
      </c>
      <c r="S29" s="63" t="str">
        <f t="shared" si="12"/>
        <v/>
      </c>
      <c r="T29" s="63" t="str">
        <f t="shared" si="12"/>
        <v/>
      </c>
      <c r="U29" s="62" t="str">
        <f t="shared" si="12"/>
        <v/>
      </c>
      <c r="V29" s="63" t="str">
        <f t="shared" si="12"/>
        <v/>
      </c>
      <c r="W29" s="41" t="str">
        <f t="shared" si="12"/>
        <v/>
      </c>
      <c r="X29" s="62" t="str">
        <f t="shared" si="13"/>
        <v/>
      </c>
      <c r="Y29" s="63" t="str">
        <f t="shared" si="13"/>
        <v/>
      </c>
      <c r="Z29" s="41" t="str">
        <f t="shared" si="13"/>
        <v/>
      </c>
      <c r="AA29" s="62" t="str">
        <f t="shared" si="14"/>
        <v/>
      </c>
      <c r="AB29" s="63" t="str">
        <f t="shared" si="14"/>
        <v/>
      </c>
      <c r="AC29" s="63" t="str">
        <f t="shared" si="14"/>
        <v/>
      </c>
      <c r="AD29" s="62" t="str">
        <f t="shared" si="14"/>
        <v/>
      </c>
      <c r="AE29" s="63" t="str">
        <f t="shared" si="14"/>
        <v/>
      </c>
      <c r="AF29" s="41" t="str">
        <f t="shared" si="14"/>
        <v/>
      </c>
      <c r="AG29" s="62" t="str">
        <f t="shared" si="14"/>
        <v/>
      </c>
      <c r="AH29" s="63" t="str">
        <f t="shared" si="14"/>
        <v/>
      </c>
      <c r="AI29" s="41" t="str">
        <f t="shared" si="14"/>
        <v/>
      </c>
    </row>
    <row r="30" spans="1:44" x14ac:dyDescent="0.2">
      <c r="A30" s="54">
        <f t="shared" si="15"/>
        <v>28</v>
      </c>
      <c r="B30" s="59"/>
      <c r="C30" s="59"/>
      <c r="D30" s="59"/>
      <c r="E30" s="59"/>
      <c r="F30" s="59"/>
      <c r="G30" s="59"/>
      <c r="H30" s="59"/>
      <c r="I30" s="59"/>
      <c r="J30" s="59"/>
      <c r="K30" s="55">
        <f t="shared" si="10"/>
        <v>0</v>
      </c>
      <c r="L30" s="59"/>
      <c r="M30" s="55" t="str">
        <f t="shared" si="11"/>
        <v>-</v>
      </c>
      <c r="R30" s="62" t="str">
        <f t="shared" si="12"/>
        <v/>
      </c>
      <c r="S30" s="63" t="str">
        <f t="shared" si="12"/>
        <v/>
      </c>
      <c r="T30" s="63" t="str">
        <f t="shared" si="12"/>
        <v/>
      </c>
      <c r="U30" s="62" t="str">
        <f t="shared" si="12"/>
        <v/>
      </c>
      <c r="V30" s="63" t="str">
        <f t="shared" si="12"/>
        <v/>
      </c>
      <c r="W30" s="41" t="str">
        <f t="shared" si="12"/>
        <v/>
      </c>
      <c r="X30" s="62" t="str">
        <f t="shared" si="13"/>
        <v/>
      </c>
      <c r="Y30" s="63" t="str">
        <f t="shared" si="13"/>
        <v/>
      </c>
      <c r="Z30" s="41" t="str">
        <f t="shared" si="13"/>
        <v/>
      </c>
      <c r="AA30" s="62" t="str">
        <f t="shared" si="14"/>
        <v/>
      </c>
      <c r="AB30" s="63" t="str">
        <f t="shared" si="14"/>
        <v/>
      </c>
      <c r="AC30" s="63" t="str">
        <f t="shared" si="14"/>
        <v/>
      </c>
      <c r="AD30" s="62" t="str">
        <f t="shared" si="14"/>
        <v/>
      </c>
      <c r="AE30" s="63" t="str">
        <f t="shared" si="14"/>
        <v/>
      </c>
      <c r="AF30" s="41" t="str">
        <f t="shared" si="14"/>
        <v/>
      </c>
      <c r="AG30" s="62" t="str">
        <f t="shared" si="14"/>
        <v/>
      </c>
      <c r="AH30" s="63" t="str">
        <f t="shared" si="14"/>
        <v/>
      </c>
      <c r="AI30" s="41" t="str">
        <f t="shared" si="14"/>
        <v/>
      </c>
    </row>
    <row r="31" spans="1:44" x14ac:dyDescent="0.2">
      <c r="A31" s="54">
        <f t="shared" si="15"/>
        <v>29</v>
      </c>
      <c r="B31" s="59"/>
      <c r="C31" s="59"/>
      <c r="D31" s="59"/>
      <c r="E31" s="59"/>
      <c r="F31" s="59"/>
      <c r="G31" s="59"/>
      <c r="H31" s="59"/>
      <c r="I31" s="59"/>
      <c r="J31" s="59"/>
      <c r="K31" s="55">
        <f t="shared" si="10"/>
        <v>0</v>
      </c>
      <c r="L31" s="59"/>
      <c r="M31" s="55" t="str">
        <f t="shared" si="11"/>
        <v>-</v>
      </c>
      <c r="R31" s="62" t="str">
        <f t="shared" si="12"/>
        <v/>
      </c>
      <c r="S31" s="63" t="str">
        <f t="shared" si="12"/>
        <v/>
      </c>
      <c r="T31" s="63" t="str">
        <f t="shared" si="12"/>
        <v/>
      </c>
      <c r="U31" s="62" t="str">
        <f t="shared" si="12"/>
        <v/>
      </c>
      <c r="V31" s="63" t="str">
        <f t="shared" si="12"/>
        <v/>
      </c>
      <c r="W31" s="41" t="str">
        <f t="shared" si="12"/>
        <v/>
      </c>
      <c r="X31" s="62" t="str">
        <f t="shared" si="13"/>
        <v/>
      </c>
      <c r="Y31" s="63" t="str">
        <f t="shared" si="13"/>
        <v/>
      </c>
      <c r="Z31" s="41" t="str">
        <f t="shared" si="13"/>
        <v/>
      </c>
      <c r="AA31" s="62" t="str">
        <f t="shared" si="14"/>
        <v/>
      </c>
      <c r="AB31" s="63" t="str">
        <f t="shared" si="14"/>
        <v/>
      </c>
      <c r="AC31" s="63" t="str">
        <f t="shared" si="14"/>
        <v/>
      </c>
      <c r="AD31" s="62" t="str">
        <f t="shared" si="14"/>
        <v/>
      </c>
      <c r="AE31" s="63" t="str">
        <f t="shared" si="14"/>
        <v/>
      </c>
      <c r="AF31" s="41" t="str">
        <f t="shared" si="14"/>
        <v/>
      </c>
      <c r="AG31" s="62" t="str">
        <f t="shared" si="14"/>
        <v/>
      </c>
      <c r="AH31" s="63" t="str">
        <f t="shared" si="14"/>
        <v/>
      </c>
      <c r="AI31" s="41" t="str">
        <f t="shared" si="14"/>
        <v/>
      </c>
    </row>
    <row r="32" spans="1:44" x14ac:dyDescent="0.2">
      <c r="A32" s="54">
        <f t="shared" si="15"/>
        <v>30</v>
      </c>
      <c r="B32" s="59"/>
      <c r="C32" s="59"/>
      <c r="D32" s="59"/>
      <c r="E32" s="59"/>
      <c r="F32" s="59"/>
      <c r="G32" s="59"/>
      <c r="H32" s="59"/>
      <c r="I32" s="59"/>
      <c r="J32" s="59"/>
      <c r="K32" s="55">
        <f t="shared" si="10"/>
        <v>0</v>
      </c>
      <c r="L32" s="59"/>
      <c r="M32" s="55" t="str">
        <f t="shared" si="11"/>
        <v>-</v>
      </c>
      <c r="R32" s="62" t="str">
        <f t="shared" si="12"/>
        <v/>
      </c>
      <c r="S32" s="63" t="str">
        <f t="shared" si="12"/>
        <v/>
      </c>
      <c r="T32" s="63" t="str">
        <f t="shared" si="12"/>
        <v/>
      </c>
      <c r="U32" s="62" t="str">
        <f t="shared" si="12"/>
        <v/>
      </c>
      <c r="V32" s="63" t="str">
        <f t="shared" si="12"/>
        <v/>
      </c>
      <c r="W32" s="41" t="str">
        <f t="shared" si="12"/>
        <v/>
      </c>
      <c r="X32" s="62" t="str">
        <f t="shared" si="13"/>
        <v/>
      </c>
      <c r="Y32" s="63" t="str">
        <f t="shared" si="13"/>
        <v/>
      </c>
      <c r="Z32" s="41" t="str">
        <f t="shared" si="13"/>
        <v/>
      </c>
      <c r="AA32" s="62" t="str">
        <f t="shared" si="14"/>
        <v/>
      </c>
      <c r="AB32" s="63" t="str">
        <f t="shared" si="14"/>
        <v/>
      </c>
      <c r="AC32" s="63" t="str">
        <f t="shared" si="14"/>
        <v/>
      </c>
      <c r="AD32" s="62" t="str">
        <f t="shared" si="14"/>
        <v/>
      </c>
      <c r="AE32" s="63" t="str">
        <f t="shared" si="14"/>
        <v/>
      </c>
      <c r="AF32" s="41" t="str">
        <f t="shared" si="14"/>
        <v/>
      </c>
      <c r="AG32" s="62" t="str">
        <f t="shared" si="14"/>
        <v/>
      </c>
      <c r="AH32" s="63" t="str">
        <f t="shared" si="14"/>
        <v/>
      </c>
      <c r="AI32" s="41" t="str">
        <f t="shared" si="14"/>
        <v/>
      </c>
    </row>
    <row r="33" spans="1:35" x14ac:dyDescent="0.2">
      <c r="A33" s="54">
        <f t="shared" si="15"/>
        <v>31</v>
      </c>
      <c r="B33" s="59"/>
      <c r="C33" s="59"/>
      <c r="D33" s="59"/>
      <c r="E33" s="59"/>
      <c r="F33" s="59"/>
      <c r="G33" s="59"/>
      <c r="H33" s="59"/>
      <c r="I33" s="59"/>
      <c r="J33" s="59"/>
      <c r="K33" s="55">
        <f t="shared" si="10"/>
        <v>0</v>
      </c>
      <c r="L33" s="59"/>
      <c r="M33" s="55" t="str">
        <f t="shared" si="11"/>
        <v>-</v>
      </c>
      <c r="R33" s="62" t="str">
        <f t="shared" si="12"/>
        <v/>
      </c>
      <c r="S33" s="63" t="str">
        <f t="shared" si="12"/>
        <v/>
      </c>
      <c r="T33" s="63" t="str">
        <f t="shared" si="12"/>
        <v/>
      </c>
      <c r="U33" s="62" t="str">
        <f t="shared" si="12"/>
        <v/>
      </c>
      <c r="V33" s="63" t="str">
        <f t="shared" si="12"/>
        <v/>
      </c>
      <c r="W33" s="41" t="str">
        <f t="shared" si="12"/>
        <v/>
      </c>
      <c r="X33" s="62" t="str">
        <f t="shared" si="13"/>
        <v/>
      </c>
      <c r="Y33" s="63" t="str">
        <f t="shared" si="13"/>
        <v/>
      </c>
      <c r="Z33" s="41" t="str">
        <f t="shared" si="13"/>
        <v/>
      </c>
      <c r="AA33" s="62" t="str">
        <f t="shared" si="14"/>
        <v/>
      </c>
      <c r="AB33" s="63" t="str">
        <f t="shared" si="14"/>
        <v/>
      </c>
      <c r="AC33" s="63" t="str">
        <f t="shared" si="14"/>
        <v/>
      </c>
      <c r="AD33" s="62" t="str">
        <f t="shared" si="14"/>
        <v/>
      </c>
      <c r="AE33" s="63" t="str">
        <f t="shared" si="14"/>
        <v/>
      </c>
      <c r="AF33" s="41" t="str">
        <f t="shared" si="14"/>
        <v/>
      </c>
      <c r="AG33" s="62" t="str">
        <f t="shared" si="14"/>
        <v/>
      </c>
      <c r="AH33" s="63" t="str">
        <f t="shared" si="14"/>
        <v/>
      </c>
      <c r="AI33" s="41" t="str">
        <f t="shared" si="14"/>
        <v/>
      </c>
    </row>
    <row r="34" spans="1:35" x14ac:dyDescent="0.2">
      <c r="A34" s="54">
        <f t="shared" si="15"/>
        <v>32</v>
      </c>
      <c r="B34" s="59"/>
      <c r="C34" s="59"/>
      <c r="D34" s="59"/>
      <c r="E34" s="59"/>
      <c r="F34" s="59"/>
      <c r="G34" s="59"/>
      <c r="H34" s="59"/>
      <c r="I34" s="59"/>
      <c r="J34" s="59"/>
      <c r="K34" s="55">
        <f t="shared" si="10"/>
        <v>0</v>
      </c>
      <c r="L34" s="59"/>
      <c r="M34" s="55" t="str">
        <f t="shared" si="11"/>
        <v>-</v>
      </c>
      <c r="R34" s="62" t="str">
        <f t="shared" si="12"/>
        <v/>
      </c>
      <c r="S34" s="63" t="str">
        <f t="shared" si="12"/>
        <v/>
      </c>
      <c r="T34" s="63" t="str">
        <f t="shared" si="12"/>
        <v/>
      </c>
      <c r="U34" s="62" t="str">
        <f t="shared" si="12"/>
        <v/>
      </c>
      <c r="V34" s="63" t="str">
        <f t="shared" si="12"/>
        <v/>
      </c>
      <c r="W34" s="41" t="str">
        <f t="shared" si="12"/>
        <v/>
      </c>
      <c r="X34" s="62" t="str">
        <f t="shared" si="13"/>
        <v/>
      </c>
      <c r="Y34" s="63" t="str">
        <f t="shared" si="13"/>
        <v/>
      </c>
      <c r="Z34" s="41" t="str">
        <f t="shared" si="13"/>
        <v/>
      </c>
      <c r="AA34" s="62" t="str">
        <f t="shared" si="14"/>
        <v/>
      </c>
      <c r="AB34" s="63" t="str">
        <f t="shared" si="14"/>
        <v/>
      </c>
      <c r="AC34" s="63" t="str">
        <f t="shared" si="14"/>
        <v/>
      </c>
      <c r="AD34" s="62" t="str">
        <f t="shared" si="14"/>
        <v/>
      </c>
      <c r="AE34" s="63" t="str">
        <f t="shared" si="14"/>
        <v/>
      </c>
      <c r="AF34" s="41" t="str">
        <f t="shared" si="14"/>
        <v/>
      </c>
      <c r="AG34" s="62" t="str">
        <f t="shared" si="14"/>
        <v/>
      </c>
      <c r="AH34" s="63" t="str">
        <f t="shared" si="14"/>
        <v/>
      </c>
      <c r="AI34" s="41" t="str">
        <f t="shared" si="14"/>
        <v/>
      </c>
    </row>
    <row r="35" spans="1:35" x14ac:dyDescent="0.2">
      <c r="A35" s="54">
        <f t="shared" si="15"/>
        <v>33</v>
      </c>
      <c r="B35" s="59"/>
      <c r="C35" s="59"/>
      <c r="D35" s="59"/>
      <c r="E35" s="59"/>
      <c r="F35" s="59"/>
      <c r="G35" s="59"/>
      <c r="H35" s="59"/>
      <c r="I35" s="59"/>
      <c r="J35" s="59"/>
      <c r="K35" s="55">
        <f t="shared" si="10"/>
        <v>0</v>
      </c>
      <c r="L35" s="59"/>
      <c r="M35" s="55" t="str">
        <f t="shared" si="11"/>
        <v>-</v>
      </c>
      <c r="R35" s="62" t="str">
        <f t="shared" si="12"/>
        <v/>
      </c>
      <c r="S35" s="63" t="str">
        <f t="shared" si="12"/>
        <v/>
      </c>
      <c r="T35" s="63" t="str">
        <f t="shared" si="12"/>
        <v/>
      </c>
      <c r="U35" s="62" t="str">
        <f t="shared" si="12"/>
        <v/>
      </c>
      <c r="V35" s="63" t="str">
        <f t="shared" si="12"/>
        <v/>
      </c>
      <c r="W35" s="41" t="str">
        <f t="shared" si="12"/>
        <v/>
      </c>
      <c r="X35" s="62" t="str">
        <f t="shared" si="13"/>
        <v/>
      </c>
      <c r="Y35" s="63" t="str">
        <f t="shared" si="13"/>
        <v/>
      </c>
      <c r="Z35" s="41" t="str">
        <f t="shared" si="13"/>
        <v/>
      </c>
      <c r="AA35" s="62" t="str">
        <f t="shared" si="14"/>
        <v/>
      </c>
      <c r="AB35" s="63" t="str">
        <f t="shared" si="14"/>
        <v/>
      </c>
      <c r="AC35" s="63" t="str">
        <f t="shared" si="14"/>
        <v/>
      </c>
      <c r="AD35" s="62" t="str">
        <f t="shared" si="14"/>
        <v/>
      </c>
      <c r="AE35" s="63" t="str">
        <f t="shared" si="14"/>
        <v/>
      </c>
      <c r="AF35" s="41" t="str">
        <f t="shared" si="14"/>
        <v/>
      </c>
      <c r="AG35" s="62" t="str">
        <f t="shared" si="14"/>
        <v/>
      </c>
      <c r="AH35" s="63" t="str">
        <f t="shared" si="14"/>
        <v/>
      </c>
      <c r="AI35" s="41" t="str">
        <f t="shared" si="14"/>
        <v/>
      </c>
    </row>
    <row r="36" spans="1:35" x14ac:dyDescent="0.2">
      <c r="A36" s="54">
        <f t="shared" si="15"/>
        <v>34</v>
      </c>
      <c r="B36" s="59"/>
      <c r="C36" s="59"/>
      <c r="D36" s="59"/>
      <c r="E36" s="59"/>
      <c r="F36" s="59"/>
      <c r="G36" s="59"/>
      <c r="H36" s="59"/>
      <c r="I36" s="59"/>
      <c r="J36" s="59"/>
      <c r="K36" s="55">
        <f t="shared" ref="K36:K51" si="16">IF(AND(L36&lt;=$O$3,L36&gt;=$N$3),1,0)</f>
        <v>0</v>
      </c>
      <c r="L36" s="59"/>
      <c r="M36" s="55" t="str">
        <f t="shared" ref="M36:M51" si="17">IF(OR(AND(L36&lt;=$N$3+$Q$3,L36&gt;=$N$3-$Q$3),AND(L36&lt;=$O$3+$Q$3,L36&gt;=$O$3-$Q$3)),"X",IF(AND(L36&lt;=$O$3,L36&gt;=$N$3),"+","-"))</f>
        <v>-</v>
      </c>
      <c r="R36" s="62" t="str">
        <f t="shared" ref="R36:W51" si="18">IF(ISBLANK(B36),"",IF(B36=E36,B36,IF(B36=0,-2,-1)))</f>
        <v/>
      </c>
      <c r="S36" s="63" t="str">
        <f t="shared" si="18"/>
        <v/>
      </c>
      <c r="T36" s="63" t="str">
        <f t="shared" si="18"/>
        <v/>
      </c>
      <c r="U36" s="62" t="str">
        <f t="shared" si="18"/>
        <v/>
      </c>
      <c r="V36" s="63" t="str">
        <f t="shared" si="18"/>
        <v/>
      </c>
      <c r="W36" s="41" t="str">
        <f t="shared" si="18"/>
        <v/>
      </c>
      <c r="X36" s="62" t="str">
        <f t="shared" ref="X36:Z51" si="19">IF(ISBLANK(H36),"",IF(H36=B36,H36,IF(H36=0,-2,-1)))</f>
        <v/>
      </c>
      <c r="Y36" s="63" t="str">
        <f t="shared" si="19"/>
        <v/>
      </c>
      <c r="Z36" s="41" t="str">
        <f t="shared" si="19"/>
        <v/>
      </c>
      <c r="AA36" s="62" t="str">
        <f t="shared" ref="AA36:AI51" si="20">IF(ISBLANK(B36),"",IF(B36=$K36,B36,IF(B36=0,-2,-1)))</f>
        <v/>
      </c>
      <c r="AB36" s="63" t="str">
        <f t="shared" si="20"/>
        <v/>
      </c>
      <c r="AC36" s="63" t="str">
        <f t="shared" si="20"/>
        <v/>
      </c>
      <c r="AD36" s="62" t="str">
        <f t="shared" si="20"/>
        <v/>
      </c>
      <c r="AE36" s="63" t="str">
        <f t="shared" si="20"/>
        <v/>
      </c>
      <c r="AF36" s="41" t="str">
        <f t="shared" si="20"/>
        <v/>
      </c>
      <c r="AG36" s="62" t="str">
        <f t="shared" si="20"/>
        <v/>
      </c>
      <c r="AH36" s="63" t="str">
        <f t="shared" si="20"/>
        <v/>
      </c>
      <c r="AI36" s="41" t="str">
        <f t="shared" si="20"/>
        <v/>
      </c>
    </row>
    <row r="37" spans="1:35" x14ac:dyDescent="0.2">
      <c r="A37" s="54">
        <f t="shared" ref="A37:A52" si="21">A36+1</f>
        <v>35</v>
      </c>
      <c r="B37" s="59"/>
      <c r="C37" s="59"/>
      <c r="D37" s="59"/>
      <c r="E37" s="59"/>
      <c r="F37" s="59"/>
      <c r="G37" s="59"/>
      <c r="H37" s="59"/>
      <c r="I37" s="59"/>
      <c r="J37" s="59"/>
      <c r="K37" s="55">
        <f t="shared" si="16"/>
        <v>0</v>
      </c>
      <c r="L37" s="59"/>
      <c r="M37" s="55" t="str">
        <f t="shared" si="17"/>
        <v>-</v>
      </c>
      <c r="R37" s="62" t="str">
        <f t="shared" si="18"/>
        <v/>
      </c>
      <c r="S37" s="63" t="str">
        <f t="shared" si="18"/>
        <v/>
      </c>
      <c r="T37" s="63" t="str">
        <f t="shared" si="18"/>
        <v/>
      </c>
      <c r="U37" s="62" t="str">
        <f t="shared" si="18"/>
        <v/>
      </c>
      <c r="V37" s="63" t="str">
        <f t="shared" si="18"/>
        <v/>
      </c>
      <c r="W37" s="41" t="str">
        <f t="shared" si="18"/>
        <v/>
      </c>
      <c r="X37" s="62" t="str">
        <f t="shared" si="19"/>
        <v/>
      </c>
      <c r="Y37" s="63" t="str">
        <f t="shared" si="19"/>
        <v/>
      </c>
      <c r="Z37" s="41" t="str">
        <f t="shared" si="19"/>
        <v/>
      </c>
      <c r="AA37" s="62" t="str">
        <f t="shared" si="20"/>
        <v/>
      </c>
      <c r="AB37" s="63" t="str">
        <f t="shared" si="20"/>
        <v/>
      </c>
      <c r="AC37" s="63" t="str">
        <f t="shared" si="20"/>
        <v/>
      </c>
      <c r="AD37" s="62" t="str">
        <f t="shared" si="20"/>
        <v/>
      </c>
      <c r="AE37" s="63" t="str">
        <f t="shared" si="20"/>
        <v/>
      </c>
      <c r="AF37" s="41" t="str">
        <f t="shared" si="20"/>
        <v/>
      </c>
      <c r="AG37" s="62" t="str">
        <f t="shared" si="20"/>
        <v/>
      </c>
      <c r="AH37" s="63" t="str">
        <f t="shared" si="20"/>
        <v/>
      </c>
      <c r="AI37" s="41" t="str">
        <f t="shared" si="20"/>
        <v/>
      </c>
    </row>
    <row r="38" spans="1:35" x14ac:dyDescent="0.2">
      <c r="A38" s="54">
        <f t="shared" si="21"/>
        <v>36</v>
      </c>
      <c r="B38" s="59"/>
      <c r="C38" s="59"/>
      <c r="D38" s="59"/>
      <c r="E38" s="59"/>
      <c r="F38" s="59"/>
      <c r="G38" s="59"/>
      <c r="H38" s="59"/>
      <c r="I38" s="59"/>
      <c r="J38" s="59"/>
      <c r="K38" s="55">
        <f t="shared" si="16"/>
        <v>0</v>
      </c>
      <c r="L38" s="59"/>
      <c r="M38" s="55" t="str">
        <f t="shared" si="17"/>
        <v>-</v>
      </c>
      <c r="R38" s="62" t="str">
        <f t="shared" si="18"/>
        <v/>
      </c>
      <c r="S38" s="63" t="str">
        <f t="shared" si="18"/>
        <v/>
      </c>
      <c r="T38" s="63" t="str">
        <f t="shared" si="18"/>
        <v/>
      </c>
      <c r="U38" s="62" t="str">
        <f t="shared" si="18"/>
        <v/>
      </c>
      <c r="V38" s="63" t="str">
        <f t="shared" si="18"/>
        <v/>
      </c>
      <c r="W38" s="41" t="str">
        <f t="shared" si="18"/>
        <v/>
      </c>
      <c r="X38" s="62" t="str">
        <f t="shared" si="19"/>
        <v/>
      </c>
      <c r="Y38" s="63" t="str">
        <f t="shared" si="19"/>
        <v/>
      </c>
      <c r="Z38" s="41" t="str">
        <f t="shared" si="19"/>
        <v/>
      </c>
      <c r="AA38" s="62" t="str">
        <f t="shared" si="20"/>
        <v/>
      </c>
      <c r="AB38" s="63" t="str">
        <f t="shared" si="20"/>
        <v/>
      </c>
      <c r="AC38" s="63" t="str">
        <f t="shared" si="20"/>
        <v/>
      </c>
      <c r="AD38" s="62" t="str">
        <f t="shared" si="20"/>
        <v/>
      </c>
      <c r="AE38" s="63" t="str">
        <f t="shared" si="20"/>
        <v/>
      </c>
      <c r="AF38" s="41" t="str">
        <f t="shared" si="20"/>
        <v/>
      </c>
      <c r="AG38" s="62" t="str">
        <f t="shared" si="20"/>
        <v/>
      </c>
      <c r="AH38" s="63" t="str">
        <f t="shared" si="20"/>
        <v/>
      </c>
      <c r="AI38" s="41" t="str">
        <f t="shared" si="20"/>
        <v/>
      </c>
    </row>
    <row r="39" spans="1:35" x14ac:dyDescent="0.2">
      <c r="A39" s="54">
        <f t="shared" si="21"/>
        <v>37</v>
      </c>
      <c r="B39" s="59"/>
      <c r="C39" s="59"/>
      <c r="D39" s="59"/>
      <c r="E39" s="59"/>
      <c r="F39" s="59"/>
      <c r="G39" s="59"/>
      <c r="H39" s="59"/>
      <c r="I39" s="59"/>
      <c r="J39" s="59"/>
      <c r="K39" s="55">
        <f t="shared" si="16"/>
        <v>0</v>
      </c>
      <c r="L39" s="59"/>
      <c r="M39" s="55" t="str">
        <f t="shared" si="17"/>
        <v>-</v>
      </c>
      <c r="R39" s="62" t="str">
        <f t="shared" si="18"/>
        <v/>
      </c>
      <c r="S39" s="63" t="str">
        <f t="shared" si="18"/>
        <v/>
      </c>
      <c r="T39" s="63" t="str">
        <f t="shared" si="18"/>
        <v/>
      </c>
      <c r="U39" s="62" t="str">
        <f t="shared" si="18"/>
        <v/>
      </c>
      <c r="V39" s="63" t="str">
        <f t="shared" si="18"/>
        <v/>
      </c>
      <c r="W39" s="41" t="str">
        <f t="shared" si="18"/>
        <v/>
      </c>
      <c r="X39" s="62" t="str">
        <f t="shared" si="19"/>
        <v/>
      </c>
      <c r="Y39" s="63" t="str">
        <f t="shared" si="19"/>
        <v/>
      </c>
      <c r="Z39" s="41" t="str">
        <f t="shared" si="19"/>
        <v/>
      </c>
      <c r="AA39" s="62" t="str">
        <f t="shared" si="20"/>
        <v/>
      </c>
      <c r="AB39" s="63" t="str">
        <f t="shared" si="20"/>
        <v/>
      </c>
      <c r="AC39" s="63" t="str">
        <f t="shared" si="20"/>
        <v/>
      </c>
      <c r="AD39" s="62" t="str">
        <f t="shared" si="20"/>
        <v/>
      </c>
      <c r="AE39" s="63" t="str">
        <f t="shared" si="20"/>
        <v/>
      </c>
      <c r="AF39" s="41" t="str">
        <f t="shared" si="20"/>
        <v/>
      </c>
      <c r="AG39" s="62" t="str">
        <f t="shared" si="20"/>
        <v/>
      </c>
      <c r="AH39" s="63" t="str">
        <f t="shared" si="20"/>
        <v/>
      </c>
      <c r="AI39" s="41" t="str">
        <f t="shared" si="20"/>
        <v/>
      </c>
    </row>
    <row r="40" spans="1:35" x14ac:dyDescent="0.2">
      <c r="A40" s="54">
        <f t="shared" si="21"/>
        <v>38</v>
      </c>
      <c r="B40" s="59"/>
      <c r="C40" s="59"/>
      <c r="D40" s="59"/>
      <c r="E40" s="59"/>
      <c r="F40" s="59"/>
      <c r="G40" s="59"/>
      <c r="H40" s="59"/>
      <c r="I40" s="59"/>
      <c r="J40" s="59"/>
      <c r="K40" s="55">
        <f t="shared" si="16"/>
        <v>0</v>
      </c>
      <c r="L40" s="59"/>
      <c r="M40" s="55" t="str">
        <f t="shared" si="17"/>
        <v>-</v>
      </c>
      <c r="R40" s="62" t="str">
        <f t="shared" si="18"/>
        <v/>
      </c>
      <c r="S40" s="63" t="str">
        <f t="shared" si="18"/>
        <v/>
      </c>
      <c r="T40" s="63" t="str">
        <f t="shared" si="18"/>
        <v/>
      </c>
      <c r="U40" s="62" t="str">
        <f t="shared" si="18"/>
        <v/>
      </c>
      <c r="V40" s="63" t="str">
        <f t="shared" si="18"/>
        <v/>
      </c>
      <c r="W40" s="41" t="str">
        <f t="shared" si="18"/>
        <v/>
      </c>
      <c r="X40" s="62" t="str">
        <f t="shared" si="19"/>
        <v/>
      </c>
      <c r="Y40" s="63" t="str">
        <f t="shared" si="19"/>
        <v/>
      </c>
      <c r="Z40" s="41" t="str">
        <f t="shared" si="19"/>
        <v/>
      </c>
      <c r="AA40" s="62" t="str">
        <f t="shared" si="20"/>
        <v/>
      </c>
      <c r="AB40" s="63" t="str">
        <f t="shared" si="20"/>
        <v/>
      </c>
      <c r="AC40" s="63" t="str">
        <f t="shared" si="20"/>
        <v/>
      </c>
      <c r="AD40" s="62" t="str">
        <f t="shared" si="20"/>
        <v/>
      </c>
      <c r="AE40" s="63" t="str">
        <f t="shared" si="20"/>
        <v/>
      </c>
      <c r="AF40" s="41" t="str">
        <f t="shared" si="20"/>
        <v/>
      </c>
      <c r="AG40" s="62" t="str">
        <f t="shared" si="20"/>
        <v/>
      </c>
      <c r="AH40" s="63" t="str">
        <f t="shared" si="20"/>
        <v/>
      </c>
      <c r="AI40" s="41" t="str">
        <f t="shared" si="20"/>
        <v/>
      </c>
    </row>
    <row r="41" spans="1:35" x14ac:dyDescent="0.2">
      <c r="A41" s="54">
        <f t="shared" si="21"/>
        <v>39</v>
      </c>
      <c r="B41" s="59"/>
      <c r="C41" s="59"/>
      <c r="D41" s="59"/>
      <c r="E41" s="59"/>
      <c r="F41" s="59"/>
      <c r="G41" s="59"/>
      <c r="H41" s="59"/>
      <c r="I41" s="59"/>
      <c r="J41" s="59"/>
      <c r="K41" s="55">
        <f t="shared" si="16"/>
        <v>0</v>
      </c>
      <c r="L41" s="59"/>
      <c r="M41" s="55" t="str">
        <f t="shared" si="17"/>
        <v>-</v>
      </c>
      <c r="R41" s="62" t="str">
        <f t="shared" si="18"/>
        <v/>
      </c>
      <c r="S41" s="63" t="str">
        <f t="shared" si="18"/>
        <v/>
      </c>
      <c r="T41" s="63" t="str">
        <f t="shared" si="18"/>
        <v/>
      </c>
      <c r="U41" s="62" t="str">
        <f t="shared" si="18"/>
        <v/>
      </c>
      <c r="V41" s="63" t="str">
        <f t="shared" si="18"/>
        <v/>
      </c>
      <c r="W41" s="41" t="str">
        <f t="shared" si="18"/>
        <v/>
      </c>
      <c r="X41" s="62" t="str">
        <f t="shared" si="19"/>
        <v/>
      </c>
      <c r="Y41" s="63" t="str">
        <f t="shared" si="19"/>
        <v/>
      </c>
      <c r="Z41" s="41" t="str">
        <f t="shared" si="19"/>
        <v/>
      </c>
      <c r="AA41" s="62" t="str">
        <f t="shared" si="20"/>
        <v/>
      </c>
      <c r="AB41" s="63" t="str">
        <f t="shared" si="20"/>
        <v/>
      </c>
      <c r="AC41" s="63" t="str">
        <f t="shared" si="20"/>
        <v/>
      </c>
      <c r="AD41" s="62" t="str">
        <f t="shared" si="20"/>
        <v/>
      </c>
      <c r="AE41" s="63" t="str">
        <f t="shared" si="20"/>
        <v/>
      </c>
      <c r="AF41" s="41" t="str">
        <f t="shared" si="20"/>
        <v/>
      </c>
      <c r="AG41" s="62" t="str">
        <f t="shared" si="20"/>
        <v/>
      </c>
      <c r="AH41" s="63" t="str">
        <f t="shared" si="20"/>
        <v/>
      </c>
      <c r="AI41" s="41" t="str">
        <f t="shared" si="20"/>
        <v/>
      </c>
    </row>
    <row r="42" spans="1:35" x14ac:dyDescent="0.2">
      <c r="A42" s="54">
        <f t="shared" si="21"/>
        <v>40</v>
      </c>
      <c r="B42" s="59"/>
      <c r="C42" s="59"/>
      <c r="D42" s="59"/>
      <c r="E42" s="59"/>
      <c r="F42" s="59"/>
      <c r="G42" s="59"/>
      <c r="H42" s="59"/>
      <c r="I42" s="59"/>
      <c r="J42" s="59"/>
      <c r="K42" s="55">
        <f t="shared" si="16"/>
        <v>0</v>
      </c>
      <c r="L42" s="59"/>
      <c r="M42" s="55" t="str">
        <f t="shared" si="17"/>
        <v>-</v>
      </c>
      <c r="R42" s="62" t="str">
        <f t="shared" si="18"/>
        <v/>
      </c>
      <c r="S42" s="63" t="str">
        <f t="shared" si="18"/>
        <v/>
      </c>
      <c r="T42" s="63" t="str">
        <f t="shared" si="18"/>
        <v/>
      </c>
      <c r="U42" s="62" t="str">
        <f t="shared" si="18"/>
        <v/>
      </c>
      <c r="V42" s="63" t="str">
        <f t="shared" si="18"/>
        <v/>
      </c>
      <c r="W42" s="41" t="str">
        <f t="shared" si="18"/>
        <v/>
      </c>
      <c r="X42" s="62" t="str">
        <f t="shared" si="19"/>
        <v/>
      </c>
      <c r="Y42" s="63" t="str">
        <f t="shared" si="19"/>
        <v/>
      </c>
      <c r="Z42" s="41" t="str">
        <f t="shared" si="19"/>
        <v/>
      </c>
      <c r="AA42" s="62" t="str">
        <f t="shared" si="20"/>
        <v/>
      </c>
      <c r="AB42" s="63" t="str">
        <f t="shared" si="20"/>
        <v/>
      </c>
      <c r="AC42" s="63" t="str">
        <f t="shared" si="20"/>
        <v/>
      </c>
      <c r="AD42" s="62" t="str">
        <f t="shared" si="20"/>
        <v/>
      </c>
      <c r="AE42" s="63" t="str">
        <f t="shared" si="20"/>
        <v/>
      </c>
      <c r="AF42" s="41" t="str">
        <f t="shared" si="20"/>
        <v/>
      </c>
      <c r="AG42" s="62" t="str">
        <f t="shared" si="20"/>
        <v/>
      </c>
      <c r="AH42" s="63" t="str">
        <f t="shared" si="20"/>
        <v/>
      </c>
      <c r="AI42" s="41" t="str">
        <f t="shared" si="20"/>
        <v/>
      </c>
    </row>
    <row r="43" spans="1:35" x14ac:dyDescent="0.2">
      <c r="A43" s="54">
        <f t="shared" si="21"/>
        <v>41</v>
      </c>
      <c r="B43" s="59"/>
      <c r="C43" s="59"/>
      <c r="D43" s="59"/>
      <c r="E43" s="59"/>
      <c r="F43" s="59"/>
      <c r="G43" s="59"/>
      <c r="H43" s="59"/>
      <c r="I43" s="59"/>
      <c r="J43" s="59"/>
      <c r="K43" s="55">
        <f t="shared" si="16"/>
        <v>0</v>
      </c>
      <c r="L43" s="59"/>
      <c r="M43" s="55" t="str">
        <f t="shared" si="17"/>
        <v>-</v>
      </c>
      <c r="R43" s="62" t="str">
        <f t="shared" si="18"/>
        <v/>
      </c>
      <c r="S43" s="63" t="str">
        <f t="shared" si="18"/>
        <v/>
      </c>
      <c r="T43" s="63" t="str">
        <f t="shared" si="18"/>
        <v/>
      </c>
      <c r="U43" s="62" t="str">
        <f t="shared" si="18"/>
        <v/>
      </c>
      <c r="V43" s="63" t="str">
        <f t="shared" si="18"/>
        <v/>
      </c>
      <c r="W43" s="41" t="str">
        <f t="shared" si="18"/>
        <v/>
      </c>
      <c r="X43" s="62" t="str">
        <f t="shared" si="19"/>
        <v/>
      </c>
      <c r="Y43" s="63" t="str">
        <f t="shared" si="19"/>
        <v/>
      </c>
      <c r="Z43" s="41" t="str">
        <f t="shared" si="19"/>
        <v/>
      </c>
      <c r="AA43" s="62" t="str">
        <f t="shared" si="20"/>
        <v/>
      </c>
      <c r="AB43" s="63" t="str">
        <f t="shared" si="20"/>
        <v/>
      </c>
      <c r="AC43" s="63" t="str">
        <f t="shared" si="20"/>
        <v/>
      </c>
      <c r="AD43" s="62" t="str">
        <f t="shared" si="20"/>
        <v/>
      </c>
      <c r="AE43" s="63" t="str">
        <f t="shared" si="20"/>
        <v/>
      </c>
      <c r="AF43" s="41" t="str">
        <f t="shared" si="20"/>
        <v/>
      </c>
      <c r="AG43" s="62" t="str">
        <f t="shared" si="20"/>
        <v/>
      </c>
      <c r="AH43" s="63" t="str">
        <f t="shared" si="20"/>
        <v/>
      </c>
      <c r="AI43" s="41" t="str">
        <f t="shared" si="20"/>
        <v/>
      </c>
    </row>
    <row r="44" spans="1:35" x14ac:dyDescent="0.2">
      <c r="A44" s="54">
        <f t="shared" si="21"/>
        <v>42</v>
      </c>
      <c r="B44" s="59"/>
      <c r="C44" s="59"/>
      <c r="D44" s="59"/>
      <c r="E44" s="59"/>
      <c r="F44" s="59"/>
      <c r="G44" s="59"/>
      <c r="H44" s="59"/>
      <c r="I44" s="59"/>
      <c r="J44" s="59"/>
      <c r="K44" s="55">
        <f t="shared" si="16"/>
        <v>0</v>
      </c>
      <c r="L44" s="59"/>
      <c r="M44" s="55" t="str">
        <f t="shared" si="17"/>
        <v>-</v>
      </c>
      <c r="R44" s="62" t="str">
        <f t="shared" si="18"/>
        <v/>
      </c>
      <c r="S44" s="63" t="str">
        <f t="shared" si="18"/>
        <v/>
      </c>
      <c r="T44" s="63" t="str">
        <f t="shared" si="18"/>
        <v/>
      </c>
      <c r="U44" s="62" t="str">
        <f t="shared" si="18"/>
        <v/>
      </c>
      <c r="V44" s="63" t="str">
        <f t="shared" si="18"/>
        <v/>
      </c>
      <c r="W44" s="41" t="str">
        <f t="shared" si="18"/>
        <v/>
      </c>
      <c r="X44" s="62" t="str">
        <f t="shared" si="19"/>
        <v/>
      </c>
      <c r="Y44" s="63" t="str">
        <f t="shared" si="19"/>
        <v/>
      </c>
      <c r="Z44" s="41" t="str">
        <f t="shared" si="19"/>
        <v/>
      </c>
      <c r="AA44" s="62" t="str">
        <f t="shared" si="20"/>
        <v/>
      </c>
      <c r="AB44" s="63" t="str">
        <f t="shared" si="20"/>
        <v/>
      </c>
      <c r="AC44" s="63" t="str">
        <f t="shared" si="20"/>
        <v/>
      </c>
      <c r="AD44" s="62" t="str">
        <f t="shared" si="20"/>
        <v/>
      </c>
      <c r="AE44" s="63" t="str">
        <f t="shared" si="20"/>
        <v/>
      </c>
      <c r="AF44" s="41" t="str">
        <f t="shared" si="20"/>
        <v/>
      </c>
      <c r="AG44" s="62" t="str">
        <f t="shared" si="20"/>
        <v/>
      </c>
      <c r="AH44" s="63" t="str">
        <f t="shared" si="20"/>
        <v/>
      </c>
      <c r="AI44" s="41" t="str">
        <f t="shared" si="20"/>
        <v/>
      </c>
    </row>
    <row r="45" spans="1:35" x14ac:dyDescent="0.2">
      <c r="A45" s="54">
        <f t="shared" si="21"/>
        <v>43</v>
      </c>
      <c r="B45" s="59"/>
      <c r="C45" s="59"/>
      <c r="D45" s="59"/>
      <c r="E45" s="59"/>
      <c r="F45" s="59"/>
      <c r="G45" s="59"/>
      <c r="H45" s="59"/>
      <c r="I45" s="59"/>
      <c r="J45" s="59"/>
      <c r="K45" s="55">
        <f t="shared" si="16"/>
        <v>0</v>
      </c>
      <c r="L45" s="59"/>
      <c r="M45" s="55" t="str">
        <f t="shared" si="17"/>
        <v>-</v>
      </c>
      <c r="R45" s="62" t="str">
        <f t="shared" si="18"/>
        <v/>
      </c>
      <c r="S45" s="63" t="str">
        <f t="shared" si="18"/>
        <v/>
      </c>
      <c r="T45" s="63" t="str">
        <f t="shared" si="18"/>
        <v/>
      </c>
      <c r="U45" s="62" t="str">
        <f t="shared" si="18"/>
        <v/>
      </c>
      <c r="V45" s="63" t="str">
        <f t="shared" si="18"/>
        <v/>
      </c>
      <c r="W45" s="41" t="str">
        <f t="shared" si="18"/>
        <v/>
      </c>
      <c r="X45" s="62" t="str">
        <f t="shared" si="19"/>
        <v/>
      </c>
      <c r="Y45" s="63" t="str">
        <f t="shared" si="19"/>
        <v/>
      </c>
      <c r="Z45" s="41" t="str">
        <f t="shared" si="19"/>
        <v/>
      </c>
      <c r="AA45" s="62" t="str">
        <f t="shared" si="20"/>
        <v/>
      </c>
      <c r="AB45" s="63" t="str">
        <f t="shared" si="20"/>
        <v/>
      </c>
      <c r="AC45" s="63" t="str">
        <f t="shared" si="20"/>
        <v/>
      </c>
      <c r="AD45" s="62" t="str">
        <f t="shared" si="20"/>
        <v/>
      </c>
      <c r="AE45" s="63" t="str">
        <f t="shared" si="20"/>
        <v/>
      </c>
      <c r="AF45" s="41" t="str">
        <f t="shared" si="20"/>
        <v/>
      </c>
      <c r="AG45" s="62" t="str">
        <f t="shared" si="20"/>
        <v/>
      </c>
      <c r="AH45" s="63" t="str">
        <f t="shared" si="20"/>
        <v/>
      </c>
      <c r="AI45" s="41" t="str">
        <f t="shared" si="20"/>
        <v/>
      </c>
    </row>
    <row r="46" spans="1:35" x14ac:dyDescent="0.2">
      <c r="A46" s="54">
        <f t="shared" si="21"/>
        <v>44</v>
      </c>
      <c r="B46" s="59"/>
      <c r="C46" s="59"/>
      <c r="D46" s="59"/>
      <c r="E46" s="59"/>
      <c r="F46" s="59"/>
      <c r="G46" s="59"/>
      <c r="H46" s="59"/>
      <c r="I46" s="59"/>
      <c r="J46" s="59"/>
      <c r="K46" s="55">
        <f t="shared" si="16"/>
        <v>0</v>
      </c>
      <c r="L46" s="59"/>
      <c r="M46" s="55" t="str">
        <f t="shared" si="17"/>
        <v>-</v>
      </c>
      <c r="R46" s="62" t="str">
        <f t="shared" si="18"/>
        <v/>
      </c>
      <c r="S46" s="63" t="str">
        <f t="shared" si="18"/>
        <v/>
      </c>
      <c r="T46" s="63" t="str">
        <f t="shared" si="18"/>
        <v/>
      </c>
      <c r="U46" s="62" t="str">
        <f t="shared" si="18"/>
        <v/>
      </c>
      <c r="V46" s="63" t="str">
        <f t="shared" si="18"/>
        <v/>
      </c>
      <c r="W46" s="41" t="str">
        <f t="shared" si="18"/>
        <v/>
      </c>
      <c r="X46" s="62" t="str">
        <f t="shared" si="19"/>
        <v/>
      </c>
      <c r="Y46" s="63" t="str">
        <f t="shared" si="19"/>
        <v/>
      </c>
      <c r="Z46" s="41" t="str">
        <f t="shared" si="19"/>
        <v/>
      </c>
      <c r="AA46" s="62" t="str">
        <f t="shared" si="20"/>
        <v/>
      </c>
      <c r="AB46" s="63" t="str">
        <f t="shared" si="20"/>
        <v/>
      </c>
      <c r="AC46" s="63" t="str">
        <f t="shared" si="20"/>
        <v/>
      </c>
      <c r="AD46" s="62" t="str">
        <f t="shared" si="20"/>
        <v/>
      </c>
      <c r="AE46" s="63" t="str">
        <f t="shared" si="20"/>
        <v/>
      </c>
      <c r="AF46" s="41" t="str">
        <f t="shared" si="20"/>
        <v/>
      </c>
      <c r="AG46" s="62" t="str">
        <f t="shared" si="20"/>
        <v/>
      </c>
      <c r="AH46" s="63" t="str">
        <f t="shared" si="20"/>
        <v/>
      </c>
      <c r="AI46" s="41" t="str">
        <f t="shared" si="20"/>
        <v/>
      </c>
    </row>
    <row r="47" spans="1:35" x14ac:dyDescent="0.2">
      <c r="A47" s="54">
        <f t="shared" si="21"/>
        <v>45</v>
      </c>
      <c r="B47" s="59"/>
      <c r="C47" s="59"/>
      <c r="D47" s="59"/>
      <c r="E47" s="59"/>
      <c r="F47" s="59"/>
      <c r="G47" s="59"/>
      <c r="H47" s="59"/>
      <c r="I47" s="59"/>
      <c r="J47" s="59"/>
      <c r="K47" s="55">
        <f t="shared" si="16"/>
        <v>0</v>
      </c>
      <c r="L47" s="59"/>
      <c r="M47" s="55" t="str">
        <f t="shared" si="17"/>
        <v>-</v>
      </c>
      <c r="R47" s="62" t="str">
        <f t="shared" si="18"/>
        <v/>
      </c>
      <c r="S47" s="63" t="str">
        <f t="shared" si="18"/>
        <v/>
      </c>
      <c r="T47" s="63" t="str">
        <f t="shared" si="18"/>
        <v/>
      </c>
      <c r="U47" s="62" t="str">
        <f t="shared" si="18"/>
        <v/>
      </c>
      <c r="V47" s="63" t="str">
        <f t="shared" si="18"/>
        <v/>
      </c>
      <c r="W47" s="41" t="str">
        <f t="shared" si="18"/>
        <v/>
      </c>
      <c r="X47" s="62" t="str">
        <f t="shared" si="19"/>
        <v/>
      </c>
      <c r="Y47" s="63" t="str">
        <f t="shared" si="19"/>
        <v/>
      </c>
      <c r="Z47" s="41" t="str">
        <f t="shared" si="19"/>
        <v/>
      </c>
      <c r="AA47" s="62" t="str">
        <f t="shared" si="20"/>
        <v/>
      </c>
      <c r="AB47" s="63" t="str">
        <f t="shared" si="20"/>
        <v/>
      </c>
      <c r="AC47" s="63" t="str">
        <f t="shared" si="20"/>
        <v/>
      </c>
      <c r="AD47" s="62" t="str">
        <f t="shared" si="20"/>
        <v/>
      </c>
      <c r="AE47" s="63" t="str">
        <f t="shared" si="20"/>
        <v/>
      </c>
      <c r="AF47" s="41" t="str">
        <f t="shared" si="20"/>
        <v/>
      </c>
      <c r="AG47" s="62" t="str">
        <f t="shared" si="20"/>
        <v/>
      </c>
      <c r="AH47" s="63" t="str">
        <f t="shared" si="20"/>
        <v/>
      </c>
      <c r="AI47" s="41" t="str">
        <f t="shared" si="20"/>
        <v/>
      </c>
    </row>
    <row r="48" spans="1:35" x14ac:dyDescent="0.2">
      <c r="A48" s="54">
        <f t="shared" si="21"/>
        <v>46</v>
      </c>
      <c r="B48" s="59"/>
      <c r="C48" s="59"/>
      <c r="D48" s="59"/>
      <c r="E48" s="59"/>
      <c r="F48" s="59"/>
      <c r="G48" s="59"/>
      <c r="H48" s="59"/>
      <c r="I48" s="59"/>
      <c r="J48" s="59"/>
      <c r="K48" s="55">
        <f t="shared" si="16"/>
        <v>0</v>
      </c>
      <c r="L48" s="59"/>
      <c r="M48" s="55" t="str">
        <f t="shared" si="17"/>
        <v>-</v>
      </c>
      <c r="R48" s="62" t="str">
        <f t="shared" si="18"/>
        <v/>
      </c>
      <c r="S48" s="63" t="str">
        <f t="shared" si="18"/>
        <v/>
      </c>
      <c r="T48" s="63" t="str">
        <f t="shared" si="18"/>
        <v/>
      </c>
      <c r="U48" s="62" t="str">
        <f t="shared" si="18"/>
        <v/>
      </c>
      <c r="V48" s="63" t="str">
        <f t="shared" si="18"/>
        <v/>
      </c>
      <c r="W48" s="41" t="str">
        <f t="shared" si="18"/>
        <v/>
      </c>
      <c r="X48" s="62" t="str">
        <f t="shared" si="19"/>
        <v/>
      </c>
      <c r="Y48" s="63" t="str">
        <f t="shared" si="19"/>
        <v/>
      </c>
      <c r="Z48" s="41" t="str">
        <f t="shared" si="19"/>
        <v/>
      </c>
      <c r="AA48" s="62" t="str">
        <f t="shared" si="20"/>
        <v/>
      </c>
      <c r="AB48" s="63" t="str">
        <f t="shared" si="20"/>
        <v/>
      </c>
      <c r="AC48" s="63" t="str">
        <f t="shared" si="20"/>
        <v/>
      </c>
      <c r="AD48" s="62" t="str">
        <f t="shared" si="20"/>
        <v/>
      </c>
      <c r="AE48" s="63" t="str">
        <f t="shared" si="20"/>
        <v/>
      </c>
      <c r="AF48" s="41" t="str">
        <f t="shared" si="20"/>
        <v/>
      </c>
      <c r="AG48" s="62" t="str">
        <f t="shared" si="20"/>
        <v/>
      </c>
      <c r="AH48" s="63" t="str">
        <f t="shared" si="20"/>
        <v/>
      </c>
      <c r="AI48" s="41" t="str">
        <f t="shared" si="20"/>
        <v/>
      </c>
    </row>
    <row r="49" spans="1:35" x14ac:dyDescent="0.2">
      <c r="A49" s="54">
        <f t="shared" si="21"/>
        <v>47</v>
      </c>
      <c r="B49" s="59"/>
      <c r="C49" s="59"/>
      <c r="D49" s="59"/>
      <c r="E49" s="59"/>
      <c r="F49" s="59"/>
      <c r="G49" s="59"/>
      <c r="H49" s="59"/>
      <c r="I49" s="59"/>
      <c r="J49" s="59"/>
      <c r="K49" s="55">
        <f t="shared" si="16"/>
        <v>0</v>
      </c>
      <c r="L49" s="59"/>
      <c r="M49" s="55" t="str">
        <f t="shared" si="17"/>
        <v>-</v>
      </c>
      <c r="R49" s="62" t="str">
        <f t="shared" si="18"/>
        <v/>
      </c>
      <c r="S49" s="63" t="str">
        <f t="shared" si="18"/>
        <v/>
      </c>
      <c r="T49" s="63" t="str">
        <f t="shared" si="18"/>
        <v/>
      </c>
      <c r="U49" s="62" t="str">
        <f t="shared" si="18"/>
        <v/>
      </c>
      <c r="V49" s="63" t="str">
        <f t="shared" si="18"/>
        <v/>
      </c>
      <c r="W49" s="41" t="str">
        <f t="shared" si="18"/>
        <v/>
      </c>
      <c r="X49" s="62" t="str">
        <f t="shared" si="19"/>
        <v/>
      </c>
      <c r="Y49" s="63" t="str">
        <f t="shared" si="19"/>
        <v/>
      </c>
      <c r="Z49" s="41" t="str">
        <f t="shared" si="19"/>
        <v/>
      </c>
      <c r="AA49" s="62" t="str">
        <f t="shared" si="20"/>
        <v/>
      </c>
      <c r="AB49" s="63" t="str">
        <f t="shared" si="20"/>
        <v/>
      </c>
      <c r="AC49" s="63" t="str">
        <f t="shared" si="20"/>
        <v/>
      </c>
      <c r="AD49" s="62" t="str">
        <f t="shared" si="20"/>
        <v/>
      </c>
      <c r="AE49" s="63" t="str">
        <f t="shared" si="20"/>
        <v/>
      </c>
      <c r="AF49" s="41" t="str">
        <f t="shared" si="20"/>
        <v/>
      </c>
      <c r="AG49" s="62" t="str">
        <f t="shared" si="20"/>
        <v/>
      </c>
      <c r="AH49" s="63" t="str">
        <f t="shared" si="20"/>
        <v/>
      </c>
      <c r="AI49" s="41" t="str">
        <f t="shared" si="20"/>
        <v/>
      </c>
    </row>
    <row r="50" spans="1:35" x14ac:dyDescent="0.2">
      <c r="A50" s="54">
        <f t="shared" si="21"/>
        <v>48</v>
      </c>
      <c r="B50" s="59"/>
      <c r="C50" s="59"/>
      <c r="D50" s="59"/>
      <c r="E50" s="59"/>
      <c r="F50" s="59"/>
      <c r="G50" s="59"/>
      <c r="H50" s="59"/>
      <c r="I50" s="59"/>
      <c r="J50" s="59"/>
      <c r="K50" s="55">
        <f t="shared" si="16"/>
        <v>0</v>
      </c>
      <c r="L50" s="59"/>
      <c r="M50" s="55" t="str">
        <f t="shared" si="17"/>
        <v>-</v>
      </c>
      <c r="R50" s="62" t="str">
        <f t="shared" si="18"/>
        <v/>
      </c>
      <c r="S50" s="63" t="str">
        <f t="shared" si="18"/>
        <v/>
      </c>
      <c r="T50" s="63" t="str">
        <f t="shared" si="18"/>
        <v/>
      </c>
      <c r="U50" s="62" t="str">
        <f t="shared" si="18"/>
        <v/>
      </c>
      <c r="V50" s="63" t="str">
        <f t="shared" si="18"/>
        <v/>
      </c>
      <c r="W50" s="41" t="str">
        <f t="shared" si="18"/>
        <v/>
      </c>
      <c r="X50" s="62" t="str">
        <f t="shared" si="19"/>
        <v/>
      </c>
      <c r="Y50" s="63" t="str">
        <f t="shared" si="19"/>
        <v/>
      </c>
      <c r="Z50" s="41" t="str">
        <f t="shared" si="19"/>
        <v/>
      </c>
      <c r="AA50" s="62" t="str">
        <f t="shared" si="20"/>
        <v/>
      </c>
      <c r="AB50" s="63" t="str">
        <f t="shared" si="20"/>
        <v/>
      </c>
      <c r="AC50" s="63" t="str">
        <f t="shared" si="20"/>
        <v/>
      </c>
      <c r="AD50" s="62" t="str">
        <f t="shared" si="20"/>
        <v/>
      </c>
      <c r="AE50" s="63" t="str">
        <f t="shared" si="20"/>
        <v/>
      </c>
      <c r="AF50" s="41" t="str">
        <f t="shared" si="20"/>
        <v/>
      </c>
      <c r="AG50" s="62" t="str">
        <f t="shared" si="20"/>
        <v/>
      </c>
      <c r="AH50" s="63" t="str">
        <f t="shared" si="20"/>
        <v/>
      </c>
      <c r="AI50" s="41" t="str">
        <f t="shared" si="20"/>
        <v/>
      </c>
    </row>
    <row r="51" spans="1:35" x14ac:dyDescent="0.2">
      <c r="A51" s="54">
        <f t="shared" si="21"/>
        <v>49</v>
      </c>
      <c r="B51" s="59"/>
      <c r="C51" s="59"/>
      <c r="D51" s="59"/>
      <c r="E51" s="59"/>
      <c r="F51" s="59"/>
      <c r="G51" s="59"/>
      <c r="H51" s="59"/>
      <c r="I51" s="59"/>
      <c r="J51" s="59"/>
      <c r="K51" s="55">
        <f t="shared" si="16"/>
        <v>0</v>
      </c>
      <c r="L51" s="59"/>
      <c r="M51" s="55" t="str">
        <f t="shared" si="17"/>
        <v>-</v>
      </c>
      <c r="R51" s="62" t="str">
        <f t="shared" si="18"/>
        <v/>
      </c>
      <c r="S51" s="63" t="str">
        <f t="shared" si="18"/>
        <v/>
      </c>
      <c r="T51" s="63" t="str">
        <f t="shared" si="18"/>
        <v/>
      </c>
      <c r="U51" s="62" t="str">
        <f t="shared" si="18"/>
        <v/>
      </c>
      <c r="V51" s="63" t="str">
        <f t="shared" si="18"/>
        <v/>
      </c>
      <c r="W51" s="41" t="str">
        <f t="shared" si="18"/>
        <v/>
      </c>
      <c r="X51" s="62" t="str">
        <f t="shared" si="19"/>
        <v/>
      </c>
      <c r="Y51" s="63" t="str">
        <f t="shared" si="19"/>
        <v/>
      </c>
      <c r="Z51" s="41" t="str">
        <f t="shared" si="19"/>
        <v/>
      </c>
      <c r="AA51" s="62" t="str">
        <f t="shared" si="20"/>
        <v/>
      </c>
      <c r="AB51" s="63" t="str">
        <f t="shared" si="20"/>
        <v/>
      </c>
      <c r="AC51" s="63" t="str">
        <f t="shared" si="20"/>
        <v/>
      </c>
      <c r="AD51" s="62" t="str">
        <f t="shared" si="20"/>
        <v/>
      </c>
      <c r="AE51" s="63" t="str">
        <f t="shared" si="20"/>
        <v/>
      </c>
      <c r="AF51" s="41" t="str">
        <f t="shared" si="20"/>
        <v/>
      </c>
      <c r="AG51" s="62" t="str">
        <f t="shared" si="20"/>
        <v/>
      </c>
      <c r="AH51" s="63" t="str">
        <f t="shared" si="20"/>
        <v/>
      </c>
      <c r="AI51" s="41" t="str">
        <f t="shared" si="20"/>
        <v/>
      </c>
    </row>
    <row r="52" spans="1:35" x14ac:dyDescent="0.2">
      <c r="A52" s="54">
        <f t="shared" si="21"/>
        <v>50</v>
      </c>
      <c r="B52" s="59"/>
      <c r="C52" s="59"/>
      <c r="D52" s="59"/>
      <c r="E52" s="59"/>
      <c r="F52" s="59"/>
      <c r="G52" s="59"/>
      <c r="H52" s="59"/>
      <c r="I52" s="59"/>
      <c r="J52" s="59"/>
      <c r="K52" s="55">
        <f>IF(AND(L52&lt;=$O$3,L52&gt;=$N$3),1,0)</f>
        <v>0</v>
      </c>
      <c r="L52" s="59"/>
      <c r="M52" s="55" t="str">
        <f>IF(OR(AND(L52&lt;=$N$3+$Q$3,L52&gt;=$N$3-$Q$3),AND(L52&lt;=$O$3+$Q$3,L52&gt;=$O$3-$Q$3)),"X",IF(AND(L52&lt;=$O$3,L52&gt;=$N$3),"+","-"))</f>
        <v>-</v>
      </c>
      <c r="R52" s="104" t="str">
        <f t="shared" ref="R52:W52" si="22">IF(ISBLANK(B52),"",IF(B52=E52,B52,IF(B52=0,-2,-1)))</f>
        <v/>
      </c>
      <c r="S52" s="105" t="str">
        <f t="shared" si="22"/>
        <v/>
      </c>
      <c r="T52" s="105" t="str">
        <f t="shared" si="22"/>
        <v/>
      </c>
      <c r="U52" s="104" t="str">
        <f t="shared" si="22"/>
        <v/>
      </c>
      <c r="V52" s="105" t="str">
        <f t="shared" si="22"/>
        <v/>
      </c>
      <c r="W52" s="106" t="str">
        <f t="shared" si="22"/>
        <v/>
      </c>
      <c r="X52" s="104" t="str">
        <f>IF(ISBLANK(H52),"",IF(H52=B52,H52,IF(H52=0,-2,-1)))</f>
        <v/>
      </c>
      <c r="Y52" s="105" t="str">
        <f>IF(ISBLANK(I52),"",IF(I52=C52,I52,IF(I52=0,-2,-1)))</f>
        <v/>
      </c>
      <c r="Z52" s="106" t="str">
        <f>IF(ISBLANK(J52),"",IF(J52=D52,J52,IF(J52=0,-2,-1)))</f>
        <v/>
      </c>
      <c r="AA52" s="104" t="str">
        <f t="shared" ref="AA52:AI52" si="23">IF(ISBLANK(B52),"",IF(B52=$K52,B52,IF(B52=0,-2,-1)))</f>
        <v/>
      </c>
      <c r="AB52" s="105" t="str">
        <f t="shared" si="23"/>
        <v/>
      </c>
      <c r="AC52" s="105" t="str">
        <f t="shared" si="23"/>
        <v/>
      </c>
      <c r="AD52" s="104" t="str">
        <f t="shared" si="23"/>
        <v/>
      </c>
      <c r="AE52" s="105" t="str">
        <f t="shared" si="23"/>
        <v/>
      </c>
      <c r="AF52" s="106" t="str">
        <f t="shared" si="23"/>
        <v/>
      </c>
      <c r="AG52" s="104" t="str">
        <f t="shared" si="23"/>
        <v/>
      </c>
      <c r="AH52" s="105" t="str">
        <f t="shared" si="23"/>
        <v/>
      </c>
      <c r="AI52" s="106" t="str">
        <f t="shared" si="23"/>
        <v/>
      </c>
    </row>
    <row r="53" spans="1:35" x14ac:dyDescent="0.2">
      <c r="B53" s="51" t="s">
        <v>207</v>
      </c>
      <c r="M53" s="107" t="s">
        <v>208</v>
      </c>
    </row>
    <row r="54" spans="1:35" x14ac:dyDescent="0.2">
      <c r="B54" s="51" t="s">
        <v>209</v>
      </c>
      <c r="M54" s="107" t="s">
        <v>210</v>
      </c>
    </row>
    <row r="55" spans="1:35" x14ac:dyDescent="0.2">
      <c r="M55" s="51" t="s">
        <v>211</v>
      </c>
    </row>
  </sheetData>
  <phoneticPr fontId="3" type="noConversion"/>
  <pageMargins left="0.75" right="0.75" top="0.75" bottom="0.5" header="0.5" footer="0.5"/>
  <pageSetup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GAGER&amp;R</vt:lpstr>
      <vt:lpstr>Range Method</vt:lpstr>
      <vt:lpstr>Bias</vt:lpstr>
      <vt:lpstr>Linearity</vt:lpstr>
      <vt:lpstr>Attribute Gage Worksheet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Gage R&amp;R Template</dc:title>
  <dc:subject/>
  <dc:creator/>
  <cp:keywords/>
  <dc:description/>
  <cp:lastModifiedBy>admin</cp:lastModifiedBy>
  <cp:lastPrinted>2003-03-14T13:19:46Z</cp:lastPrinted>
  <dcterms:created xsi:type="dcterms:W3CDTF">1999-09-10T20:17:33Z</dcterms:created>
  <dcterms:modified xsi:type="dcterms:W3CDTF">2021-03-27T14:28:03Z</dcterms:modified>
  <cp:category/>
</cp:coreProperties>
</file>