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style4.xml" ContentType="application/vnd.ms-office.chart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21473209-8000-471D-B567-A698CC3B872F}" xr6:coauthVersionLast="47" xr6:coauthVersionMax="47" xr10:uidLastSave="{00000000-0000-0000-0000-000000000000}"/>
  <bookViews>
    <workbookView xWindow="-120" yWindow="-120" windowWidth="20730" windowHeight="11040" tabRatio="856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G7" i="20" l="1"/>
  <c r="G6" i="20"/>
  <c r="G5" i="20"/>
  <c r="G4" i="20"/>
  <c r="G3" i="20"/>
  <c r="G2" i="20"/>
  <c r="B6" i="6"/>
  <c r="B18" i="4"/>
  <c r="C18" i="4"/>
  <c r="D18" i="4"/>
  <c r="G8" i="20" l="1"/>
  <c r="H6" i="20" s="1"/>
  <c r="I2" i="20"/>
  <c r="I3" i="20" s="1"/>
  <c r="I4" i="20" s="1"/>
  <c r="I5" i="20" s="1"/>
  <c r="I6" i="20" s="1"/>
  <c r="I7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20" l="1"/>
  <c r="H3" i="20"/>
  <c r="H5" i="20"/>
  <c r="H7" i="20"/>
  <c r="H2" i="20"/>
  <c r="B13" i="19"/>
  <c r="H8" i="20" l="1"/>
  <c r="J2" i="20"/>
  <c r="J3" i="20" s="1"/>
  <c r="J4" i="20" s="1"/>
  <c r="J5" i="20" s="1"/>
  <c r="J6" i="20" s="1"/>
  <c r="J7" i="20" s="1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8" i="8" l="1"/>
  <c r="B10" i="8"/>
  <c r="B9" i="8"/>
  <c r="B5" i="8"/>
  <c r="B6" i="8"/>
  <c r="B11" i="8"/>
  <c r="B2" i="7"/>
  <c r="B7" i="7" s="1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9" i="2"/>
  <c r="E38" i="2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F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<sst xmlns="http://schemas.openxmlformats.org/spreadsheetml/2006/main" count="233" uniqueCount="152">
  <si>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</si>
  <si>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</si>
  <si>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</si>
  <si>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</si>
  <si>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</si>
  <si>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</si>
  <si>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</si>
  <si>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</si>
  <si>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</si>
  <si>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</si>
  <si>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</si>
  <si>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</si>
  <si>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</si>
  <si>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</si>
  <si>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</si>
  <si>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</si>
  <si>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</si>
  <si>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</si>
  <si>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</si>
  <si>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</si>
  <si>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</si>
  <si>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</si>
  <si>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</si>
  <si>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</si>
  <si>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</si>
  <si>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</si>
  <si>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</si>
  <si>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</si>
  <si>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</si>
  <si>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</si>
  <si>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</si>
  <si>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</si>
  <si>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</si>
  <si>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</si>
  <si>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</si>
  <si>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</si>
  <si>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</si>
  <si>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</si>
  <si>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</si>
  <si>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</si>
  <si>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p-valor (bicaudal)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</si>
  <si>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</si>
  <si>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</si>
  <si>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</si>
  <si>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</si>
  <si>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</si>
  <si>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</si>
  <si>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</si>
  <si>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</si>
  <si>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</si>
  <si>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</si>
  <si>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</si>
  <si>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</si>
  <si>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</si>
  <si>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</si>
  <si>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</si>
  <si>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</si>
  <si>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</si>
  <si>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</si>
  <si>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</si>
  <si>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</si>
  <si>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</si>
  <si>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</si>
  <si>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</si>
  <si>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</si>
  <si>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</si>
  <si>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&gt; frequência observada</t>
  </si>
  <si>
    <t>&gt; frequência esperada</t>
  </si>
  <si>
    <t>Estatística Qui²</t>
  </si>
  <si>
    <t>Valor Crítico Qui²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</si>
  <si>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</si>
  <si>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</si>
  <si>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</si>
  <si>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</si>
  <si>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</si>
  <si>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</si>
  <si>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Parâmetros da dist. binomial negativa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</si>
  <si>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</si>
  <si>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</si>
  <si>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</si>
  <si>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</si>
  <si>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</si>
  <si>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</si>
  <si>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</si>
  <si>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</si>
  <si>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</si>
  <si>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</si>
  <si>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</si>
  <si>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</si>
  <si>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</si>
  <si>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</si>
  <si>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</si>
  <si>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Estatística t</t>
  </si>
  <si>
    <t>Calorias</t>
  </si>
  <si>
    <t>Afirmação</t>
  </si>
  <si>
    <t>p-valor t (bicaudal)</t>
  </si>
  <si>
    <t>Valor Crítico T (bicaudal)</t>
  </si>
  <si>
    <t>Z</t>
  </si>
  <si>
    <t>g</t>
  </si>
  <si>
    <t>Padrão</t>
  </si>
  <si>
    <t>Estatística Z</t>
  </si>
  <si>
    <t>Valor Crítico Z (unicaudal)</t>
  </si>
  <si>
    <t>Dist Z</t>
  </si>
  <si>
    <t>p-valor (unicaudal)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</si>
  <si>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</si>
  <si>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</si>
  <si>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</si>
  <si>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</si>
  <si>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</si>
  <si>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</si>
  <si>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</si>
  <si>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</si>
  <si>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</si>
  <si>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</si>
  <si>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</si>
  <si>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</si>
  <si>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</si>
  <si>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</si>
  <si>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</si>
  <si>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</si>
  <si>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</si>
  <si>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</si>
  <si>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</si>
  <si>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</si>
  <si>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</si>
  <si>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</si>
  <si>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</si>
  <si>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</si>
  <si>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</si>
  <si>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</si>
  <si>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</si>
  <si>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</si>
  <si>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</si>
  <si>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</si>
  <si>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(*) Subtrai a área que não é de interesse (vitórias em 6 ou menos jogadas)</t>
  </si>
  <si>
    <t>Fávero, Luiz Paulo; Belfiore, Patrícia. (2024). Manual de análise de dados: estatística e machine learning com Excel®, SPSS®, Stata®, R® e Python®. 2 ed. Rio de Janeiro: LTC.</t>
  </si>
  <si>
    <t>k (quantidade de ocorrências de interesse)</t>
  </si>
  <si>
    <t>Freq. Absoluta Acumulada</t>
  </si>
  <si>
    <t>ρ = 0</t>
  </si>
  <si>
    <t>ρ ≠ 0</t>
  </si>
  <si>
    <t>Não há diferença significativa entre as frequências observadas e esperadas</t>
  </si>
  <si>
    <t>Há diferença significativa entre as frequências observadas e esperadas</t>
  </si>
  <si>
    <t>Como o valor calculado para a estatística Qui² é maior do que o valor crítico para o nível de significância de 5%, a H0 é rejeitada. Portanto, há diferenças significativas nas preferências dos leitores.</t>
  </si>
  <si>
    <t>H0 é rejeitada ao nível de significância de 5%, ou seja, a variância da amostra A é significativamente maior do que a variância da amosta B.</t>
  </si>
  <si>
    <t>Hospital A</t>
  </si>
  <si>
    <t>Hospital B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</si>
  <si>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60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</si>
  <si>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</t>
    </r>
    <r>
      <rPr>
        <i/>
        <sz val="9.9"/>
        <color theme="1"/>
        <rFont val="Aptos Narrow"/>
        <family val="2"/>
      </rPr>
      <t>≠</t>
    </r>
    <r>
      <rPr>
        <i/>
        <sz val="8.9"/>
        <color theme="1"/>
        <rFont val="Calibri"/>
        <family val="2"/>
      </rPr>
      <t xml:space="preserve"> 60</t>
    </r>
  </si>
  <si>
    <t>Conclusão: como o valor calculado para a estatística t está na região crítica, rejeita-se a hipótese nula e conclui-se que as médias são estatisticamente diferentes.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</si>
  <si>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</si>
  <si>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&gt; 8</t>
    </r>
  </si>
  <si>
    <t>Conclusão: como o valor calculado para a estatística Z está na região crítica, rejeita-se a hipótese nula e, portanto, conclui-se que a quantidade está acima do padrão.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</si>
</sst>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%"/>
    <numFmt numFmtId="168" formatCode="0.0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  <font>
      <i/>
      <sz val="8.9"/>
      <color theme="1"/>
      <name val="Calibri"/>
      <family val="2"/>
    </font>
    <font>
      <i/>
      <sz val="9.9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2" fontId="1" fillId="11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2" borderId="1" xfId="0" applyNumberFormat="1" applyFont="1" applyFill="1" applyBorder="1" applyAlignment="1">
      <alignment horizontal="center"/>
    </xf>
    <xf numFmtId="4" fontId="1" fillId="13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95AA2B-36F1-4D5F-A892-3638EE33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582707</xdr:colOff>
      <xdr:row>11</xdr:row>
      <xdr:rowOff>22412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D85C9F-D34E-40C3-99ED-1C88A1C16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9274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145676</xdr:rowOff>
    </xdr:from>
    <xdr:to>
      <xdr:col>4</xdr:col>
      <xdr:colOff>587307</xdr:colOff>
      <xdr:row>10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DA059F-2D85-4CE0-B3C5-814671F6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1871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22412</xdr:rowOff>
    </xdr:from>
    <xdr:to>
      <xdr:col>4</xdr:col>
      <xdr:colOff>582707</xdr:colOff>
      <xdr:row>12</xdr:row>
      <xdr:rowOff>44824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AFF8FC-B802-4F12-B127-3A639824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2140324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123264</xdr:rowOff>
    </xdr:from>
    <xdr:to>
      <xdr:col>4</xdr:col>
      <xdr:colOff>571497</xdr:colOff>
      <xdr:row>24</xdr:row>
      <xdr:rowOff>145675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836B20-225C-49FC-AA21-D1591238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538382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179295</xdr:rowOff>
    </xdr:from>
    <xdr:to>
      <xdr:col>4</xdr:col>
      <xdr:colOff>571501</xdr:colOff>
      <xdr:row>26</xdr:row>
      <xdr:rowOff>11207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E8818C7-AF9F-4D89-BFC1-62F6CDAA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784913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tabSelected="1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38" t="s">
        <v>118</v>
      </c>
      <c r="B1" s="38" t="s">
        <v>119</v>
      </c>
      <c r="D1" s="38" t="s">
        <v>120</v>
      </c>
      <c r="F1" s="38" t="s">
        <v>121</v>
      </c>
      <c r="G1" s="38" t="s">
        <v>122</v>
      </c>
      <c r="H1" s="38" t="s">
        <v>123</v>
      </c>
      <c r="I1" s="38" t="s">
        <v>137</v>
      </c>
      <c r="J1" s="38" t="s">
        <v>124</v>
      </c>
      <c r="K1" s="20"/>
    </row>
    <row r="2" spans="1:11" x14ac:dyDescent="0.25">
      <c r="A2" s="3">
        <v>1</v>
      </c>
      <c r="B2" s="61">
        <v>2894</v>
      </c>
      <c r="D2" s="62">
        <v>1100</v>
      </c>
      <c r="F2" s="38" t="s">
        <v>125</v>
      </c>
      <c r="G2" s="3">
        <f>COUNTIF($B:$B,"&lt;=2000")</f>
        <v>9</v>
      </c>
      <c r="H2" s="11">
        <f>+G2/$G$8</f>
        <v>0.18</v>
      </c>
      <c r="I2" s="63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61">
        <v>3448</v>
      </c>
      <c r="D3" s="62">
        <v>1130</v>
      </c>
      <c r="F3" s="38" t="s">
        <v>126</v>
      </c>
      <c r="G3" s="3">
        <f>COUNTIFS($B:$B,"&gt;2000",$B:$B,"&lt;=4000")</f>
        <v>19</v>
      </c>
      <c r="H3" s="11">
        <f t="shared" ref="H3:H7" si="0">+G3/$G$8</f>
        <v>0.38</v>
      </c>
      <c r="I3" s="63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61">
        <v>1461</v>
      </c>
      <c r="D4" s="62">
        <v>1241</v>
      </c>
      <c r="F4" s="64" t="s">
        <v>127</v>
      </c>
      <c r="G4" s="3">
        <f>COUNTIFS($B:$B,"&gt;4000",$B:$B,"&lt;=6000")</f>
        <v>11</v>
      </c>
      <c r="H4" s="11">
        <f t="shared" si="0"/>
        <v>0.22</v>
      </c>
      <c r="I4" s="63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61">
        <v>2224</v>
      </c>
      <c r="D5" s="62">
        <v>1461</v>
      </c>
      <c r="F5" s="38" t="s">
        <v>128</v>
      </c>
      <c r="G5" s="3">
        <f>COUNTIFS($B:$B,"&gt;6000",$B:$B,"&lt;=8000")</f>
        <v>5</v>
      </c>
      <c r="H5" s="11">
        <f t="shared" si="0"/>
        <v>0.1</v>
      </c>
      <c r="I5" s="63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61">
        <v>2501</v>
      </c>
      <c r="D6" s="62">
        <v>1500</v>
      </c>
      <c r="F6" s="38" t="s">
        <v>129</v>
      </c>
      <c r="G6" s="3">
        <f>COUNTIFS($B:$B,"&gt;8000",$B:$B,"&lt;=10000")</f>
        <v>4</v>
      </c>
      <c r="H6" s="11">
        <f t="shared" si="0"/>
        <v>0.08</v>
      </c>
      <c r="I6" s="63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61">
        <v>1100</v>
      </c>
      <c r="D7" s="62">
        <v>1720</v>
      </c>
      <c r="F7" s="38" t="s">
        <v>130</v>
      </c>
      <c r="G7" s="3">
        <f>COUNTIFS($B:$B,"&gt;10000",$B:$B,"&lt;=12000")</f>
        <v>2</v>
      </c>
      <c r="H7" s="11">
        <f t="shared" si="0"/>
        <v>0.04</v>
      </c>
      <c r="I7" s="63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61">
        <v>3560</v>
      </c>
      <c r="D8" s="62">
        <v>1855</v>
      </c>
      <c r="F8" s="38" t="s">
        <v>27</v>
      </c>
      <c r="G8" s="38">
        <f>+SUM(G2:G7)</f>
        <v>50</v>
      </c>
      <c r="H8" s="42">
        <f>+SUM(H2:H7)</f>
        <v>1</v>
      </c>
      <c r="I8" s="69"/>
      <c r="J8" s="69"/>
    </row>
    <row r="9" spans="1:11" x14ac:dyDescent="0.25">
      <c r="A9" s="3">
        <v>8</v>
      </c>
      <c r="B9" s="61">
        <v>5511</v>
      </c>
      <c r="D9" s="62">
        <v>1900</v>
      </c>
    </row>
    <row r="10" spans="1:11" x14ac:dyDescent="0.25">
      <c r="A10" s="3">
        <v>9</v>
      </c>
      <c r="B10" s="61">
        <v>2901</v>
      </c>
      <c r="D10" s="62">
        <v>2000</v>
      </c>
    </row>
    <row r="11" spans="1:11" x14ac:dyDescent="0.25">
      <c r="A11" s="3">
        <v>10</v>
      </c>
      <c r="B11" s="61">
        <v>10128</v>
      </c>
      <c r="D11" s="65">
        <v>2150</v>
      </c>
    </row>
    <row r="12" spans="1:11" x14ac:dyDescent="0.25">
      <c r="A12" s="3">
        <v>11</v>
      </c>
      <c r="B12" s="61">
        <v>1855</v>
      </c>
      <c r="D12" s="65">
        <v>2224</v>
      </c>
    </row>
    <row r="13" spans="1:11" x14ac:dyDescent="0.25">
      <c r="A13" s="3">
        <v>12</v>
      </c>
      <c r="B13" s="61">
        <v>3161</v>
      </c>
      <c r="D13" s="65">
        <v>2501</v>
      </c>
    </row>
    <row r="14" spans="1:11" x14ac:dyDescent="0.25">
      <c r="A14" s="3">
        <v>13</v>
      </c>
      <c r="B14" s="61">
        <v>8630</v>
      </c>
      <c r="D14" s="65">
        <v>2556</v>
      </c>
    </row>
    <row r="15" spans="1:11" x14ac:dyDescent="0.25">
      <c r="A15" s="3">
        <v>14</v>
      </c>
      <c r="B15" s="61">
        <v>6201</v>
      </c>
      <c r="D15" s="65">
        <v>2601</v>
      </c>
    </row>
    <row r="16" spans="1:11" x14ac:dyDescent="0.25">
      <c r="A16" s="3">
        <v>15</v>
      </c>
      <c r="B16" s="61">
        <v>4130</v>
      </c>
      <c r="D16" s="65">
        <v>2736</v>
      </c>
    </row>
    <row r="17" spans="1:4" x14ac:dyDescent="0.25">
      <c r="A17" s="3">
        <v>16</v>
      </c>
      <c r="B17" s="61">
        <v>2736</v>
      </c>
      <c r="D17" s="65">
        <v>2800</v>
      </c>
    </row>
    <row r="18" spans="1:4" x14ac:dyDescent="0.25">
      <c r="A18" s="3">
        <v>17</v>
      </c>
      <c r="B18" s="61">
        <v>4448</v>
      </c>
      <c r="D18" s="65">
        <v>2894</v>
      </c>
    </row>
    <row r="19" spans="1:4" x14ac:dyDescent="0.25">
      <c r="A19" s="3">
        <v>18</v>
      </c>
      <c r="B19" s="61">
        <v>2150</v>
      </c>
      <c r="D19" s="65">
        <v>2901</v>
      </c>
    </row>
    <row r="20" spans="1:4" x14ac:dyDescent="0.25">
      <c r="A20" s="3">
        <v>19</v>
      </c>
      <c r="B20" s="61">
        <v>4595</v>
      </c>
      <c r="D20" s="65">
        <v>2901</v>
      </c>
    </row>
    <row r="21" spans="1:4" x14ac:dyDescent="0.25">
      <c r="A21" s="3">
        <v>20</v>
      </c>
      <c r="B21" s="61">
        <v>5561</v>
      </c>
      <c r="D21" s="65">
        <v>3161</v>
      </c>
    </row>
    <row r="22" spans="1:4" x14ac:dyDescent="0.25">
      <c r="A22" s="3">
        <v>21</v>
      </c>
      <c r="B22" s="61">
        <v>2800</v>
      </c>
      <c r="D22" s="65">
        <v>3226</v>
      </c>
    </row>
    <row r="23" spans="1:4" x14ac:dyDescent="0.25">
      <c r="A23" s="3">
        <v>22</v>
      </c>
      <c r="B23" s="61">
        <v>9538</v>
      </c>
      <c r="D23" s="65">
        <v>3250</v>
      </c>
    </row>
    <row r="24" spans="1:4" x14ac:dyDescent="0.25">
      <c r="A24" s="3">
        <v>23</v>
      </c>
      <c r="B24" s="61">
        <v>2000</v>
      </c>
      <c r="D24" s="65">
        <v>3448</v>
      </c>
    </row>
    <row r="25" spans="1:4" x14ac:dyDescent="0.25">
      <c r="A25" s="3">
        <v>24</v>
      </c>
      <c r="B25" s="61">
        <v>3226</v>
      </c>
      <c r="D25" s="65">
        <v>3508</v>
      </c>
    </row>
    <row r="26" spans="1:4" x14ac:dyDescent="0.25">
      <c r="A26" s="3">
        <v>25</v>
      </c>
      <c r="B26" s="61">
        <v>1900</v>
      </c>
      <c r="D26" s="65">
        <v>3560</v>
      </c>
    </row>
    <row r="27" spans="1:4" x14ac:dyDescent="0.25">
      <c r="A27" s="3">
        <v>26</v>
      </c>
      <c r="B27" s="61">
        <v>7665</v>
      </c>
      <c r="D27" s="65">
        <v>3860</v>
      </c>
    </row>
    <row r="28" spans="1:4" x14ac:dyDescent="0.25">
      <c r="A28" s="3">
        <v>27</v>
      </c>
      <c r="B28" s="61">
        <v>3890</v>
      </c>
      <c r="D28" s="65">
        <v>3890</v>
      </c>
    </row>
    <row r="29" spans="1:4" x14ac:dyDescent="0.25">
      <c r="A29" s="3">
        <v>28</v>
      </c>
      <c r="B29" s="61">
        <v>6590</v>
      </c>
      <c r="D29" s="65">
        <v>3900</v>
      </c>
    </row>
    <row r="30" spans="1:4" x14ac:dyDescent="0.25">
      <c r="A30" s="3">
        <v>29</v>
      </c>
      <c r="B30" s="61">
        <v>1241</v>
      </c>
      <c r="D30" s="66">
        <v>4121</v>
      </c>
    </row>
    <row r="31" spans="1:4" x14ac:dyDescent="0.25">
      <c r="A31" s="3">
        <v>30</v>
      </c>
      <c r="B31" s="61">
        <v>1720</v>
      </c>
      <c r="D31" s="66">
        <v>4130</v>
      </c>
    </row>
    <row r="32" spans="1:4" x14ac:dyDescent="0.25">
      <c r="A32" s="3">
        <v>31</v>
      </c>
      <c r="B32" s="61">
        <v>2556</v>
      </c>
      <c r="D32" s="66">
        <v>4448</v>
      </c>
    </row>
    <row r="33" spans="1:4" x14ac:dyDescent="0.25">
      <c r="A33" s="3">
        <v>32</v>
      </c>
      <c r="B33" s="61">
        <v>4730</v>
      </c>
      <c r="D33" s="66">
        <v>4595</v>
      </c>
    </row>
    <row r="34" spans="1:4" x14ac:dyDescent="0.25">
      <c r="A34" s="3">
        <v>33</v>
      </c>
      <c r="B34" s="61">
        <v>4745</v>
      </c>
      <c r="D34" s="66">
        <v>4730</v>
      </c>
    </row>
    <row r="35" spans="1:4" x14ac:dyDescent="0.25">
      <c r="A35" s="3">
        <v>34</v>
      </c>
      <c r="B35" s="61">
        <v>8550</v>
      </c>
      <c r="D35" s="66">
        <v>4745</v>
      </c>
    </row>
    <row r="36" spans="1:4" x14ac:dyDescent="0.25">
      <c r="A36" s="3">
        <v>35</v>
      </c>
      <c r="B36" s="61">
        <v>3860</v>
      </c>
      <c r="D36" s="66">
        <v>4871</v>
      </c>
    </row>
    <row r="37" spans="1:4" x14ac:dyDescent="0.25">
      <c r="A37" s="3">
        <v>36</v>
      </c>
      <c r="B37" s="61">
        <v>11320</v>
      </c>
      <c r="D37" s="66">
        <v>4999</v>
      </c>
    </row>
    <row r="38" spans="1:4" x14ac:dyDescent="0.25">
      <c r="A38" s="3">
        <v>37</v>
      </c>
      <c r="B38" s="61">
        <v>6125</v>
      </c>
      <c r="D38" s="66">
        <v>5511</v>
      </c>
    </row>
    <row r="39" spans="1:4" x14ac:dyDescent="0.25">
      <c r="A39" s="3">
        <v>38</v>
      </c>
      <c r="B39" s="61">
        <v>5606</v>
      </c>
      <c r="D39" s="66">
        <v>5561</v>
      </c>
    </row>
    <row r="40" spans="1:4" x14ac:dyDescent="0.25">
      <c r="A40" s="3">
        <v>39</v>
      </c>
      <c r="B40" s="61">
        <v>3250</v>
      </c>
      <c r="D40" s="66">
        <v>5606</v>
      </c>
    </row>
    <row r="41" spans="1:4" x14ac:dyDescent="0.25">
      <c r="A41" s="3">
        <v>40</v>
      </c>
      <c r="B41" s="61">
        <v>1500</v>
      </c>
      <c r="D41" s="67">
        <v>6125</v>
      </c>
    </row>
    <row r="42" spans="1:4" x14ac:dyDescent="0.25">
      <c r="A42" s="3">
        <v>41</v>
      </c>
      <c r="B42" s="61">
        <v>9216</v>
      </c>
      <c r="D42" s="67">
        <v>6201</v>
      </c>
    </row>
    <row r="43" spans="1:4" x14ac:dyDescent="0.25">
      <c r="A43" s="3">
        <v>42</v>
      </c>
      <c r="B43" s="61">
        <v>4999</v>
      </c>
      <c r="D43" s="67">
        <v>6590</v>
      </c>
    </row>
    <row r="44" spans="1:4" x14ac:dyDescent="0.25">
      <c r="A44" s="3">
        <v>43</v>
      </c>
      <c r="B44" s="61">
        <v>3900</v>
      </c>
      <c r="D44" s="67">
        <v>7000</v>
      </c>
    </row>
    <row r="45" spans="1:4" x14ac:dyDescent="0.25">
      <c r="A45" s="3">
        <v>44</v>
      </c>
      <c r="B45" s="61">
        <v>7000</v>
      </c>
      <c r="D45" s="67">
        <v>7665</v>
      </c>
    </row>
    <row r="46" spans="1:4" x14ac:dyDescent="0.25">
      <c r="A46" s="3">
        <v>45</v>
      </c>
      <c r="B46" s="61">
        <v>3508</v>
      </c>
      <c r="D46" s="62">
        <v>8550</v>
      </c>
    </row>
    <row r="47" spans="1:4" x14ac:dyDescent="0.25">
      <c r="A47" s="3">
        <v>46</v>
      </c>
      <c r="B47" s="61">
        <v>1130</v>
      </c>
      <c r="D47" s="62">
        <v>8630</v>
      </c>
    </row>
    <row r="48" spans="1:4" x14ac:dyDescent="0.25">
      <c r="A48" s="3">
        <v>47</v>
      </c>
      <c r="B48" s="61">
        <v>4121</v>
      </c>
      <c r="D48" s="62">
        <v>9216</v>
      </c>
    </row>
    <row r="49" spans="1:4" x14ac:dyDescent="0.25">
      <c r="A49" s="3">
        <v>48</v>
      </c>
      <c r="B49" s="61">
        <v>2601</v>
      </c>
      <c r="D49" s="62">
        <v>9538</v>
      </c>
    </row>
    <row r="50" spans="1:4" x14ac:dyDescent="0.25">
      <c r="A50" s="3">
        <v>49</v>
      </c>
      <c r="B50" s="61">
        <v>2901</v>
      </c>
      <c r="D50" s="65">
        <v>10128</v>
      </c>
    </row>
    <row r="51" spans="1:4" x14ac:dyDescent="0.25">
      <c r="A51" s="3">
        <v>50</v>
      </c>
      <c r="B51" s="61">
        <v>4871</v>
      </c>
      <c r="D51" s="65">
        <v>11320</v>
      </c>
    </row>
  </sheetData>
  <sortState xmlns:xlrd2="http://schemas.microsoft.com/office/spreadsheetml/2017/richdata2" ref="D2:D51">
    <sortCondition ref="D1:D51"/>
  </sortState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87</v>
      </c>
      <c r="B1" s="5" t="s">
        <v>93</v>
      </c>
      <c r="E1" s="47" t="s">
        <v>88</v>
      </c>
      <c r="F1" s="47" t="s">
        <v>89</v>
      </c>
      <c r="P1" s="80" t="s">
        <v>135</v>
      </c>
      <c r="Q1" s="81"/>
      <c r="R1" s="81"/>
      <c r="S1" s="81"/>
      <c r="T1" s="81"/>
      <c r="U1" s="82"/>
    </row>
    <row r="2" spans="1:21" x14ac:dyDescent="0.25">
      <c r="A2" s="5" t="s">
        <v>90</v>
      </c>
      <c r="B2" s="12">
        <v>36</v>
      </c>
      <c r="E2" s="18">
        <v>-5</v>
      </c>
      <c r="F2" s="18">
        <f>_xlfn.T.DIST(E2,24,FALSE)</f>
        <v>5.2671658362090631E-5</v>
      </c>
      <c r="P2" s="83"/>
      <c r="Q2" s="84"/>
      <c r="R2" s="84"/>
      <c r="S2" s="84"/>
      <c r="T2" s="84"/>
      <c r="U2" s="85"/>
    </row>
    <row r="3" spans="1:21" x14ac:dyDescent="0.25">
      <c r="A3" s="5" t="s">
        <v>6</v>
      </c>
      <c r="B3" s="18">
        <v>65</v>
      </c>
      <c r="E3" s="18">
        <v>-4.9000000000000004</v>
      </c>
      <c r="F3" s="18">
        <f t="shared" ref="F3:F66" si="0">_xlfn.T.DIST(E3,24,FALSE)</f>
        <v>6.7980079483886916E-5</v>
      </c>
      <c r="P3" s="83"/>
      <c r="Q3" s="84"/>
      <c r="R3" s="84"/>
      <c r="S3" s="84"/>
      <c r="T3" s="84"/>
      <c r="U3" s="85"/>
    </row>
    <row r="4" spans="1:21" x14ac:dyDescent="0.25">
      <c r="A4" s="5" t="s">
        <v>2</v>
      </c>
      <c r="B4" s="48">
        <v>3.5</v>
      </c>
      <c r="E4" s="18">
        <v>-4.8</v>
      </c>
      <c r="F4" s="18">
        <f t="shared" si="0"/>
        <v>8.773776745425236E-5</v>
      </c>
      <c r="P4" s="83"/>
      <c r="Q4" s="84"/>
      <c r="R4" s="84"/>
      <c r="S4" s="84"/>
      <c r="T4" s="84"/>
      <c r="U4" s="85"/>
    </row>
    <row r="5" spans="1:21" x14ac:dyDescent="0.25">
      <c r="E5" s="18">
        <v>-4.7</v>
      </c>
      <c r="F5" s="18">
        <f t="shared" si="0"/>
        <v>1.1322547233945233E-4</v>
      </c>
      <c r="P5" s="83"/>
      <c r="Q5" s="84"/>
      <c r="R5" s="84"/>
      <c r="S5" s="84"/>
      <c r="T5" s="84"/>
      <c r="U5" s="85"/>
    </row>
    <row r="6" spans="1:21" x14ac:dyDescent="0.25">
      <c r="A6" s="49" t="s">
        <v>91</v>
      </c>
      <c r="B6" s="49" t="s">
        <v>94</v>
      </c>
      <c r="E6" s="18">
        <v>-4.5999999999999996</v>
      </c>
      <c r="F6" s="18">
        <f t="shared" si="0"/>
        <v>1.4608439523534675E-4</v>
      </c>
      <c r="P6" s="86"/>
      <c r="Q6" s="87"/>
      <c r="R6" s="87"/>
      <c r="S6" s="87"/>
      <c r="T6" s="87"/>
      <c r="U6" s="88"/>
    </row>
    <row r="7" spans="1:21" x14ac:dyDescent="0.25">
      <c r="A7" s="49" t="s">
        <v>93</v>
      </c>
      <c r="B7" s="18">
        <v>60</v>
      </c>
      <c r="E7" s="18">
        <v>-4.5</v>
      </c>
      <c r="F7" s="18">
        <f t="shared" si="0"/>
        <v>1.8841351629347321E-4</v>
      </c>
    </row>
    <row r="8" spans="1:21" x14ac:dyDescent="0.25">
      <c r="E8" s="18">
        <v>-4.4000000000000004</v>
      </c>
      <c r="F8" s="18">
        <f t="shared" si="0"/>
        <v>2.4289136387486981E-4</v>
      </c>
    </row>
    <row r="9" spans="1:21" x14ac:dyDescent="0.25">
      <c r="A9" s="19" t="s">
        <v>38</v>
      </c>
      <c r="B9" s="72" t="s">
        <v>146</v>
      </c>
      <c r="E9" s="18">
        <v>-4.3</v>
      </c>
      <c r="F9" s="18">
        <f t="shared" si="0"/>
        <v>3.1292758898924828E-4</v>
      </c>
    </row>
    <row r="10" spans="1:21" x14ac:dyDescent="0.25">
      <c r="A10" s="19" t="s">
        <v>39</v>
      </c>
      <c r="B10" s="72" t="s">
        <v>147</v>
      </c>
      <c r="E10" s="18">
        <v>-4.2</v>
      </c>
      <c r="F10" s="18">
        <f t="shared" si="0"/>
        <v>4.0285056971879862E-4</v>
      </c>
    </row>
    <row r="11" spans="1:21" x14ac:dyDescent="0.25">
      <c r="E11" s="18">
        <v>-4.0999999999999996</v>
      </c>
      <c r="F11" s="18">
        <f t="shared" si="0"/>
        <v>5.1813813549870429E-4</v>
      </c>
    </row>
    <row r="12" spans="1:21" x14ac:dyDescent="0.25">
      <c r="A12" s="50" t="s">
        <v>92</v>
      </c>
      <c r="B12" s="56">
        <f>(B3-B7)/(B4/SQRT(B2))</f>
        <v>8.5714285714285712</v>
      </c>
      <c r="E12" s="18">
        <v>-4</v>
      </c>
      <c r="F12" s="18">
        <f t="shared" si="0"/>
        <v>6.6569930117954101E-4</v>
      </c>
    </row>
    <row r="13" spans="1:21" x14ac:dyDescent="0.25">
      <c r="A13" s="50" t="s">
        <v>95</v>
      </c>
      <c r="B13" s="51">
        <f>_xlfn.T.DIST.2T(B12,35)</f>
        <v>4.0671297941271409E-10</v>
      </c>
      <c r="E13" s="18">
        <v>-3.9</v>
      </c>
      <c r="F13" s="18">
        <f t="shared" si="0"/>
        <v>8.5421553211713645E-4</v>
      </c>
    </row>
    <row r="14" spans="1:21" x14ac:dyDescent="0.25">
      <c r="E14" s="18">
        <v>-3.8</v>
      </c>
      <c r="F14" s="18">
        <f t="shared" si="0"/>
        <v>1.0945503777529081E-3</v>
      </c>
    </row>
    <row r="15" spans="1:21" x14ac:dyDescent="0.25">
      <c r="A15" s="50" t="s">
        <v>44</v>
      </c>
      <c r="B15" s="52">
        <v>0.05</v>
      </c>
      <c r="E15" s="18">
        <v>-3.7</v>
      </c>
      <c r="F15" s="18">
        <f t="shared" si="0"/>
        <v>1.4002361140689329E-3</v>
      </c>
    </row>
    <row r="16" spans="1:21" x14ac:dyDescent="0.25">
      <c r="E16" s="18">
        <v>-3.6</v>
      </c>
      <c r="F16" s="18">
        <f t="shared" si="0"/>
        <v>1.7880450668853064E-3</v>
      </c>
    </row>
    <row r="17" spans="1:6" x14ac:dyDescent="0.25">
      <c r="A17" s="53" t="s">
        <v>96</v>
      </c>
      <c r="B17" s="54">
        <f>_xlfn.T.INV.2T(B15,35)</f>
        <v>2.0301079282503438</v>
      </c>
      <c r="E17" s="18">
        <v>-3.5</v>
      </c>
      <c r="F17" s="18">
        <f t="shared" si="0"/>
        <v>2.278651225223945E-3</v>
      </c>
    </row>
    <row r="18" spans="1:6" x14ac:dyDescent="0.25">
      <c r="E18" s="18">
        <v>-3.4</v>
      </c>
      <c r="F18" s="18">
        <f t="shared" si="0"/>
        <v>2.8973842094988079E-3</v>
      </c>
    </row>
    <row r="19" spans="1:6" x14ac:dyDescent="0.25">
      <c r="E19" s="18">
        <v>-3.3</v>
      </c>
      <c r="F19" s="18">
        <f t="shared" si="0"/>
        <v>3.6750721911118066E-3</v>
      </c>
    </row>
    <row r="20" spans="1:6" x14ac:dyDescent="0.25">
      <c r="A20" s="92" t="s">
        <v>148</v>
      </c>
      <c r="B20" s="92"/>
      <c r="E20" s="18">
        <v>-3.2</v>
      </c>
      <c r="F20" s="18">
        <f t="shared" si="0"/>
        <v>4.6489624951230879E-3</v>
      </c>
    </row>
    <row r="21" spans="1:6" x14ac:dyDescent="0.25">
      <c r="A21" s="92"/>
      <c r="B21" s="92"/>
      <c r="E21" s="18">
        <v>-3.1</v>
      </c>
      <c r="F21" s="18">
        <f t="shared" si="0"/>
        <v>5.8636978944924213E-3</v>
      </c>
    </row>
    <row r="22" spans="1:6" x14ac:dyDescent="0.25">
      <c r="A22" s="92"/>
      <c r="B22" s="92"/>
      <c r="E22" s="18">
        <v>-3</v>
      </c>
      <c r="F22" s="18">
        <f t="shared" si="0"/>
        <v>7.3723126395608537E-3</v>
      </c>
    </row>
    <row r="23" spans="1:6" x14ac:dyDescent="0.25">
      <c r="A23" s="92"/>
      <c r="B23" s="92"/>
      <c r="E23" s="18">
        <v>-2.9</v>
      </c>
      <c r="F23" s="18">
        <f t="shared" si="0"/>
        <v>9.2371948497963364E-3</v>
      </c>
    </row>
    <row r="24" spans="1:6" x14ac:dyDescent="0.25">
      <c r="A24" s="55"/>
      <c r="B24" s="55"/>
      <c r="E24" s="18">
        <v>-2.8</v>
      </c>
      <c r="F24" s="18">
        <f t="shared" si="0"/>
        <v>1.1530941114839786E-2</v>
      </c>
    </row>
    <row r="25" spans="1:6" x14ac:dyDescent="0.25">
      <c r="A25" s="55"/>
      <c r="B25" s="55"/>
      <c r="E25" s="18">
        <v>-2.7</v>
      </c>
      <c r="F25" s="18">
        <f t="shared" si="0"/>
        <v>1.4337005548725856E-2</v>
      </c>
    </row>
    <row r="26" spans="1:6" x14ac:dyDescent="0.25">
      <c r="E26" s="18">
        <v>-2.6</v>
      </c>
      <c r="F26" s="18">
        <f t="shared" si="0"/>
        <v>1.7750020277715928E-2</v>
      </c>
    </row>
    <row r="27" spans="1:6" x14ac:dyDescent="0.25">
      <c r="E27" s="18">
        <v>-2.5</v>
      </c>
      <c r="F27" s="18">
        <f t="shared" si="0"/>
        <v>2.1875639373835187E-2</v>
      </c>
    </row>
    <row r="28" spans="1:6" x14ac:dyDescent="0.25">
      <c r="E28" s="18">
        <v>-2.4</v>
      </c>
      <c r="F28" s="18">
        <f t="shared" si="0"/>
        <v>2.6829736458164076E-2</v>
      </c>
    </row>
    <row r="29" spans="1:6" x14ac:dyDescent="0.25">
      <c r="E29" s="18">
        <v>-2.2999999999999998</v>
      </c>
      <c r="F29" s="18">
        <f t="shared" si="0"/>
        <v>3.2736771466667973E-2</v>
      </c>
    </row>
    <row r="30" spans="1:6" x14ac:dyDescent="0.25">
      <c r="E30" s="18">
        <v>-2.2000000000000002</v>
      </c>
      <c r="F30" s="18">
        <f t="shared" si="0"/>
        <v>3.9727139195741924E-2</v>
      </c>
    </row>
    <row r="31" spans="1:6" x14ac:dyDescent="0.25">
      <c r="E31" s="18">
        <v>-2.1</v>
      </c>
      <c r="F31" s="18">
        <f t="shared" si="0"/>
        <v>4.7933326687391524E-2</v>
      </c>
    </row>
    <row r="32" spans="1:6" x14ac:dyDescent="0.25">
      <c r="E32" s="18">
        <v>-2</v>
      </c>
      <c r="F32" s="18">
        <f t="shared" si="0"/>
        <v>5.7484743899123496E-2</v>
      </c>
    </row>
    <row r="33" spans="5:6" x14ac:dyDescent="0.25">
      <c r="E33" s="18">
        <v>-1.9</v>
      </c>
      <c r="F33" s="18">
        <f t="shared" si="0"/>
        <v>6.8501157437247717E-2</v>
      </c>
    </row>
    <row r="34" spans="5:6" x14ac:dyDescent="0.25">
      <c r="E34" s="18">
        <v>-1.8</v>
      </c>
      <c r="F34" s="18">
        <f t="shared" si="0"/>
        <v>8.1084753753954561E-2</v>
      </c>
    </row>
    <row r="35" spans="5:6" x14ac:dyDescent="0.25">
      <c r="E35" s="18">
        <v>-1.7</v>
      </c>
      <c r="F35" s="18">
        <f t="shared" si="0"/>
        <v>9.5310986543298615E-2</v>
      </c>
    </row>
    <row r="36" spans="5:6" x14ac:dyDescent="0.25">
      <c r="E36" s="18">
        <v>-1.6</v>
      </c>
      <c r="F36" s="18">
        <f t="shared" si="0"/>
        <v>0.1112185193305458</v>
      </c>
    </row>
    <row r="37" spans="5:6" x14ac:dyDescent="0.25">
      <c r="E37" s="18">
        <v>-1.5</v>
      </c>
      <c r="F37" s="18">
        <f t="shared" si="0"/>
        <v>0.12879874931359533</v>
      </c>
    </row>
    <row r="38" spans="5:6" x14ac:dyDescent="0.25">
      <c r="E38" s="18">
        <v>-1.4</v>
      </c>
      <c r="F38" s="18">
        <f t="shared" si="0"/>
        <v>0.14798557730102335</v>
      </c>
    </row>
    <row r="39" spans="5:6" x14ac:dyDescent="0.25">
      <c r="E39" s="18">
        <v>-1.3</v>
      </c>
      <c r="F39" s="18">
        <f t="shared" si="0"/>
        <v>0.16864625023800159</v>
      </c>
    </row>
    <row r="40" spans="5:6" x14ac:dyDescent="0.25">
      <c r="E40" s="18">
        <v>-1.2</v>
      </c>
      <c r="F40" s="18">
        <f t="shared" si="0"/>
        <v>0.19057422198334129</v>
      </c>
    </row>
    <row r="41" spans="5:6" x14ac:dyDescent="0.25">
      <c r="E41" s="18">
        <v>-1.1000000000000001</v>
      </c>
      <c r="F41" s="18">
        <f t="shared" si="0"/>
        <v>0.21348502747727868</v>
      </c>
    </row>
    <row r="42" spans="5:6" x14ac:dyDescent="0.25">
      <c r="E42" s="18">
        <v>-1</v>
      </c>
      <c r="F42" s="18">
        <f t="shared" si="0"/>
        <v>0.23701611993911284</v>
      </c>
    </row>
    <row r="43" spans="5:6" x14ac:dyDescent="0.25">
      <c r="E43" s="18">
        <v>-0.9</v>
      </c>
      <c r="F43" s="18">
        <f t="shared" si="0"/>
        <v>0.26073146162557914</v>
      </c>
    </row>
    <row r="44" spans="5:6" x14ac:dyDescent="0.25">
      <c r="E44" s="18">
        <v>-0.8</v>
      </c>
      <c r="F44" s="18">
        <f t="shared" si="0"/>
        <v>0.28413137890690265</v>
      </c>
    </row>
    <row r="45" spans="5:6" x14ac:dyDescent="0.25">
      <c r="E45" s="18">
        <v>-0.7</v>
      </c>
      <c r="F45" s="18">
        <f t="shared" si="0"/>
        <v>0.30666780068205007</v>
      </c>
    </row>
    <row r="46" spans="5:6" x14ac:dyDescent="0.25">
      <c r="E46" s="18">
        <v>-0.6</v>
      </c>
      <c r="F46" s="18">
        <f t="shared" si="0"/>
        <v>0.32776452231144204</v>
      </c>
    </row>
    <row r="47" spans="5:6" x14ac:dyDescent="0.25">
      <c r="E47" s="18">
        <v>-0.5</v>
      </c>
      <c r="F47" s="18">
        <f t="shared" si="0"/>
        <v>0.34684161991748202</v>
      </c>
    </row>
    <row r="48" spans="5:6" x14ac:dyDescent="0.25">
      <c r="E48" s="18">
        <v>-0.4</v>
      </c>
      <c r="F48" s="18">
        <f t="shared" si="0"/>
        <v>0.36334264074730077</v>
      </c>
    </row>
    <row r="49" spans="5:6" x14ac:dyDescent="0.25">
      <c r="E49" s="18">
        <v>-0.3</v>
      </c>
      <c r="F49" s="18">
        <f t="shared" si="0"/>
        <v>0.37676277993616819</v>
      </c>
    </row>
    <row r="50" spans="5:6" x14ac:dyDescent="0.25">
      <c r="E50" s="18">
        <v>-0.2</v>
      </c>
      <c r="F50" s="18">
        <f t="shared" si="0"/>
        <v>0.38667598545546827</v>
      </c>
    </row>
    <row r="51" spans="5:6" x14ac:dyDescent="0.25">
      <c r="E51" s="18">
        <v>-0.1</v>
      </c>
      <c r="F51" s="18">
        <f t="shared" si="0"/>
        <v>0.3927588610289669</v>
      </c>
    </row>
    <row r="52" spans="5:6" x14ac:dyDescent="0.25">
      <c r="E52" s="18">
        <v>0</v>
      </c>
      <c r="F52" s="18">
        <f t="shared" si="0"/>
        <v>0.39480938821349071</v>
      </c>
    </row>
    <row r="53" spans="5:6" x14ac:dyDescent="0.25">
      <c r="E53" s="18">
        <v>0.1</v>
      </c>
      <c r="F53" s="18">
        <f t="shared" si="0"/>
        <v>0.3927588610289669</v>
      </c>
    </row>
    <row r="54" spans="5:6" x14ac:dyDescent="0.25">
      <c r="E54" s="18">
        <v>0.2</v>
      </c>
      <c r="F54" s="18">
        <f t="shared" si="0"/>
        <v>0.38667598545546827</v>
      </c>
    </row>
    <row r="55" spans="5:6" x14ac:dyDescent="0.25">
      <c r="E55" s="18">
        <v>0.3</v>
      </c>
      <c r="F55" s="18">
        <f t="shared" si="0"/>
        <v>0.37676277993616819</v>
      </c>
    </row>
    <row r="56" spans="5:6" x14ac:dyDescent="0.25">
      <c r="E56" s="18">
        <v>0.4</v>
      </c>
      <c r="F56" s="18">
        <f t="shared" si="0"/>
        <v>0.36334264074730077</v>
      </c>
    </row>
    <row r="57" spans="5:6" x14ac:dyDescent="0.25">
      <c r="E57" s="18">
        <v>0.5</v>
      </c>
      <c r="F57" s="18">
        <f t="shared" si="0"/>
        <v>0.34684161991748202</v>
      </c>
    </row>
    <row r="58" spans="5:6" x14ac:dyDescent="0.25">
      <c r="E58" s="18">
        <v>0.6</v>
      </c>
      <c r="F58" s="18">
        <f t="shared" si="0"/>
        <v>0.32776452231144204</v>
      </c>
    </row>
    <row r="59" spans="5:6" x14ac:dyDescent="0.25">
      <c r="E59" s="18">
        <v>0.7</v>
      </c>
      <c r="F59" s="18">
        <f t="shared" si="0"/>
        <v>0.30666780068205007</v>
      </c>
    </row>
    <row r="60" spans="5:6" x14ac:dyDescent="0.25">
      <c r="E60" s="18">
        <v>0.8</v>
      </c>
      <c r="F60" s="18">
        <f t="shared" si="0"/>
        <v>0.28413137890690265</v>
      </c>
    </row>
    <row r="61" spans="5:6" x14ac:dyDescent="0.25">
      <c r="E61" s="18">
        <v>0.9</v>
      </c>
      <c r="F61" s="18">
        <f t="shared" si="0"/>
        <v>0.26073146162557914</v>
      </c>
    </row>
    <row r="62" spans="5:6" x14ac:dyDescent="0.25">
      <c r="E62" s="18">
        <v>1</v>
      </c>
      <c r="F62" s="18">
        <f t="shared" si="0"/>
        <v>0.23701611993911284</v>
      </c>
    </row>
    <row r="63" spans="5:6" x14ac:dyDescent="0.25">
      <c r="E63" s="18">
        <v>1.1000000000000001</v>
      </c>
      <c r="F63" s="18">
        <f t="shared" si="0"/>
        <v>0.21348502747727868</v>
      </c>
    </row>
    <row r="64" spans="5:6" x14ac:dyDescent="0.25">
      <c r="E64" s="18">
        <v>1.2</v>
      </c>
      <c r="F64" s="18">
        <f t="shared" si="0"/>
        <v>0.19057422198334129</v>
      </c>
    </row>
    <row r="65" spans="5:6" x14ac:dyDescent="0.25">
      <c r="E65" s="18">
        <v>1.3</v>
      </c>
      <c r="F65" s="18">
        <f t="shared" si="0"/>
        <v>0.16864625023800159</v>
      </c>
    </row>
    <row r="66" spans="5:6" x14ac:dyDescent="0.25">
      <c r="E66" s="18">
        <v>1.4</v>
      </c>
      <c r="F66" s="18">
        <f t="shared" si="0"/>
        <v>0.14798557730102335</v>
      </c>
    </row>
    <row r="67" spans="5:6" x14ac:dyDescent="0.25">
      <c r="E67" s="18">
        <v>1.5</v>
      </c>
      <c r="F67" s="18">
        <f t="shared" ref="F67:F102" si="1">_xlfn.T.DIST(E67,24,FALSE)</f>
        <v>0.12879874931359533</v>
      </c>
    </row>
    <row r="68" spans="5:6" x14ac:dyDescent="0.25">
      <c r="E68" s="18">
        <v>1.6</v>
      </c>
      <c r="F68" s="18">
        <f t="shared" si="1"/>
        <v>0.1112185193305458</v>
      </c>
    </row>
    <row r="69" spans="5:6" x14ac:dyDescent="0.25">
      <c r="E69" s="18">
        <v>1.7</v>
      </c>
      <c r="F69" s="18">
        <f t="shared" si="1"/>
        <v>9.5310986543298615E-2</v>
      </c>
    </row>
    <row r="70" spans="5:6" x14ac:dyDescent="0.25">
      <c r="E70" s="18">
        <v>1.8</v>
      </c>
      <c r="F70" s="18">
        <f t="shared" si="1"/>
        <v>8.1084753753954561E-2</v>
      </c>
    </row>
    <row r="71" spans="5:6" x14ac:dyDescent="0.25">
      <c r="E71" s="18">
        <v>1.9</v>
      </c>
      <c r="F71" s="18">
        <f t="shared" si="1"/>
        <v>6.8501157437247717E-2</v>
      </c>
    </row>
    <row r="72" spans="5:6" x14ac:dyDescent="0.25">
      <c r="E72" s="18">
        <v>2</v>
      </c>
      <c r="F72" s="18">
        <f t="shared" si="1"/>
        <v>5.7484743899123496E-2</v>
      </c>
    </row>
    <row r="73" spans="5:6" x14ac:dyDescent="0.25">
      <c r="E73" s="18">
        <v>2.1</v>
      </c>
      <c r="F73" s="18">
        <f t="shared" si="1"/>
        <v>4.7933326687391524E-2</v>
      </c>
    </row>
    <row r="74" spans="5:6" x14ac:dyDescent="0.25">
      <c r="E74" s="18">
        <v>2.2000000000000002</v>
      </c>
      <c r="F74" s="18">
        <f t="shared" si="1"/>
        <v>3.9727139195741924E-2</v>
      </c>
    </row>
    <row r="75" spans="5:6" x14ac:dyDescent="0.25">
      <c r="E75" s="18">
        <v>2.2999999999999998</v>
      </c>
      <c r="F75" s="18">
        <f t="shared" si="1"/>
        <v>3.2736771466667973E-2</v>
      </c>
    </row>
    <row r="76" spans="5:6" x14ac:dyDescent="0.25">
      <c r="E76" s="18">
        <v>2.4</v>
      </c>
      <c r="F76" s="18">
        <f t="shared" si="1"/>
        <v>2.6829736458164076E-2</v>
      </c>
    </row>
    <row r="77" spans="5:6" x14ac:dyDescent="0.25">
      <c r="E77" s="18">
        <v>2.5</v>
      </c>
      <c r="F77" s="18">
        <f t="shared" si="1"/>
        <v>2.1875639373835187E-2</v>
      </c>
    </row>
    <row r="78" spans="5:6" x14ac:dyDescent="0.25">
      <c r="E78" s="18">
        <v>2.6</v>
      </c>
      <c r="F78" s="18">
        <f t="shared" si="1"/>
        <v>1.7750020277715928E-2</v>
      </c>
    </row>
    <row r="79" spans="5:6" x14ac:dyDescent="0.25">
      <c r="E79" s="18">
        <v>2.7</v>
      </c>
      <c r="F79" s="18">
        <f t="shared" si="1"/>
        <v>1.4337005548725856E-2</v>
      </c>
    </row>
    <row r="80" spans="5:6" x14ac:dyDescent="0.25">
      <c r="E80" s="18">
        <v>2.8</v>
      </c>
      <c r="F80" s="18">
        <f t="shared" si="1"/>
        <v>1.1530941114839786E-2</v>
      </c>
    </row>
    <row r="81" spans="5:6" x14ac:dyDescent="0.25">
      <c r="E81" s="18">
        <v>2.9</v>
      </c>
      <c r="F81" s="18">
        <f t="shared" si="1"/>
        <v>9.2371948497963364E-3</v>
      </c>
    </row>
    <row r="82" spans="5:6" x14ac:dyDescent="0.25">
      <c r="E82" s="18">
        <v>3</v>
      </c>
      <c r="F82" s="18">
        <f t="shared" si="1"/>
        <v>7.3723126395608537E-3</v>
      </c>
    </row>
    <row r="83" spans="5:6" x14ac:dyDescent="0.25">
      <c r="E83" s="18">
        <v>3.1</v>
      </c>
      <c r="F83" s="18">
        <f t="shared" si="1"/>
        <v>5.8636978944924213E-3</v>
      </c>
    </row>
    <row r="84" spans="5:6" x14ac:dyDescent="0.25">
      <c r="E84" s="18">
        <v>3.2</v>
      </c>
      <c r="F84" s="18">
        <f t="shared" si="1"/>
        <v>4.6489624951230879E-3</v>
      </c>
    </row>
    <row r="85" spans="5:6" x14ac:dyDescent="0.25">
      <c r="E85" s="18">
        <v>3.3</v>
      </c>
      <c r="F85" s="18">
        <f t="shared" si="1"/>
        <v>3.6750721911118066E-3</v>
      </c>
    </row>
    <row r="86" spans="5:6" x14ac:dyDescent="0.25">
      <c r="E86" s="18">
        <v>3.4</v>
      </c>
      <c r="F86" s="18">
        <f t="shared" si="1"/>
        <v>2.8973842094988079E-3</v>
      </c>
    </row>
    <row r="87" spans="5:6" x14ac:dyDescent="0.25">
      <c r="E87" s="18">
        <v>3.5</v>
      </c>
      <c r="F87" s="18">
        <f t="shared" si="1"/>
        <v>2.278651225223945E-3</v>
      </c>
    </row>
    <row r="88" spans="5:6" x14ac:dyDescent="0.25">
      <c r="E88" s="18">
        <v>3.6</v>
      </c>
      <c r="F88" s="18">
        <f t="shared" si="1"/>
        <v>1.7880450668853064E-3</v>
      </c>
    </row>
    <row r="89" spans="5:6" x14ac:dyDescent="0.25">
      <c r="E89" s="18">
        <v>3.7</v>
      </c>
      <c r="F89" s="18">
        <f t="shared" si="1"/>
        <v>1.4002361140689329E-3</v>
      </c>
    </row>
    <row r="90" spans="5:6" x14ac:dyDescent="0.25">
      <c r="E90" s="18">
        <v>3.8</v>
      </c>
      <c r="F90" s="18">
        <f t="shared" si="1"/>
        <v>1.0945503777529081E-3</v>
      </c>
    </row>
    <row r="91" spans="5:6" x14ac:dyDescent="0.25">
      <c r="E91" s="18">
        <v>3.9</v>
      </c>
      <c r="F91" s="18">
        <f t="shared" si="1"/>
        <v>8.5421553211713645E-4</v>
      </c>
    </row>
    <row r="92" spans="5:6" x14ac:dyDescent="0.25">
      <c r="E92" s="18">
        <v>4</v>
      </c>
      <c r="F92" s="18">
        <f t="shared" si="1"/>
        <v>6.6569930117954101E-4</v>
      </c>
    </row>
    <row r="93" spans="5:6" x14ac:dyDescent="0.25">
      <c r="E93" s="18">
        <v>4.0999999999999996</v>
      </c>
      <c r="F93" s="18">
        <f t="shared" si="1"/>
        <v>5.1813813549870429E-4</v>
      </c>
    </row>
    <row r="94" spans="5:6" x14ac:dyDescent="0.25">
      <c r="E94" s="18">
        <v>4.2</v>
      </c>
      <c r="F94" s="18">
        <f t="shared" si="1"/>
        <v>4.0285056971879862E-4</v>
      </c>
    </row>
    <row r="95" spans="5:6" x14ac:dyDescent="0.25">
      <c r="E95" s="18">
        <v>4.3</v>
      </c>
      <c r="F95" s="18">
        <f t="shared" si="1"/>
        <v>3.1292758898924828E-4</v>
      </c>
    </row>
    <row r="96" spans="5:6" x14ac:dyDescent="0.25">
      <c r="E96" s="18">
        <v>4.4000000000000004</v>
      </c>
      <c r="F96" s="18">
        <f t="shared" si="1"/>
        <v>2.4289136387486981E-4</v>
      </c>
    </row>
    <row r="97" spans="5:6" x14ac:dyDescent="0.25">
      <c r="E97" s="18">
        <v>4.5</v>
      </c>
      <c r="F97" s="18">
        <f t="shared" si="1"/>
        <v>1.8841351629347321E-4</v>
      </c>
    </row>
    <row r="98" spans="5:6" x14ac:dyDescent="0.25">
      <c r="E98" s="18">
        <v>4.5999999999999996</v>
      </c>
      <c r="F98" s="18">
        <f t="shared" si="1"/>
        <v>1.4608439523534675E-4</v>
      </c>
    </row>
    <row r="99" spans="5:6" x14ac:dyDescent="0.25">
      <c r="E99" s="18">
        <v>4.7</v>
      </c>
      <c r="F99" s="18">
        <f t="shared" si="1"/>
        <v>1.1322547233945233E-4</v>
      </c>
    </row>
    <row r="100" spans="5:6" x14ac:dyDescent="0.25">
      <c r="E100" s="18">
        <v>4.8</v>
      </c>
      <c r="F100" s="18">
        <f t="shared" si="1"/>
        <v>8.773776745425236E-5</v>
      </c>
    </row>
    <row r="101" spans="5:6" x14ac:dyDescent="0.25">
      <c r="E101" s="18">
        <v>4.9000000000000004</v>
      </c>
      <c r="F101" s="18">
        <f t="shared" si="1"/>
        <v>6.7980079483886916E-5</v>
      </c>
    </row>
    <row r="102" spans="5:6" x14ac:dyDescent="0.25">
      <c r="E102" s="18">
        <v>5</v>
      </c>
      <c r="F102" s="18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87</v>
      </c>
      <c r="B1" s="5" t="s">
        <v>98</v>
      </c>
      <c r="E1" s="47" t="s">
        <v>97</v>
      </c>
      <c r="F1" s="47" t="s">
        <v>102</v>
      </c>
    </row>
    <row r="2" spans="1:6" x14ac:dyDescent="0.25">
      <c r="A2" s="5" t="s">
        <v>90</v>
      </c>
      <c r="B2" s="12">
        <v>85</v>
      </c>
      <c r="E2" s="18">
        <v>-4</v>
      </c>
      <c r="F2" s="18">
        <f t="shared" ref="F2:F56" si="0">_xlfn.NORM.S.DIST(E2,FALSE)</f>
        <v>1.3383022576488537E-4</v>
      </c>
    </row>
    <row r="3" spans="1:6" x14ac:dyDescent="0.25">
      <c r="A3" s="5" t="s">
        <v>6</v>
      </c>
      <c r="B3" s="18">
        <v>8.25</v>
      </c>
      <c r="E3" s="18">
        <v>-3.9</v>
      </c>
      <c r="F3" s="18">
        <f t="shared" si="0"/>
        <v>1.9865547139277272E-4</v>
      </c>
    </row>
    <row r="4" spans="1:6" x14ac:dyDescent="0.25">
      <c r="E4" s="18">
        <v>-3.8</v>
      </c>
      <c r="F4" s="18">
        <f t="shared" si="0"/>
        <v>2.9194692579146027E-4</v>
      </c>
    </row>
    <row r="5" spans="1:6" x14ac:dyDescent="0.25">
      <c r="A5" s="49" t="s">
        <v>99</v>
      </c>
      <c r="B5" s="49" t="s">
        <v>98</v>
      </c>
      <c r="E5" s="18">
        <v>-3.7</v>
      </c>
      <c r="F5" s="18">
        <f t="shared" si="0"/>
        <v>4.2478027055075143E-4</v>
      </c>
    </row>
    <row r="6" spans="1:6" x14ac:dyDescent="0.25">
      <c r="A6" s="49" t="s">
        <v>6</v>
      </c>
      <c r="B6" s="18">
        <v>8</v>
      </c>
      <c r="E6" s="18">
        <v>-3.6</v>
      </c>
      <c r="F6" s="18">
        <f t="shared" si="0"/>
        <v>6.119019301137719E-4</v>
      </c>
    </row>
    <row r="7" spans="1:6" x14ac:dyDescent="0.25">
      <c r="A7" s="49" t="s">
        <v>2</v>
      </c>
      <c r="B7" s="18">
        <v>1</v>
      </c>
      <c r="E7" s="18">
        <v>-3.5</v>
      </c>
      <c r="F7" s="18">
        <f t="shared" si="0"/>
        <v>8.7268269504576015E-4</v>
      </c>
    </row>
    <row r="8" spans="1:6" x14ac:dyDescent="0.25">
      <c r="E8" s="18">
        <v>-3.4</v>
      </c>
      <c r="F8" s="18">
        <f t="shared" si="0"/>
        <v>1.2322191684730199E-3</v>
      </c>
    </row>
    <row r="9" spans="1:6" x14ac:dyDescent="0.25">
      <c r="A9" s="19" t="s">
        <v>38</v>
      </c>
      <c r="B9" s="72" t="s">
        <v>149</v>
      </c>
      <c r="E9" s="18">
        <v>-3.3</v>
      </c>
      <c r="F9" s="18">
        <f t="shared" si="0"/>
        <v>1.7225689390536812E-3</v>
      </c>
    </row>
    <row r="10" spans="1:6" x14ac:dyDescent="0.25">
      <c r="A10" s="19" t="s">
        <v>39</v>
      </c>
      <c r="B10" s="72" t="s">
        <v>150</v>
      </c>
      <c r="E10" s="18">
        <v>-3.2</v>
      </c>
      <c r="F10" s="18">
        <f t="shared" si="0"/>
        <v>2.3840882014648404E-3</v>
      </c>
    </row>
    <row r="11" spans="1:6" x14ac:dyDescent="0.25">
      <c r="E11" s="18">
        <v>-3.1</v>
      </c>
      <c r="F11" s="18">
        <f t="shared" si="0"/>
        <v>3.2668190561999182E-3</v>
      </c>
    </row>
    <row r="12" spans="1:6" x14ac:dyDescent="0.25">
      <c r="A12" s="50" t="s">
        <v>100</v>
      </c>
      <c r="B12" s="56">
        <f>(B3-B6)/(B7/SQRT(B2))</f>
        <v>2.3048861143232218</v>
      </c>
      <c r="E12" s="18">
        <v>-3</v>
      </c>
      <c r="F12" s="18">
        <f t="shared" si="0"/>
        <v>4.4318484119380075E-3</v>
      </c>
    </row>
    <row r="13" spans="1:6" x14ac:dyDescent="0.25">
      <c r="A13" s="50" t="s">
        <v>103</v>
      </c>
      <c r="B13" s="51">
        <f>1-_xlfn.NORM.S.DIST(B12,TRUE)</f>
        <v>1.058647624307385E-2</v>
      </c>
      <c r="E13" s="18">
        <v>-2.9</v>
      </c>
      <c r="F13" s="18">
        <f t="shared" si="0"/>
        <v>5.9525324197758538E-3</v>
      </c>
    </row>
    <row r="14" spans="1:6" x14ac:dyDescent="0.25">
      <c r="E14" s="18">
        <v>-2.8</v>
      </c>
      <c r="F14" s="18">
        <f t="shared" si="0"/>
        <v>7.9154515829799686E-3</v>
      </c>
    </row>
    <row r="15" spans="1:6" x14ac:dyDescent="0.25">
      <c r="A15" s="50" t="s">
        <v>44</v>
      </c>
      <c r="B15" s="52">
        <v>0.05</v>
      </c>
      <c r="E15" s="18">
        <v>-2.7</v>
      </c>
      <c r="F15" s="18">
        <f t="shared" si="0"/>
        <v>1.0420934814422592E-2</v>
      </c>
    </row>
    <row r="16" spans="1:6" x14ac:dyDescent="0.25">
      <c r="E16" s="18">
        <v>-2.6</v>
      </c>
      <c r="F16" s="18">
        <f t="shared" si="0"/>
        <v>1.3582969233685613E-2</v>
      </c>
    </row>
    <row r="17" spans="1:6" x14ac:dyDescent="0.25">
      <c r="A17" s="53" t="s">
        <v>101</v>
      </c>
      <c r="B17" s="54">
        <f>-_xlfn.NORM.S.INV(B15)</f>
        <v>1.6448536269514726</v>
      </c>
      <c r="E17" s="18">
        <v>-2.5</v>
      </c>
      <c r="F17" s="18">
        <f t="shared" si="0"/>
        <v>1.752830049356854E-2</v>
      </c>
    </row>
    <row r="18" spans="1:6" x14ac:dyDescent="0.25">
      <c r="E18" s="18">
        <v>-2.4</v>
      </c>
      <c r="F18" s="18">
        <f t="shared" si="0"/>
        <v>2.2394530294842899E-2</v>
      </c>
    </row>
    <row r="19" spans="1:6" x14ac:dyDescent="0.25">
      <c r="E19" s="18">
        <v>-2.2999999999999998</v>
      </c>
      <c r="F19" s="18">
        <f t="shared" si="0"/>
        <v>2.8327037741601186E-2</v>
      </c>
    </row>
    <row r="20" spans="1:6" x14ac:dyDescent="0.25">
      <c r="A20" s="92" t="s">
        <v>151</v>
      </c>
      <c r="B20" s="92"/>
      <c r="E20" s="18">
        <v>-2.2000000000000002</v>
      </c>
      <c r="F20" s="18">
        <f t="shared" si="0"/>
        <v>3.5474592846231424E-2</v>
      </c>
    </row>
    <row r="21" spans="1:6" x14ac:dyDescent="0.25">
      <c r="A21" s="92"/>
      <c r="B21" s="92"/>
      <c r="E21" s="18">
        <v>-2.1</v>
      </c>
      <c r="F21" s="18">
        <f t="shared" si="0"/>
        <v>4.3983595980427191E-2</v>
      </c>
    </row>
    <row r="22" spans="1:6" x14ac:dyDescent="0.25">
      <c r="A22" s="92"/>
      <c r="B22" s="92"/>
      <c r="E22" s="18">
        <v>-2</v>
      </c>
      <c r="F22" s="18">
        <f t="shared" si="0"/>
        <v>5.3990966513188063E-2</v>
      </c>
    </row>
    <row r="23" spans="1:6" x14ac:dyDescent="0.25">
      <c r="A23" s="92"/>
      <c r="B23" s="92"/>
      <c r="E23" s="18">
        <v>-1.9</v>
      </c>
      <c r="F23" s="18">
        <f t="shared" si="0"/>
        <v>6.5615814774676595E-2</v>
      </c>
    </row>
    <row r="24" spans="1:6" x14ac:dyDescent="0.25">
      <c r="A24" s="55"/>
      <c r="B24" s="55"/>
      <c r="E24" s="18">
        <v>-1.8</v>
      </c>
      <c r="F24" s="18">
        <f t="shared" si="0"/>
        <v>7.8950158300894149E-2</v>
      </c>
    </row>
    <row r="25" spans="1:6" x14ac:dyDescent="0.25">
      <c r="A25" s="55"/>
      <c r="B25" s="55"/>
      <c r="E25" s="18">
        <v>-1.7</v>
      </c>
      <c r="F25" s="18">
        <f t="shared" si="0"/>
        <v>9.4049077376886947E-2</v>
      </c>
    </row>
    <row r="26" spans="1:6" x14ac:dyDescent="0.25">
      <c r="E26" s="18">
        <v>-1.6</v>
      </c>
      <c r="F26" s="18">
        <f t="shared" si="0"/>
        <v>0.11092083467945554</v>
      </c>
    </row>
    <row r="27" spans="1:6" x14ac:dyDescent="0.25">
      <c r="E27" s="18">
        <v>-1.5</v>
      </c>
      <c r="F27" s="18">
        <f t="shared" si="0"/>
        <v>0.12951759566589174</v>
      </c>
    </row>
    <row r="28" spans="1:6" x14ac:dyDescent="0.25">
      <c r="E28" s="18">
        <v>-1.4</v>
      </c>
      <c r="F28" s="18">
        <f t="shared" si="0"/>
        <v>0.14972746563574488</v>
      </c>
    </row>
    <row r="29" spans="1:6" x14ac:dyDescent="0.25">
      <c r="E29" s="18">
        <v>-1.3</v>
      </c>
      <c r="F29" s="18">
        <f t="shared" si="0"/>
        <v>0.17136859204780736</v>
      </c>
    </row>
    <row r="30" spans="1:6" x14ac:dyDescent="0.25">
      <c r="E30" s="18">
        <v>-1.2</v>
      </c>
      <c r="F30" s="18">
        <f t="shared" si="0"/>
        <v>0.19418605498321295</v>
      </c>
    </row>
    <row r="31" spans="1:6" x14ac:dyDescent="0.25">
      <c r="E31" s="18">
        <v>-1.1000000000000001</v>
      </c>
      <c r="F31" s="18">
        <f t="shared" si="0"/>
        <v>0.21785217703255053</v>
      </c>
    </row>
    <row r="32" spans="1:6" x14ac:dyDescent="0.25">
      <c r="E32" s="18">
        <v>-1</v>
      </c>
      <c r="F32" s="18">
        <f t="shared" si="0"/>
        <v>0.24197072451914337</v>
      </c>
    </row>
    <row r="33" spans="5:6" x14ac:dyDescent="0.25">
      <c r="E33" s="18">
        <v>-0.9</v>
      </c>
      <c r="F33" s="18">
        <f t="shared" si="0"/>
        <v>0.26608524989875482</v>
      </c>
    </row>
    <row r="34" spans="5:6" x14ac:dyDescent="0.25">
      <c r="E34" s="18">
        <v>-0.8</v>
      </c>
      <c r="F34" s="18">
        <f t="shared" si="0"/>
        <v>0.28969155276148273</v>
      </c>
    </row>
    <row r="35" spans="5:6" x14ac:dyDescent="0.25">
      <c r="E35" s="18">
        <v>-0.7</v>
      </c>
      <c r="F35" s="18">
        <f t="shared" si="0"/>
        <v>0.31225393336676127</v>
      </c>
    </row>
    <row r="36" spans="5:6" x14ac:dyDescent="0.25">
      <c r="E36" s="18">
        <v>-0.6</v>
      </c>
      <c r="F36" s="18">
        <f t="shared" si="0"/>
        <v>0.33322460289179967</v>
      </c>
    </row>
    <row r="37" spans="5:6" x14ac:dyDescent="0.25">
      <c r="E37" s="18">
        <v>-0.5</v>
      </c>
      <c r="F37" s="18">
        <f t="shared" si="0"/>
        <v>0.35206532676429952</v>
      </c>
    </row>
    <row r="38" spans="5:6" x14ac:dyDescent="0.25">
      <c r="E38" s="18">
        <v>-0.4</v>
      </c>
      <c r="F38" s="18">
        <f t="shared" si="0"/>
        <v>0.36827014030332333</v>
      </c>
    </row>
    <row r="39" spans="5:6" x14ac:dyDescent="0.25">
      <c r="E39" s="18">
        <v>-0.3</v>
      </c>
      <c r="F39" s="18">
        <f t="shared" si="0"/>
        <v>0.38138781546052414</v>
      </c>
    </row>
    <row r="40" spans="5:6" x14ac:dyDescent="0.25">
      <c r="E40" s="18">
        <v>-0.2</v>
      </c>
      <c r="F40" s="18">
        <f t="shared" si="0"/>
        <v>0.39104269397545588</v>
      </c>
    </row>
    <row r="41" spans="5:6" x14ac:dyDescent="0.25">
      <c r="E41" s="18">
        <v>-0.1</v>
      </c>
      <c r="F41" s="18">
        <f t="shared" si="0"/>
        <v>0.39695254747701181</v>
      </c>
    </row>
    <row r="42" spans="5:6" x14ac:dyDescent="0.25">
      <c r="E42" s="18">
        <v>0</v>
      </c>
      <c r="F42" s="18">
        <f t="shared" si="0"/>
        <v>0.3989422804014327</v>
      </c>
    </row>
    <row r="43" spans="5:6" x14ac:dyDescent="0.25">
      <c r="E43" s="18">
        <v>0.1</v>
      </c>
      <c r="F43" s="18">
        <f t="shared" si="0"/>
        <v>0.39695254747701181</v>
      </c>
    </row>
    <row r="44" spans="5:6" x14ac:dyDescent="0.25">
      <c r="E44" s="18">
        <v>0.2</v>
      </c>
      <c r="F44" s="18">
        <f t="shared" si="0"/>
        <v>0.39104269397545588</v>
      </c>
    </row>
    <row r="45" spans="5:6" x14ac:dyDescent="0.25">
      <c r="E45" s="18">
        <v>0.3</v>
      </c>
      <c r="F45" s="18">
        <f t="shared" si="0"/>
        <v>0.38138781546052414</v>
      </c>
    </row>
    <row r="46" spans="5:6" x14ac:dyDescent="0.25">
      <c r="E46" s="18">
        <v>0.4</v>
      </c>
      <c r="F46" s="18">
        <f t="shared" si="0"/>
        <v>0.36827014030332333</v>
      </c>
    </row>
    <row r="47" spans="5:6" x14ac:dyDescent="0.25">
      <c r="E47" s="18">
        <v>0.5</v>
      </c>
      <c r="F47" s="18">
        <f t="shared" si="0"/>
        <v>0.35206532676429952</v>
      </c>
    </row>
    <row r="48" spans="5:6" x14ac:dyDescent="0.25">
      <c r="E48" s="18">
        <v>0.6</v>
      </c>
      <c r="F48" s="18">
        <f t="shared" si="0"/>
        <v>0.33322460289179967</v>
      </c>
    </row>
    <row r="49" spans="5:6" x14ac:dyDescent="0.25">
      <c r="E49" s="18">
        <v>0.7</v>
      </c>
      <c r="F49" s="18">
        <f t="shared" si="0"/>
        <v>0.31225393336676127</v>
      </c>
    </row>
    <row r="50" spans="5:6" x14ac:dyDescent="0.25">
      <c r="E50" s="18">
        <v>0.8</v>
      </c>
      <c r="F50" s="18">
        <f t="shared" si="0"/>
        <v>0.28969155276148273</v>
      </c>
    </row>
    <row r="51" spans="5:6" x14ac:dyDescent="0.25">
      <c r="E51" s="18">
        <v>0.9</v>
      </c>
      <c r="F51" s="18">
        <f t="shared" si="0"/>
        <v>0.26608524989875482</v>
      </c>
    </row>
    <row r="52" spans="5:6" x14ac:dyDescent="0.25">
      <c r="E52" s="18">
        <v>1</v>
      </c>
      <c r="F52" s="18">
        <f t="shared" si="0"/>
        <v>0.24197072451914337</v>
      </c>
    </row>
    <row r="53" spans="5:6" x14ac:dyDescent="0.25">
      <c r="E53" s="18">
        <v>1.1000000000000001</v>
      </c>
      <c r="F53" s="18">
        <f t="shared" si="0"/>
        <v>0.21785217703255053</v>
      </c>
    </row>
    <row r="54" spans="5:6" x14ac:dyDescent="0.25">
      <c r="E54" s="18">
        <v>1.2</v>
      </c>
      <c r="F54" s="18">
        <f t="shared" si="0"/>
        <v>0.19418605498321295</v>
      </c>
    </row>
    <row r="55" spans="5:6" x14ac:dyDescent="0.25">
      <c r="E55" s="18">
        <v>1.3</v>
      </c>
      <c r="F55" s="18">
        <f t="shared" si="0"/>
        <v>0.17136859204780736</v>
      </c>
    </row>
    <row r="56" spans="5:6" x14ac:dyDescent="0.25">
      <c r="E56" s="18">
        <v>1.4</v>
      </c>
      <c r="F56" s="18">
        <f t="shared" si="0"/>
        <v>0.14972746563574488</v>
      </c>
    </row>
    <row r="57" spans="5:6" x14ac:dyDescent="0.25">
      <c r="E57" s="18">
        <v>1.5</v>
      </c>
      <c r="F57" s="18">
        <f t="shared" ref="F57:F82" si="1">_xlfn.NORM.S.DIST(E57,FALSE)</f>
        <v>0.12951759566589174</v>
      </c>
    </row>
    <row r="58" spans="5:6" x14ac:dyDescent="0.25">
      <c r="E58" s="18">
        <v>1.6</v>
      </c>
      <c r="F58" s="18">
        <f t="shared" si="1"/>
        <v>0.11092083467945554</v>
      </c>
    </row>
    <row r="59" spans="5:6" x14ac:dyDescent="0.25">
      <c r="E59" s="18">
        <v>1.7</v>
      </c>
      <c r="F59" s="18">
        <f t="shared" si="1"/>
        <v>9.4049077376886947E-2</v>
      </c>
    </row>
    <row r="60" spans="5:6" x14ac:dyDescent="0.25">
      <c r="E60" s="18">
        <v>1.8</v>
      </c>
      <c r="F60" s="18">
        <f t="shared" si="1"/>
        <v>7.8950158300894149E-2</v>
      </c>
    </row>
    <row r="61" spans="5:6" x14ac:dyDescent="0.25">
      <c r="E61" s="18">
        <v>1.9</v>
      </c>
      <c r="F61" s="18">
        <f t="shared" si="1"/>
        <v>6.5615814774676595E-2</v>
      </c>
    </row>
    <row r="62" spans="5:6" x14ac:dyDescent="0.25">
      <c r="E62" s="18">
        <v>2</v>
      </c>
      <c r="F62" s="18">
        <f t="shared" si="1"/>
        <v>5.3990966513188063E-2</v>
      </c>
    </row>
    <row r="63" spans="5:6" x14ac:dyDescent="0.25">
      <c r="E63" s="18">
        <v>2.1</v>
      </c>
      <c r="F63" s="18">
        <f t="shared" si="1"/>
        <v>4.3983595980427191E-2</v>
      </c>
    </row>
    <row r="64" spans="5:6" x14ac:dyDescent="0.25">
      <c r="E64" s="18">
        <v>2.2000000000000002</v>
      </c>
      <c r="F64" s="18">
        <f t="shared" si="1"/>
        <v>3.5474592846231424E-2</v>
      </c>
    </row>
    <row r="65" spans="5:6" x14ac:dyDescent="0.25">
      <c r="E65" s="18">
        <v>2.2999999999999998</v>
      </c>
      <c r="F65" s="18">
        <f t="shared" si="1"/>
        <v>2.8327037741601186E-2</v>
      </c>
    </row>
    <row r="66" spans="5:6" x14ac:dyDescent="0.25">
      <c r="E66" s="18">
        <v>2.4</v>
      </c>
      <c r="F66" s="18">
        <f t="shared" si="1"/>
        <v>2.2394530294842899E-2</v>
      </c>
    </row>
    <row r="67" spans="5:6" x14ac:dyDescent="0.25">
      <c r="E67" s="18">
        <v>2.5</v>
      </c>
      <c r="F67" s="18">
        <f t="shared" si="1"/>
        <v>1.752830049356854E-2</v>
      </c>
    </row>
    <row r="68" spans="5:6" x14ac:dyDescent="0.25">
      <c r="E68" s="18">
        <v>2.6</v>
      </c>
      <c r="F68" s="18">
        <f t="shared" si="1"/>
        <v>1.3582969233685613E-2</v>
      </c>
    </row>
    <row r="69" spans="5:6" x14ac:dyDescent="0.25">
      <c r="E69" s="18">
        <v>2.7</v>
      </c>
      <c r="F69" s="18">
        <f t="shared" si="1"/>
        <v>1.0420934814422592E-2</v>
      </c>
    </row>
    <row r="70" spans="5:6" x14ac:dyDescent="0.25">
      <c r="E70" s="18">
        <v>2.8</v>
      </c>
      <c r="F70" s="18">
        <f t="shared" si="1"/>
        <v>7.9154515829799686E-3</v>
      </c>
    </row>
    <row r="71" spans="5:6" x14ac:dyDescent="0.25">
      <c r="E71" s="18">
        <v>2.9</v>
      </c>
      <c r="F71" s="18">
        <f t="shared" si="1"/>
        <v>5.9525324197758538E-3</v>
      </c>
    </row>
    <row r="72" spans="5:6" x14ac:dyDescent="0.25">
      <c r="E72" s="18">
        <v>3</v>
      </c>
      <c r="F72" s="18">
        <f t="shared" si="1"/>
        <v>4.4318484119380075E-3</v>
      </c>
    </row>
    <row r="73" spans="5:6" x14ac:dyDescent="0.25">
      <c r="E73" s="18">
        <v>3.1</v>
      </c>
      <c r="F73" s="18">
        <f t="shared" si="1"/>
        <v>3.2668190561999182E-3</v>
      </c>
    </row>
    <row r="74" spans="5:6" x14ac:dyDescent="0.25">
      <c r="E74" s="18">
        <v>3.2</v>
      </c>
      <c r="F74" s="18">
        <f t="shared" si="1"/>
        <v>2.3840882014648404E-3</v>
      </c>
    </row>
    <row r="75" spans="5:6" x14ac:dyDescent="0.25">
      <c r="E75" s="18">
        <v>3.3</v>
      </c>
      <c r="F75" s="18">
        <f t="shared" si="1"/>
        <v>1.7225689390536812E-3</v>
      </c>
    </row>
    <row r="76" spans="5:6" x14ac:dyDescent="0.25">
      <c r="E76" s="18">
        <v>3.4</v>
      </c>
      <c r="F76" s="18">
        <f t="shared" si="1"/>
        <v>1.2322191684730199E-3</v>
      </c>
    </row>
    <row r="77" spans="5:6" x14ac:dyDescent="0.25">
      <c r="E77" s="18">
        <v>3.5</v>
      </c>
      <c r="F77" s="18">
        <f t="shared" si="1"/>
        <v>8.7268269504576015E-4</v>
      </c>
    </row>
    <row r="78" spans="5:6" x14ac:dyDescent="0.25">
      <c r="E78" s="18">
        <v>3.6</v>
      </c>
      <c r="F78" s="18">
        <f t="shared" si="1"/>
        <v>6.119019301137719E-4</v>
      </c>
    </row>
    <row r="79" spans="5:6" x14ac:dyDescent="0.25">
      <c r="E79" s="18">
        <v>3.7</v>
      </c>
      <c r="F79" s="18">
        <f t="shared" si="1"/>
        <v>4.2478027055075143E-4</v>
      </c>
    </row>
    <row r="80" spans="5:6" x14ac:dyDescent="0.25">
      <c r="E80" s="18">
        <v>3.8</v>
      </c>
      <c r="F80" s="18">
        <f t="shared" si="1"/>
        <v>2.9194692579146027E-4</v>
      </c>
    </row>
    <row r="81" spans="5:6" x14ac:dyDescent="0.25">
      <c r="E81" s="18">
        <v>3.9</v>
      </c>
      <c r="F81" s="18">
        <f t="shared" si="1"/>
        <v>1.9865547139277272E-4</v>
      </c>
    </row>
    <row r="82" spans="5:6" x14ac:dyDescent="0.25">
      <c r="E82" s="18">
        <v>4</v>
      </c>
      <c r="F82" s="18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98</v>
      </c>
    </row>
    <row r="2" spans="1:2" x14ac:dyDescent="0.25">
      <c r="A2" s="7" t="s">
        <v>6</v>
      </c>
      <c r="B2" s="25">
        <v>226</v>
      </c>
    </row>
    <row r="3" spans="1:2" x14ac:dyDescent="0.25">
      <c r="A3" s="7" t="s">
        <v>2</v>
      </c>
      <c r="B3" s="25">
        <v>10</v>
      </c>
    </row>
    <row r="5" spans="1:2" x14ac:dyDescent="0.25">
      <c r="A5" s="7" t="s">
        <v>113</v>
      </c>
      <c r="B5" s="25">
        <v>425</v>
      </c>
    </row>
    <row r="7" spans="1:2" x14ac:dyDescent="0.25">
      <c r="A7" s="7" t="s">
        <v>114</v>
      </c>
      <c r="B7" s="58">
        <v>0.95</v>
      </c>
    </row>
    <row r="9" spans="1:2" x14ac:dyDescent="0.25">
      <c r="A9" s="7" t="s">
        <v>44</v>
      </c>
      <c r="B9" s="58">
        <v>0.05</v>
      </c>
    </row>
    <row r="11" spans="1:2" x14ac:dyDescent="0.25">
      <c r="A11" s="7" t="s">
        <v>115</v>
      </c>
      <c r="B11" s="48">
        <f>-_xlfn.NORM.S.INV(B9/2)</f>
        <v>1.9599639845400538</v>
      </c>
    </row>
    <row r="13" spans="1:2" x14ac:dyDescent="0.25">
      <c r="A13" s="59" t="s">
        <v>116</v>
      </c>
      <c r="B13" s="60">
        <f>B2-(B11*(B3/SQRT(B5)))</f>
        <v>225.04927781992174</v>
      </c>
    </row>
    <row r="14" spans="1:2" x14ac:dyDescent="0.25">
      <c r="A14" s="59" t="s">
        <v>117</v>
      </c>
      <c r="B14" s="60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85" zoomScaleNormal="85" workbookViewId="0"/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74">
        <f>CORREL(B2:B24,C2:C24)</f>
        <v>0.29081897658677197</v>
      </c>
      <c r="G20" s="75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6" t="s">
        <v>35</v>
      </c>
      <c r="F21" s="76">
        <f>F20/SQRT((1-(F20^2))/(F2-2))</f>
        <v>1.3929039354677464</v>
      </c>
      <c r="G21" s="76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6" t="s">
        <v>40</v>
      </c>
      <c r="F22" s="74">
        <f>_xlfn.T.DIST.2T(F21,21)</f>
        <v>0.17822078262232119</v>
      </c>
      <c r="G22" s="75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6" t="s">
        <v>36</v>
      </c>
      <c r="F24" s="76">
        <f>_xlfn.T.INV.2T(0.05,23-2)</f>
        <v>2.07961384472768</v>
      </c>
      <c r="G24" s="76"/>
      <c r="I24" s="12">
        <v>23</v>
      </c>
      <c r="J24" s="4">
        <v>0.28139999999999998</v>
      </c>
      <c r="K24" s="4">
        <v>0.626</v>
      </c>
    </row>
    <row r="25" spans="1:11" x14ac:dyDescent="0.25">
      <c r="F25" s="77"/>
      <c r="G25" s="77"/>
    </row>
    <row r="26" spans="1:11" x14ac:dyDescent="0.25">
      <c r="E26" s="47" t="s">
        <v>38</v>
      </c>
      <c r="F26" s="78" t="s">
        <v>138</v>
      </c>
      <c r="G26" s="79"/>
    </row>
    <row r="27" spans="1:11" x14ac:dyDescent="0.25">
      <c r="E27" s="38" t="s">
        <v>39</v>
      </c>
      <c r="F27" s="78" t="s">
        <v>139</v>
      </c>
      <c r="G27" s="79"/>
    </row>
    <row r="29" spans="1:11" x14ac:dyDescent="0.25">
      <c r="E29" s="73" t="s">
        <v>41</v>
      </c>
      <c r="F29" s="73"/>
      <c r="G29" s="73"/>
    </row>
  </sheetData>
  <sortState xmlns:xlrd2="http://schemas.microsoft.com/office/spreadsheetml/2017/richdata2" ref="K2:K24">
    <sortCondition ref="K1:K24"/>
  </sortState>
  <mergeCells count="8">
    <mergeCell ref="E29:G29"/>
    <mergeCell ref="F20:G20"/>
    <mergeCell ref="F21:G21"/>
    <mergeCell ref="F24:G24"/>
    <mergeCell ref="F22:G22"/>
    <mergeCell ref="F25:G25"/>
    <mergeCell ref="F26:G26"/>
    <mergeCell ref="F27:G2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C1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3" x14ac:dyDescent="0.25">
      <c r="A1" s="35" t="s">
        <v>79</v>
      </c>
      <c r="B1" s="36"/>
    </row>
    <row r="2" spans="1:3" x14ac:dyDescent="0.25">
      <c r="A2" s="37" t="s">
        <v>77</v>
      </c>
      <c r="B2" s="43">
        <f>1/6</f>
        <v>0.16666666666666666</v>
      </c>
    </row>
    <row r="3" spans="1:3" x14ac:dyDescent="0.25">
      <c r="A3" s="37" t="s">
        <v>80</v>
      </c>
      <c r="B3" s="38">
        <v>10</v>
      </c>
    </row>
    <row r="5" spans="1:3" x14ac:dyDescent="0.25">
      <c r="A5" s="37" t="s">
        <v>81</v>
      </c>
      <c r="B5" s="44">
        <f>_xlfn.BINOM.DIST(4,$B$3,$B$2,FALSE)</f>
        <v>5.426587585098816E-2</v>
      </c>
    </row>
    <row r="6" spans="1:3" x14ac:dyDescent="0.25">
      <c r="A6" s="37" t="s">
        <v>82</v>
      </c>
      <c r="B6" s="44">
        <f>_xlfn.BINOM.DIST(10,$B$3,$B$2,TRUE)-_xlfn.BINOM.DIST(6,$B$3,$B$2,TRUE)</f>
        <v>2.6752146522379672E-4</v>
      </c>
      <c r="C6" t="s">
        <v>134</v>
      </c>
    </row>
    <row r="8" spans="1:3" x14ac:dyDescent="0.25">
      <c r="A8" s="45" t="s">
        <v>83</v>
      </c>
      <c r="B8" s="46">
        <f>_xlfn.BINOM.DIST(7,$B$3,$B$2,FALSE)</f>
        <v>2.4807257531880307E-4</v>
      </c>
    </row>
    <row r="9" spans="1:3" x14ac:dyDescent="0.25">
      <c r="A9" s="45" t="s">
        <v>84</v>
      </c>
      <c r="B9" s="46">
        <f>_xlfn.BINOM.DIST(8,$B$3,$B$2,FALSE)</f>
        <v>1.8605443148910209E-5</v>
      </c>
    </row>
    <row r="10" spans="1:3" x14ac:dyDescent="0.25">
      <c r="A10" s="45" t="s">
        <v>85</v>
      </c>
      <c r="B10" s="46">
        <f>_xlfn.BINOM.DIST(9,$B$3,$B$2,FALSE)</f>
        <v>8.2690858439600864E-7</v>
      </c>
    </row>
    <row r="11" spans="1:3" x14ac:dyDescent="0.25">
      <c r="A11" s="45" t="s">
        <v>86</v>
      </c>
      <c r="B11" s="46">
        <f>_xlfn.BINOM.DIST(10,$B$3,$B$2,FALSE)</f>
        <v>1.6538171687920224E-8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K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1" x14ac:dyDescent="0.25">
      <c r="A1" s="35" t="s">
        <v>76</v>
      </c>
      <c r="B1" s="36"/>
      <c r="F1" s="80" t="s">
        <v>135</v>
      </c>
      <c r="G1" s="81"/>
      <c r="H1" s="81"/>
      <c r="I1" s="81"/>
      <c r="J1" s="81"/>
      <c r="K1" s="82"/>
    </row>
    <row r="2" spans="1:11" x14ac:dyDescent="0.25">
      <c r="A2" s="37" t="s">
        <v>77</v>
      </c>
      <c r="B2" s="42">
        <f>3/5</f>
        <v>0.6</v>
      </c>
      <c r="F2" s="83"/>
      <c r="G2" s="84"/>
      <c r="H2" s="84"/>
      <c r="I2" s="84"/>
      <c r="J2" s="84"/>
      <c r="K2" s="85"/>
    </row>
    <row r="3" spans="1:11" x14ac:dyDescent="0.25">
      <c r="A3" s="37" t="s">
        <v>78</v>
      </c>
      <c r="B3" s="38">
        <v>20</v>
      </c>
      <c r="F3" s="83"/>
      <c r="G3" s="84"/>
      <c r="H3" s="84"/>
      <c r="I3" s="84"/>
      <c r="J3" s="84"/>
      <c r="K3" s="85"/>
    </row>
    <row r="4" spans="1:11" x14ac:dyDescent="0.25">
      <c r="A4" s="37" t="s">
        <v>74</v>
      </c>
      <c r="B4" s="38">
        <v>12</v>
      </c>
      <c r="F4" s="83"/>
      <c r="G4" s="84"/>
      <c r="H4" s="84"/>
      <c r="I4" s="84"/>
      <c r="J4" s="84"/>
      <c r="K4" s="85"/>
    </row>
    <row r="5" spans="1:11" x14ac:dyDescent="0.25">
      <c r="F5" s="83"/>
      <c r="G5" s="84"/>
      <c r="H5" s="84"/>
      <c r="I5" s="84"/>
      <c r="J5" s="84"/>
      <c r="K5" s="85"/>
    </row>
    <row r="6" spans="1:11" x14ac:dyDescent="0.25">
      <c r="F6" s="86"/>
      <c r="G6" s="87"/>
      <c r="H6" s="87"/>
      <c r="I6" s="87"/>
      <c r="J6" s="87"/>
      <c r="K6" s="88"/>
    </row>
    <row r="7" spans="1:11" x14ac:dyDescent="0.25">
      <c r="A7" s="39" t="s">
        <v>75</v>
      </c>
      <c r="B7" s="41">
        <f>_xlfn.NEGBINOM.DIST(($B$3-$B$4),$B$4,$B$2,FALSE)</f>
        <v>0.10782347265281357</v>
      </c>
    </row>
  </sheetData>
  <mergeCells count="1">
    <mergeCell ref="F1:K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B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35" t="s">
        <v>73</v>
      </c>
      <c r="B1" s="36"/>
    </row>
    <row r="2" spans="1:2" x14ac:dyDescent="0.25">
      <c r="A2" s="37" t="s">
        <v>131</v>
      </c>
      <c r="B2" s="38">
        <v>5</v>
      </c>
    </row>
    <row r="3" spans="1:2" x14ac:dyDescent="0.25">
      <c r="A3" s="37" t="s">
        <v>136</v>
      </c>
      <c r="B3" s="38">
        <v>9</v>
      </c>
    </row>
    <row r="6" spans="1:2" x14ac:dyDescent="0.25">
      <c r="A6" s="39" t="s">
        <v>75</v>
      </c>
      <c r="B6" s="40">
        <f>_xlfn.POISSON.DIST($B$3,$B$2,FALSE)</f>
        <v>3.6265577415643749E-2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7"/>
      <c r="B1" s="5" t="s">
        <v>30</v>
      </c>
      <c r="F1" s="47" t="s">
        <v>97</v>
      </c>
      <c r="G1" s="47" t="s">
        <v>102</v>
      </c>
    </row>
    <row r="2" spans="1:7" x14ac:dyDescent="0.25">
      <c r="A2" s="7" t="s">
        <v>6</v>
      </c>
      <c r="B2" s="18">
        <v>26.5</v>
      </c>
      <c r="F2" s="18">
        <v>-4</v>
      </c>
      <c r="G2" s="18">
        <f t="shared" ref="G2:G65" si="0">_xlfn.NORM.S.DIST(F2,FALSE)</f>
        <v>1.3383022576488537E-4</v>
      </c>
    </row>
    <row r="3" spans="1:7" x14ac:dyDescent="0.25">
      <c r="A3" s="7" t="s">
        <v>2</v>
      </c>
      <c r="B3" s="18">
        <v>4</v>
      </c>
      <c r="F3" s="18">
        <v>-3.9</v>
      </c>
      <c r="G3" s="18">
        <f t="shared" si="0"/>
        <v>1.9865547139277272E-4</v>
      </c>
    </row>
    <row r="4" spans="1:7" x14ac:dyDescent="0.25">
      <c r="F4" s="18">
        <v>-3.8</v>
      </c>
      <c r="G4" s="18">
        <f t="shared" si="0"/>
        <v>2.9194692579146027E-4</v>
      </c>
    </row>
    <row r="5" spans="1:7" x14ac:dyDescent="0.25">
      <c r="A5" s="89" t="s">
        <v>107</v>
      </c>
      <c r="B5" s="90"/>
      <c r="F5" s="18">
        <v>-3.7</v>
      </c>
      <c r="G5" s="18">
        <f t="shared" si="0"/>
        <v>4.2478027055075143E-4</v>
      </c>
    </row>
    <row r="6" spans="1:7" x14ac:dyDescent="0.25">
      <c r="A6" s="57" t="s">
        <v>104</v>
      </c>
      <c r="B6" s="25">
        <v>37</v>
      </c>
      <c r="F6" s="18">
        <v>-3.6</v>
      </c>
      <c r="G6" s="18">
        <f t="shared" si="0"/>
        <v>6.119019301137719E-4</v>
      </c>
    </row>
    <row r="7" spans="1:7" x14ac:dyDescent="0.25">
      <c r="A7" s="57" t="s">
        <v>105</v>
      </c>
      <c r="B7" s="25">
        <v>20</v>
      </c>
      <c r="F7" s="18">
        <v>-3.5</v>
      </c>
      <c r="G7" s="18">
        <f t="shared" si="0"/>
        <v>8.7268269504576015E-4</v>
      </c>
    </row>
    <row r="8" spans="1:7" x14ac:dyDescent="0.25">
      <c r="A8" s="57" t="s">
        <v>106</v>
      </c>
      <c r="B8" s="25">
        <v>22</v>
      </c>
      <c r="C8" s="25">
        <v>28</v>
      </c>
      <c r="F8" s="18">
        <v>-3.4</v>
      </c>
      <c r="G8" s="18">
        <f t="shared" si="0"/>
        <v>1.2322191684730199E-3</v>
      </c>
    </row>
    <row r="9" spans="1:7" x14ac:dyDescent="0.25">
      <c r="F9" s="18">
        <v>-3.3</v>
      </c>
      <c r="G9" s="18">
        <f t="shared" si="0"/>
        <v>1.7225689390536812E-3</v>
      </c>
    </row>
    <row r="10" spans="1:7" x14ac:dyDescent="0.25">
      <c r="A10" s="89" t="s">
        <v>108</v>
      </c>
      <c r="B10" s="90"/>
      <c r="F10" s="18">
        <v>-3.2</v>
      </c>
      <c r="G10" s="18">
        <f t="shared" si="0"/>
        <v>2.3840882014648404E-3</v>
      </c>
    </row>
    <row r="11" spans="1:7" x14ac:dyDescent="0.25">
      <c r="A11" s="57" t="s">
        <v>109</v>
      </c>
      <c r="B11" s="25">
        <f>+(B6-$B$2)/$B$3</f>
        <v>2.625</v>
      </c>
      <c r="F11" s="18">
        <v>-3.1</v>
      </c>
      <c r="G11" s="18">
        <f t="shared" si="0"/>
        <v>3.2668190561999182E-3</v>
      </c>
    </row>
    <row r="12" spans="1:7" x14ac:dyDescent="0.25">
      <c r="A12" s="57" t="s">
        <v>110</v>
      </c>
      <c r="B12" s="25">
        <f>+(B7-$B$2)/$B$3</f>
        <v>-1.625</v>
      </c>
      <c r="F12" s="18">
        <v>-3</v>
      </c>
      <c r="G12" s="18">
        <f t="shared" si="0"/>
        <v>4.4318484119380075E-3</v>
      </c>
    </row>
    <row r="13" spans="1:7" x14ac:dyDescent="0.25">
      <c r="A13" s="57" t="s">
        <v>111</v>
      </c>
      <c r="B13" s="25">
        <f>+(B8-$B$2)/$B$3</f>
        <v>-1.125</v>
      </c>
      <c r="C13" s="25">
        <f>+(C8-$B$2)/$B$3</f>
        <v>0.375</v>
      </c>
      <c r="F13" s="18">
        <v>-2.9</v>
      </c>
      <c r="G13" s="18">
        <f t="shared" si="0"/>
        <v>5.9525324197758538E-3</v>
      </c>
    </row>
    <row r="14" spans="1:7" x14ac:dyDescent="0.25">
      <c r="F14" s="18">
        <v>-2.8</v>
      </c>
      <c r="G14" s="18">
        <f t="shared" si="0"/>
        <v>7.9154515829799686E-3</v>
      </c>
    </row>
    <row r="15" spans="1:7" x14ac:dyDescent="0.25">
      <c r="A15" s="89" t="s">
        <v>112</v>
      </c>
      <c r="B15" s="90"/>
      <c r="F15" s="18">
        <v>-2.7</v>
      </c>
      <c r="G15" s="18">
        <f t="shared" si="0"/>
        <v>1.0420934814422592E-2</v>
      </c>
    </row>
    <row r="16" spans="1:7" x14ac:dyDescent="0.25">
      <c r="A16" s="57" t="s">
        <v>109</v>
      </c>
      <c r="B16" s="4">
        <f>1-_xlfn.NORM.S.DIST(B11,TRUE)</f>
        <v>4.3324483630126087E-3</v>
      </c>
      <c r="F16" s="18">
        <v>-2.6</v>
      </c>
      <c r="G16" s="18">
        <f t="shared" si="0"/>
        <v>1.3582969233685613E-2</v>
      </c>
    </row>
    <row r="17" spans="1:7" x14ac:dyDescent="0.25">
      <c r="A17" s="57" t="s">
        <v>110</v>
      </c>
      <c r="B17" s="4">
        <f>_xlfn.NORM.S.DIST(B12,TRUE)</f>
        <v>5.2081279415219527E-2</v>
      </c>
      <c r="C17" s="19" t="s">
        <v>132</v>
      </c>
      <c r="D17" s="19" t="s">
        <v>133</v>
      </c>
      <c r="F17" s="18">
        <v>-2.5</v>
      </c>
      <c r="G17" s="18">
        <f t="shared" si="0"/>
        <v>1.752830049356854E-2</v>
      </c>
    </row>
    <row r="18" spans="1:7" x14ac:dyDescent="0.25">
      <c r="A18" s="57" t="s">
        <v>111</v>
      </c>
      <c r="B18" s="4">
        <f>D18-C18</f>
        <v>0.51587524953591501</v>
      </c>
      <c r="C18" s="68">
        <f>_xlfn.NORM.S.DIST(B13,TRUE)</f>
        <v>0.13029451713680881</v>
      </c>
      <c r="D18" s="4">
        <f>_xlfn.NORM.S.DIST(C13,TRUE)</f>
        <v>0.64616976667272386</v>
      </c>
      <c r="F18" s="18">
        <v>-2.4</v>
      </c>
      <c r="G18" s="18">
        <f t="shared" si="0"/>
        <v>2.2394530294842899E-2</v>
      </c>
    </row>
    <row r="19" spans="1:7" x14ac:dyDescent="0.25">
      <c r="F19" s="18">
        <v>-2.2999999999999998</v>
      </c>
      <c r="G19" s="18">
        <f t="shared" si="0"/>
        <v>2.8327037741601186E-2</v>
      </c>
    </row>
    <row r="20" spans="1:7" x14ac:dyDescent="0.25">
      <c r="F20" s="18">
        <v>-2.2000000000000002</v>
      </c>
      <c r="G20" s="18">
        <f t="shared" si="0"/>
        <v>3.5474592846231424E-2</v>
      </c>
    </row>
    <row r="21" spans="1:7" x14ac:dyDescent="0.25">
      <c r="F21" s="18">
        <v>-2.1</v>
      </c>
      <c r="G21" s="18">
        <f t="shared" si="0"/>
        <v>4.3983595980427191E-2</v>
      </c>
    </row>
    <row r="22" spans="1:7" x14ac:dyDescent="0.25">
      <c r="F22" s="18">
        <v>-2</v>
      </c>
      <c r="G22" s="18">
        <f t="shared" si="0"/>
        <v>5.3990966513188063E-2</v>
      </c>
    </row>
    <row r="23" spans="1:7" x14ac:dyDescent="0.25">
      <c r="F23" s="18">
        <v>-1.9</v>
      </c>
      <c r="G23" s="18">
        <f t="shared" si="0"/>
        <v>6.5615814774676595E-2</v>
      </c>
    </row>
    <row r="24" spans="1:7" x14ac:dyDescent="0.25">
      <c r="F24" s="18">
        <v>-1.8</v>
      </c>
      <c r="G24" s="18">
        <f t="shared" si="0"/>
        <v>7.8950158300894149E-2</v>
      </c>
    </row>
    <row r="25" spans="1:7" x14ac:dyDescent="0.25">
      <c r="F25" s="18">
        <v>-1.7</v>
      </c>
      <c r="G25" s="18">
        <f t="shared" si="0"/>
        <v>9.4049077376886947E-2</v>
      </c>
    </row>
    <row r="26" spans="1:7" x14ac:dyDescent="0.25">
      <c r="F26" s="18">
        <v>-1.6</v>
      </c>
      <c r="G26" s="18">
        <f t="shared" si="0"/>
        <v>0.11092083467945554</v>
      </c>
    </row>
    <row r="27" spans="1:7" x14ac:dyDescent="0.25">
      <c r="F27" s="18">
        <v>-1.5</v>
      </c>
      <c r="G27" s="18">
        <f t="shared" si="0"/>
        <v>0.12951759566589174</v>
      </c>
    </row>
    <row r="28" spans="1:7" x14ac:dyDescent="0.25">
      <c r="F28" s="18">
        <v>-1.4</v>
      </c>
      <c r="G28" s="18">
        <f t="shared" si="0"/>
        <v>0.14972746563574488</v>
      </c>
    </row>
    <row r="29" spans="1:7" x14ac:dyDescent="0.25">
      <c r="F29" s="18">
        <v>-1.3</v>
      </c>
      <c r="G29" s="18">
        <f t="shared" si="0"/>
        <v>0.17136859204780736</v>
      </c>
    </row>
    <row r="30" spans="1:7" x14ac:dyDescent="0.25">
      <c r="F30" s="18">
        <v>-1.2</v>
      </c>
      <c r="G30" s="18">
        <f t="shared" si="0"/>
        <v>0.19418605498321295</v>
      </c>
    </row>
    <row r="31" spans="1:7" x14ac:dyDescent="0.25">
      <c r="F31" s="18">
        <v>-1.1000000000000001</v>
      </c>
      <c r="G31" s="18">
        <f t="shared" si="0"/>
        <v>0.21785217703255053</v>
      </c>
    </row>
    <row r="32" spans="1:7" x14ac:dyDescent="0.25">
      <c r="F32" s="18">
        <v>-1</v>
      </c>
      <c r="G32" s="18">
        <f t="shared" si="0"/>
        <v>0.24197072451914337</v>
      </c>
    </row>
    <row r="33" spans="6:7" x14ac:dyDescent="0.25">
      <c r="F33" s="18">
        <v>-0.9</v>
      </c>
      <c r="G33" s="18">
        <f t="shared" si="0"/>
        <v>0.26608524989875482</v>
      </c>
    </row>
    <row r="34" spans="6:7" x14ac:dyDescent="0.25">
      <c r="F34" s="18">
        <v>-0.8</v>
      </c>
      <c r="G34" s="18">
        <f t="shared" si="0"/>
        <v>0.28969155276148273</v>
      </c>
    </row>
    <row r="35" spans="6:7" x14ac:dyDescent="0.25">
      <c r="F35" s="18">
        <v>-0.7</v>
      </c>
      <c r="G35" s="18">
        <f t="shared" si="0"/>
        <v>0.31225393336676127</v>
      </c>
    </row>
    <row r="36" spans="6:7" x14ac:dyDescent="0.25">
      <c r="F36" s="18">
        <v>-0.6</v>
      </c>
      <c r="G36" s="18">
        <f t="shared" si="0"/>
        <v>0.33322460289179967</v>
      </c>
    </row>
    <row r="37" spans="6:7" x14ac:dyDescent="0.25">
      <c r="F37" s="18">
        <v>-0.5</v>
      </c>
      <c r="G37" s="18">
        <f t="shared" si="0"/>
        <v>0.35206532676429952</v>
      </c>
    </row>
    <row r="38" spans="6:7" x14ac:dyDescent="0.25">
      <c r="F38" s="18">
        <v>-0.4</v>
      </c>
      <c r="G38" s="18">
        <f t="shared" si="0"/>
        <v>0.36827014030332333</v>
      </c>
    </row>
    <row r="39" spans="6:7" x14ac:dyDescent="0.25">
      <c r="F39" s="18">
        <v>-0.3</v>
      </c>
      <c r="G39" s="18">
        <f t="shared" si="0"/>
        <v>0.38138781546052414</v>
      </c>
    </row>
    <row r="40" spans="6:7" x14ac:dyDescent="0.25">
      <c r="F40" s="18">
        <v>-0.2</v>
      </c>
      <c r="G40" s="18">
        <f t="shared" si="0"/>
        <v>0.39104269397545588</v>
      </c>
    </row>
    <row r="41" spans="6:7" x14ac:dyDescent="0.25">
      <c r="F41" s="18">
        <v>-0.1</v>
      </c>
      <c r="G41" s="18">
        <f t="shared" si="0"/>
        <v>0.39695254747701181</v>
      </c>
    </row>
    <row r="42" spans="6:7" x14ac:dyDescent="0.25">
      <c r="F42" s="18">
        <v>0</v>
      </c>
      <c r="G42" s="18">
        <f t="shared" si="0"/>
        <v>0.3989422804014327</v>
      </c>
    </row>
    <row r="43" spans="6:7" x14ac:dyDescent="0.25">
      <c r="F43" s="18">
        <v>0.1</v>
      </c>
      <c r="G43" s="18">
        <f t="shared" si="0"/>
        <v>0.39695254747701181</v>
      </c>
    </row>
    <row r="44" spans="6:7" x14ac:dyDescent="0.25">
      <c r="F44" s="18">
        <v>0.2</v>
      </c>
      <c r="G44" s="18">
        <f t="shared" si="0"/>
        <v>0.39104269397545588</v>
      </c>
    </row>
    <row r="45" spans="6:7" x14ac:dyDescent="0.25">
      <c r="F45" s="18">
        <v>0.3</v>
      </c>
      <c r="G45" s="18">
        <f t="shared" si="0"/>
        <v>0.38138781546052414</v>
      </c>
    </row>
    <row r="46" spans="6:7" x14ac:dyDescent="0.25">
      <c r="F46" s="18">
        <v>0.4</v>
      </c>
      <c r="G46" s="18">
        <f t="shared" si="0"/>
        <v>0.36827014030332333</v>
      </c>
    </row>
    <row r="47" spans="6:7" x14ac:dyDescent="0.25">
      <c r="F47" s="18">
        <v>0.5</v>
      </c>
      <c r="G47" s="18">
        <f t="shared" si="0"/>
        <v>0.35206532676429952</v>
      </c>
    </row>
    <row r="48" spans="6:7" x14ac:dyDescent="0.25">
      <c r="F48" s="18">
        <v>0.6</v>
      </c>
      <c r="G48" s="18">
        <f t="shared" si="0"/>
        <v>0.33322460289179967</v>
      </c>
    </row>
    <row r="49" spans="6:7" x14ac:dyDescent="0.25">
      <c r="F49" s="18">
        <v>0.7</v>
      </c>
      <c r="G49" s="18">
        <f t="shared" si="0"/>
        <v>0.31225393336676127</v>
      </c>
    </row>
    <row r="50" spans="6:7" x14ac:dyDescent="0.25">
      <c r="F50" s="18">
        <v>0.8</v>
      </c>
      <c r="G50" s="18">
        <f t="shared" si="0"/>
        <v>0.28969155276148273</v>
      </c>
    </row>
    <row r="51" spans="6:7" x14ac:dyDescent="0.25">
      <c r="F51" s="18">
        <v>0.9</v>
      </c>
      <c r="G51" s="18">
        <f t="shared" si="0"/>
        <v>0.26608524989875482</v>
      </c>
    </row>
    <row r="52" spans="6:7" x14ac:dyDescent="0.25">
      <c r="F52" s="18">
        <v>1</v>
      </c>
      <c r="G52" s="18">
        <f t="shared" si="0"/>
        <v>0.24197072451914337</v>
      </c>
    </row>
    <row r="53" spans="6:7" x14ac:dyDescent="0.25">
      <c r="F53" s="18">
        <v>1.1000000000000001</v>
      </c>
      <c r="G53" s="18">
        <f t="shared" si="0"/>
        <v>0.21785217703255053</v>
      </c>
    </row>
    <row r="54" spans="6:7" x14ac:dyDescent="0.25">
      <c r="F54" s="18">
        <v>1.2</v>
      </c>
      <c r="G54" s="18">
        <f t="shared" si="0"/>
        <v>0.19418605498321295</v>
      </c>
    </row>
    <row r="55" spans="6:7" x14ac:dyDescent="0.25">
      <c r="F55" s="18">
        <v>1.3</v>
      </c>
      <c r="G55" s="18">
        <f t="shared" si="0"/>
        <v>0.17136859204780736</v>
      </c>
    </row>
    <row r="56" spans="6:7" x14ac:dyDescent="0.25">
      <c r="F56" s="18">
        <v>1.4</v>
      </c>
      <c r="G56" s="18">
        <f t="shared" si="0"/>
        <v>0.14972746563574488</v>
      </c>
    </row>
    <row r="57" spans="6:7" x14ac:dyDescent="0.25">
      <c r="F57" s="18">
        <v>1.5</v>
      </c>
      <c r="G57" s="18">
        <f t="shared" si="0"/>
        <v>0.12951759566589174</v>
      </c>
    </row>
    <row r="58" spans="6:7" x14ac:dyDescent="0.25">
      <c r="F58" s="18">
        <v>1.6</v>
      </c>
      <c r="G58" s="18">
        <f t="shared" si="0"/>
        <v>0.11092083467945554</v>
      </c>
    </row>
    <row r="59" spans="6:7" x14ac:dyDescent="0.25">
      <c r="F59" s="18">
        <v>1.7</v>
      </c>
      <c r="G59" s="18">
        <f t="shared" si="0"/>
        <v>9.4049077376886947E-2</v>
      </c>
    </row>
    <row r="60" spans="6:7" x14ac:dyDescent="0.25">
      <c r="F60" s="18">
        <v>1.8</v>
      </c>
      <c r="G60" s="18">
        <f t="shared" si="0"/>
        <v>7.8950158300894149E-2</v>
      </c>
    </row>
    <row r="61" spans="6:7" x14ac:dyDescent="0.25">
      <c r="F61" s="18">
        <v>1.9</v>
      </c>
      <c r="G61" s="18">
        <f t="shared" si="0"/>
        <v>6.5615814774676595E-2</v>
      </c>
    </row>
    <row r="62" spans="6:7" x14ac:dyDescent="0.25">
      <c r="F62" s="18">
        <v>2</v>
      </c>
      <c r="G62" s="18">
        <f t="shared" si="0"/>
        <v>5.3990966513188063E-2</v>
      </c>
    </row>
    <row r="63" spans="6:7" x14ac:dyDescent="0.25">
      <c r="F63" s="18">
        <v>2.1</v>
      </c>
      <c r="G63" s="18">
        <f t="shared" si="0"/>
        <v>4.3983595980427191E-2</v>
      </c>
    </row>
    <row r="64" spans="6:7" x14ac:dyDescent="0.25">
      <c r="F64" s="18">
        <v>2.2000000000000002</v>
      </c>
      <c r="G64" s="18">
        <f t="shared" si="0"/>
        <v>3.5474592846231424E-2</v>
      </c>
    </row>
    <row r="65" spans="6:7" x14ac:dyDescent="0.25">
      <c r="F65" s="18">
        <v>2.2999999999999998</v>
      </c>
      <c r="G65" s="18">
        <f t="shared" si="0"/>
        <v>2.8327037741601186E-2</v>
      </c>
    </row>
    <row r="66" spans="6:7" x14ac:dyDescent="0.25">
      <c r="F66" s="18">
        <v>2.4</v>
      </c>
      <c r="G66" s="18">
        <f t="shared" ref="G66:G82" si="1">_xlfn.NORM.S.DIST(F66,FALSE)</f>
        <v>2.2394530294842899E-2</v>
      </c>
    </row>
    <row r="67" spans="6:7" x14ac:dyDescent="0.25">
      <c r="F67" s="18">
        <v>2.5</v>
      </c>
      <c r="G67" s="18">
        <f t="shared" si="1"/>
        <v>1.752830049356854E-2</v>
      </c>
    </row>
    <row r="68" spans="6:7" x14ac:dyDescent="0.25">
      <c r="F68" s="18">
        <v>2.6</v>
      </c>
      <c r="G68" s="18">
        <f t="shared" si="1"/>
        <v>1.3582969233685613E-2</v>
      </c>
    </row>
    <row r="69" spans="6:7" x14ac:dyDescent="0.25">
      <c r="F69" s="18">
        <v>2.7</v>
      </c>
      <c r="G69" s="18">
        <f t="shared" si="1"/>
        <v>1.0420934814422592E-2</v>
      </c>
    </row>
    <row r="70" spans="6:7" x14ac:dyDescent="0.25">
      <c r="F70" s="18">
        <v>2.8</v>
      </c>
      <c r="G70" s="18">
        <f t="shared" si="1"/>
        <v>7.9154515829799686E-3</v>
      </c>
    </row>
    <row r="71" spans="6:7" x14ac:dyDescent="0.25">
      <c r="F71" s="18">
        <v>2.9</v>
      </c>
      <c r="G71" s="18">
        <f t="shared" si="1"/>
        <v>5.9525324197758538E-3</v>
      </c>
    </row>
    <row r="72" spans="6:7" x14ac:dyDescent="0.25">
      <c r="F72" s="18">
        <v>3</v>
      </c>
      <c r="G72" s="18">
        <f t="shared" si="1"/>
        <v>4.4318484119380075E-3</v>
      </c>
    </row>
    <row r="73" spans="6:7" x14ac:dyDescent="0.25">
      <c r="F73" s="18">
        <v>3.1</v>
      </c>
      <c r="G73" s="18">
        <f t="shared" si="1"/>
        <v>3.2668190561999182E-3</v>
      </c>
    </row>
    <row r="74" spans="6:7" x14ac:dyDescent="0.25">
      <c r="F74" s="18">
        <v>3.2</v>
      </c>
      <c r="G74" s="18">
        <f t="shared" si="1"/>
        <v>2.3840882014648404E-3</v>
      </c>
    </row>
    <row r="75" spans="6:7" x14ac:dyDescent="0.25">
      <c r="F75" s="18">
        <v>3.3</v>
      </c>
      <c r="G75" s="18">
        <f t="shared" si="1"/>
        <v>1.7225689390536812E-3</v>
      </c>
    </row>
    <row r="76" spans="6:7" x14ac:dyDescent="0.25">
      <c r="F76" s="18">
        <v>3.4</v>
      </c>
      <c r="G76" s="18">
        <f t="shared" si="1"/>
        <v>1.2322191684730199E-3</v>
      </c>
    </row>
    <row r="77" spans="6:7" x14ac:dyDescent="0.25">
      <c r="F77" s="18">
        <v>3.5</v>
      </c>
      <c r="G77" s="18">
        <f t="shared" si="1"/>
        <v>8.7268269504576015E-4</v>
      </c>
    </row>
    <row r="78" spans="6:7" x14ac:dyDescent="0.25">
      <c r="F78" s="18">
        <v>3.6</v>
      </c>
      <c r="G78" s="18">
        <f t="shared" si="1"/>
        <v>6.119019301137719E-4</v>
      </c>
    </row>
    <row r="79" spans="6:7" x14ac:dyDescent="0.25">
      <c r="F79" s="18">
        <v>3.7</v>
      </c>
      <c r="G79" s="18">
        <f t="shared" si="1"/>
        <v>4.2478027055075143E-4</v>
      </c>
    </row>
    <row r="80" spans="6:7" x14ac:dyDescent="0.25">
      <c r="F80" s="18">
        <v>3.8</v>
      </c>
      <c r="G80" s="18">
        <f t="shared" si="1"/>
        <v>2.9194692579146027E-4</v>
      </c>
    </row>
    <row r="81" spans="6:7" x14ac:dyDescent="0.25">
      <c r="F81" s="18">
        <v>3.9</v>
      </c>
      <c r="G81" s="18">
        <f t="shared" si="1"/>
        <v>1.9865547139277272E-4</v>
      </c>
    </row>
    <row r="82" spans="6:7" x14ac:dyDescent="0.25">
      <c r="F82" s="18">
        <v>4</v>
      </c>
      <c r="G82" s="18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customWidth="1"/>
    <col min="2" max="5" width="12.7109375" customWidth="1"/>
  </cols>
  <sheetData>
    <row r="1" spans="1:15" x14ac:dyDescent="0.25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J1" s="80" t="s">
        <v>135</v>
      </c>
      <c r="K1" s="81"/>
      <c r="L1" s="81"/>
      <c r="M1" s="81"/>
      <c r="N1" s="81"/>
      <c r="O1" s="82"/>
    </row>
    <row r="2" spans="1:15" x14ac:dyDescent="0.25">
      <c r="A2" s="13" t="s">
        <v>28</v>
      </c>
      <c r="B2" s="13">
        <v>29</v>
      </c>
      <c r="C2" s="13">
        <v>15</v>
      </c>
      <c r="D2" s="13">
        <v>16</v>
      </c>
      <c r="E2" s="14">
        <v>60</v>
      </c>
      <c r="F2" s="21" t="s">
        <v>66</v>
      </c>
      <c r="J2" s="83"/>
      <c r="K2" s="84"/>
      <c r="L2" s="84"/>
      <c r="M2" s="84"/>
      <c r="N2" s="84"/>
      <c r="O2" s="85"/>
    </row>
    <row r="3" spans="1:15" x14ac:dyDescent="0.25">
      <c r="A3" s="13" t="s">
        <v>29</v>
      </c>
      <c r="B3" s="13">
        <v>0.48299999999999998</v>
      </c>
      <c r="C3" s="13">
        <v>0.25</v>
      </c>
      <c r="D3" s="13">
        <v>0.26700000000000002</v>
      </c>
      <c r="E3" s="16">
        <f>+SUM(B3:D3)</f>
        <v>1</v>
      </c>
      <c r="J3" s="83"/>
      <c r="K3" s="84"/>
      <c r="L3" s="84"/>
      <c r="M3" s="84"/>
      <c r="N3" s="84"/>
      <c r="O3" s="85"/>
    </row>
    <row r="4" spans="1:15" x14ac:dyDescent="0.25">
      <c r="J4" s="83"/>
      <c r="K4" s="84"/>
      <c r="L4" s="84"/>
      <c r="M4" s="84"/>
      <c r="N4" s="84"/>
      <c r="O4" s="85"/>
    </row>
    <row r="5" spans="1:15" x14ac:dyDescent="0.25">
      <c r="A5" s="13" t="s">
        <v>28</v>
      </c>
      <c r="B5" s="13">
        <f>+$E$2/3</f>
        <v>20</v>
      </c>
      <c r="C5" s="13">
        <f>+$E$2/3</f>
        <v>20</v>
      </c>
      <c r="D5" s="13">
        <f>+$E$2/3</f>
        <v>20</v>
      </c>
      <c r="E5" s="14">
        <f>+SUM(B5:D5)</f>
        <v>60</v>
      </c>
      <c r="F5" s="21" t="s">
        <v>67</v>
      </c>
      <c r="J5" s="83"/>
      <c r="K5" s="84"/>
      <c r="L5" s="84"/>
      <c r="M5" s="84"/>
      <c r="N5" s="84"/>
      <c r="O5" s="85"/>
    </row>
    <row r="6" spans="1:15" x14ac:dyDescent="0.25">
      <c r="J6" s="86"/>
      <c r="K6" s="87"/>
      <c r="L6" s="87"/>
      <c r="M6" s="87"/>
      <c r="N6" s="87"/>
      <c r="O6" s="88"/>
    </row>
    <row r="8" spans="1:15" x14ac:dyDescent="0.25">
      <c r="A8" s="28" t="s">
        <v>68</v>
      </c>
      <c r="B8" s="28">
        <f>(B2-B5)^2/B5</f>
        <v>4.05</v>
      </c>
      <c r="C8" s="28">
        <f>(C2-C5)^2/C5</f>
        <v>1.25</v>
      </c>
      <c r="D8" s="28">
        <f>(D2-D5)^2/D5</f>
        <v>0.8</v>
      </c>
      <c r="E8" s="29">
        <f>+SUM(B8:D8)</f>
        <v>6.1</v>
      </c>
    </row>
    <row r="9" spans="1:15" x14ac:dyDescent="0.25">
      <c r="A9" s="91" t="s">
        <v>44</v>
      </c>
      <c r="B9" s="91"/>
      <c r="C9" s="91"/>
      <c r="D9" s="91"/>
      <c r="E9" s="30">
        <v>0.05</v>
      </c>
    </row>
    <row r="10" spans="1:15" x14ac:dyDescent="0.25">
      <c r="A10" s="91" t="s">
        <v>69</v>
      </c>
      <c r="B10" s="91"/>
      <c r="C10" s="91"/>
      <c r="D10" s="91"/>
      <c r="E10" s="31">
        <f>_xlfn.CHISQ.INV.RT(E9,2)</f>
        <v>5.9914645471079817</v>
      </c>
    </row>
    <row r="11" spans="1:15" x14ac:dyDescent="0.25">
      <c r="A11" s="91" t="s">
        <v>37</v>
      </c>
      <c r="B11" s="91"/>
      <c r="C11" s="91"/>
      <c r="D11" s="91"/>
      <c r="E11" s="32">
        <f>_xlfn.CHISQ.DIST.RT(E8,2)</f>
        <v>4.7358924391140929E-2</v>
      </c>
    </row>
    <row r="13" spans="1:15" x14ac:dyDescent="0.25">
      <c r="B13" s="20" t="s">
        <v>38</v>
      </c>
      <c r="C13" s="70" t="s">
        <v>140</v>
      </c>
    </row>
    <row r="14" spans="1:15" x14ac:dyDescent="0.25">
      <c r="B14" s="20" t="s">
        <v>39</v>
      </c>
      <c r="C14" s="70" t="s">
        <v>141</v>
      </c>
    </row>
    <row r="16" spans="1:15" x14ac:dyDescent="0.25">
      <c r="A16" s="92" t="s">
        <v>142</v>
      </c>
      <c r="B16" s="92"/>
      <c r="C16" s="92"/>
      <c r="D16" s="92"/>
    </row>
    <row r="17" spans="1:4" x14ac:dyDescent="0.25">
      <c r="A17" s="92"/>
      <c r="B17" s="92"/>
      <c r="C17" s="92"/>
      <c r="D17" s="92"/>
    </row>
    <row r="18" spans="1:4" x14ac:dyDescent="0.25">
      <c r="A18" s="92"/>
      <c r="B18" s="92"/>
      <c r="C18" s="92"/>
      <c r="D18" s="92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33</v>
      </c>
      <c r="B1" s="5" t="s">
        <v>34</v>
      </c>
      <c r="D1" s="5"/>
      <c r="E1" s="5" t="s">
        <v>42</v>
      </c>
      <c r="I1" t="s">
        <v>46</v>
      </c>
      <c r="J1"/>
      <c r="K1"/>
    </row>
    <row r="2" spans="1:11" ht="15.75" thickBot="1" x14ac:dyDescent="0.3">
      <c r="A2" s="18">
        <v>8.9</v>
      </c>
      <c r="B2" s="18">
        <v>5.6</v>
      </c>
      <c r="D2" s="7" t="s">
        <v>31</v>
      </c>
      <c r="E2" s="18">
        <f>_xlfn.VAR.S(A2:A15)</f>
        <v>11.604395604395608</v>
      </c>
      <c r="I2"/>
      <c r="J2"/>
      <c r="K2"/>
    </row>
    <row r="3" spans="1:11" x14ac:dyDescent="0.25">
      <c r="A3" s="18">
        <v>7.7</v>
      </c>
      <c r="B3" s="18">
        <v>4.9000000000000004</v>
      </c>
      <c r="D3" s="7" t="s">
        <v>32</v>
      </c>
      <c r="E3" s="18">
        <f>_xlfn.VAR.S(B2:B15)</f>
        <v>4.2026923076922982</v>
      </c>
      <c r="I3" s="27"/>
      <c r="J3" s="27" t="s">
        <v>33</v>
      </c>
      <c r="K3" s="27" t="s">
        <v>34</v>
      </c>
    </row>
    <row r="4" spans="1:11" x14ac:dyDescent="0.25">
      <c r="A4" s="18">
        <v>8.6</v>
      </c>
      <c r="B4" s="18">
        <v>6.6</v>
      </c>
      <c r="I4" t="s">
        <v>6</v>
      </c>
      <c r="J4">
        <v>6.2857142857142856</v>
      </c>
      <c r="K4">
        <v>6.8500000000000005</v>
      </c>
    </row>
    <row r="5" spans="1:11" x14ac:dyDescent="0.25">
      <c r="A5" s="18">
        <v>3.9</v>
      </c>
      <c r="B5" s="18">
        <v>5.9</v>
      </c>
      <c r="D5" s="23" t="s">
        <v>43</v>
      </c>
      <c r="E5" s="93">
        <f>E2/E3</f>
        <v>2.7611813463373887</v>
      </c>
      <c r="F5" s="93"/>
      <c r="I5" t="s">
        <v>14</v>
      </c>
      <c r="J5">
        <v>11.604395604395608</v>
      </c>
      <c r="K5">
        <v>4.2026923076922982</v>
      </c>
    </row>
    <row r="6" spans="1:11" x14ac:dyDescent="0.25">
      <c r="A6" s="18">
        <v>7.6</v>
      </c>
      <c r="B6" s="18">
        <v>6.5</v>
      </c>
      <c r="D6" s="23" t="s">
        <v>44</v>
      </c>
      <c r="E6" s="94">
        <v>0.05</v>
      </c>
      <c r="F6" s="95"/>
      <c r="I6" t="s">
        <v>47</v>
      </c>
      <c r="J6">
        <v>14</v>
      </c>
      <c r="K6">
        <v>14</v>
      </c>
    </row>
    <row r="7" spans="1:11" x14ac:dyDescent="0.25">
      <c r="A7" s="18">
        <v>10.199999999999999</v>
      </c>
      <c r="B7" s="18">
        <v>5.9</v>
      </c>
      <c r="D7" s="23" t="s">
        <v>37</v>
      </c>
      <c r="E7" s="96">
        <f>_xlfn.F.DIST.RT(E5,13,13)</f>
        <v>3.9172054499024583E-2</v>
      </c>
      <c r="F7" s="96"/>
      <c r="I7" t="s">
        <v>48</v>
      </c>
      <c r="J7">
        <v>13</v>
      </c>
      <c r="K7">
        <v>13</v>
      </c>
    </row>
    <row r="8" spans="1:11" x14ac:dyDescent="0.25">
      <c r="A8" s="18">
        <v>9.6</v>
      </c>
      <c r="B8" s="18">
        <v>3.6</v>
      </c>
      <c r="D8" s="23" t="s">
        <v>45</v>
      </c>
      <c r="E8" s="93">
        <f>_xlfn.F.INV.RT(E6,13,13)</f>
        <v>2.5769270844729792</v>
      </c>
      <c r="F8" s="93"/>
      <c r="I8" t="s">
        <v>49</v>
      </c>
      <c r="J8">
        <v>2.7611813463373887</v>
      </c>
      <c r="K8"/>
    </row>
    <row r="9" spans="1:11" x14ac:dyDescent="0.25">
      <c r="A9" s="18">
        <v>8.9</v>
      </c>
      <c r="B9" s="18">
        <v>5.6</v>
      </c>
      <c r="I9" t="s">
        <v>50</v>
      </c>
      <c r="J9">
        <v>3.9172054499024583E-2</v>
      </c>
      <c r="K9"/>
    </row>
    <row r="10" spans="1:11" ht="15.75" thickBot="1" x14ac:dyDescent="0.3">
      <c r="A10" s="18">
        <v>9.6</v>
      </c>
      <c r="B10" s="18">
        <v>8.8000000000000007</v>
      </c>
      <c r="D10" s="71" t="s">
        <v>38</v>
      </c>
      <c r="E10" s="24"/>
      <c r="I10" s="26" t="s">
        <v>51</v>
      </c>
      <c r="J10" s="26">
        <v>2.5769270844729792</v>
      </c>
      <c r="K10" s="26"/>
    </row>
    <row r="11" spans="1:11" x14ac:dyDescent="0.25">
      <c r="A11" s="18">
        <v>5.5</v>
      </c>
      <c r="B11" s="18">
        <v>7.8</v>
      </c>
      <c r="D11" s="20" t="s">
        <v>39</v>
      </c>
      <c r="E11" s="24"/>
    </row>
    <row r="12" spans="1:11" x14ac:dyDescent="0.25">
      <c r="A12" s="18">
        <v>0.5</v>
      </c>
      <c r="B12" s="18">
        <v>9.9</v>
      </c>
    </row>
    <row r="13" spans="1:11" x14ac:dyDescent="0.25">
      <c r="A13" s="18">
        <v>1.5</v>
      </c>
      <c r="B13" s="18">
        <v>11</v>
      </c>
      <c r="D13" s="92" t="s">
        <v>143</v>
      </c>
      <c r="E13" s="92"/>
      <c r="F13" s="92"/>
    </row>
    <row r="14" spans="1:11" x14ac:dyDescent="0.25">
      <c r="A14" s="18">
        <v>1.5</v>
      </c>
      <c r="B14" s="18">
        <v>8.3000000000000007</v>
      </c>
      <c r="D14" s="92"/>
      <c r="E14" s="92"/>
      <c r="F14" s="92"/>
    </row>
    <row r="15" spans="1:11" x14ac:dyDescent="0.25">
      <c r="A15" s="18">
        <v>4</v>
      </c>
      <c r="B15" s="18">
        <v>5.5</v>
      </c>
      <c r="D15" s="92"/>
      <c r="E15" s="92"/>
      <c r="F15" s="92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" customWidth="1"/>
    <col min="3" max="3" width="9.140625" style="2"/>
    <col min="4" max="4" width="20.7109375" style="2" customWidth="1"/>
    <col min="5" max="7" width="12.7109375" style="2" customWidth="1"/>
    <col min="8" max="8" width="9.140625" style="2"/>
    <col min="9" max="9" width="21.7109375" style="2" customWidth="1"/>
    <col min="10" max="11" width="13.85546875" style="2" customWidth="1"/>
    <col min="12" max="16384" width="9.140625" style="2"/>
  </cols>
  <sheetData>
    <row r="1" spans="1:18" x14ac:dyDescent="0.25">
      <c r="A1" s="5" t="s">
        <v>144</v>
      </c>
      <c r="B1" s="5" t="s">
        <v>145</v>
      </c>
      <c r="D1" s="22"/>
      <c r="E1" s="5" t="s">
        <v>6</v>
      </c>
      <c r="F1" s="5" t="s">
        <v>42</v>
      </c>
      <c r="G1" s="5" t="s">
        <v>54</v>
      </c>
      <c r="I1" t="s">
        <v>46</v>
      </c>
      <c r="J1"/>
      <c r="K1"/>
      <c r="M1" s="80" t="s">
        <v>135</v>
      </c>
      <c r="N1" s="81"/>
      <c r="O1" s="81"/>
      <c r="P1" s="81"/>
      <c r="Q1" s="81"/>
      <c r="R1" s="82"/>
    </row>
    <row r="2" spans="1:18" ht="15.75" thickBot="1" x14ac:dyDescent="0.3">
      <c r="A2" s="25">
        <v>72</v>
      </c>
      <c r="B2" s="25">
        <v>66</v>
      </c>
      <c r="D2" s="7" t="s">
        <v>144</v>
      </c>
      <c r="E2" s="18">
        <f>AVERAGE(A2:A21)</f>
        <v>81.5</v>
      </c>
      <c r="F2" s="18">
        <f>_xlfn.VAR.S(A2:A21)</f>
        <v>137.73684210526315</v>
      </c>
      <c r="G2" s="12">
        <f>COUNT(A2:A21)</f>
        <v>20</v>
      </c>
      <c r="I2"/>
      <c r="J2"/>
      <c r="K2"/>
      <c r="M2" s="83"/>
      <c r="N2" s="84"/>
      <c r="O2" s="84"/>
      <c r="P2" s="84"/>
      <c r="Q2" s="84"/>
      <c r="R2" s="85"/>
    </row>
    <row r="3" spans="1:18" x14ac:dyDescent="0.25">
      <c r="A3" s="25">
        <v>58</v>
      </c>
      <c r="B3" s="25">
        <v>40</v>
      </c>
      <c r="D3" s="7" t="s">
        <v>145</v>
      </c>
      <c r="E3" s="18">
        <f>AVERAGE(B2:B21)</f>
        <v>57.8</v>
      </c>
      <c r="F3" s="18">
        <f>_xlfn.VAR.S(B2:B21)</f>
        <v>96.799999999999841</v>
      </c>
      <c r="G3" s="12">
        <f>COUNT(B2:B21)</f>
        <v>20</v>
      </c>
      <c r="I3" s="27"/>
      <c r="J3" s="27" t="s">
        <v>144</v>
      </c>
      <c r="K3" s="27" t="s">
        <v>145</v>
      </c>
      <c r="M3" s="83"/>
      <c r="N3" s="84"/>
      <c r="O3" s="84"/>
      <c r="P3" s="84"/>
      <c r="Q3" s="84"/>
      <c r="R3" s="85"/>
    </row>
    <row r="4" spans="1:18" x14ac:dyDescent="0.25">
      <c r="A4" s="25">
        <v>91</v>
      </c>
      <c r="B4" s="25">
        <v>55</v>
      </c>
      <c r="I4" t="s">
        <v>6</v>
      </c>
      <c r="J4">
        <v>81.5</v>
      </c>
      <c r="K4">
        <v>57.8</v>
      </c>
      <c r="M4" s="83"/>
      <c r="N4" s="84"/>
      <c r="O4" s="84"/>
      <c r="P4" s="84"/>
      <c r="Q4" s="84"/>
      <c r="R4" s="85"/>
    </row>
    <row r="5" spans="1:18" x14ac:dyDescent="0.25">
      <c r="A5" s="25">
        <v>88</v>
      </c>
      <c r="B5" s="25">
        <v>70</v>
      </c>
      <c r="I5" t="s">
        <v>14</v>
      </c>
      <c r="J5">
        <v>137.73684210526315</v>
      </c>
      <c r="K5">
        <v>96.799999999999841</v>
      </c>
      <c r="M5" s="83"/>
      <c r="N5" s="84"/>
      <c r="O5" s="84"/>
      <c r="P5" s="84"/>
      <c r="Q5" s="84"/>
      <c r="R5" s="85"/>
    </row>
    <row r="6" spans="1:18" x14ac:dyDescent="0.25">
      <c r="A6" s="25">
        <v>70</v>
      </c>
      <c r="B6" s="25">
        <v>76</v>
      </c>
      <c r="D6" s="23" t="s">
        <v>43</v>
      </c>
      <c r="E6" s="100">
        <f>F2/F3</f>
        <v>1.4229012614180101</v>
      </c>
      <c r="F6" s="100"/>
      <c r="I6" t="s">
        <v>47</v>
      </c>
      <c r="J6">
        <v>20</v>
      </c>
      <c r="K6">
        <v>20</v>
      </c>
      <c r="M6" s="86"/>
      <c r="N6" s="87"/>
      <c r="O6" s="87"/>
      <c r="P6" s="87"/>
      <c r="Q6" s="87"/>
      <c r="R6" s="88"/>
    </row>
    <row r="7" spans="1:18" x14ac:dyDescent="0.25">
      <c r="A7" s="25">
        <v>76</v>
      </c>
      <c r="B7" s="25">
        <v>61</v>
      </c>
      <c r="D7" s="23" t="s">
        <v>44</v>
      </c>
      <c r="E7" s="94">
        <v>0.01</v>
      </c>
      <c r="F7" s="95"/>
      <c r="I7" t="s">
        <v>48</v>
      </c>
      <c r="J7">
        <v>19</v>
      </c>
      <c r="K7">
        <v>19</v>
      </c>
    </row>
    <row r="8" spans="1:18" x14ac:dyDescent="0.25">
      <c r="A8" s="25">
        <v>98</v>
      </c>
      <c r="B8" s="25">
        <v>53</v>
      </c>
      <c r="D8" s="23" t="s">
        <v>37</v>
      </c>
      <c r="E8" s="100">
        <f>_xlfn.F.DIST.RT(E6,G2-1,G3-1)</f>
        <v>0.22460949688391502</v>
      </c>
      <c r="F8" s="100"/>
      <c r="I8" t="s">
        <v>49</v>
      </c>
      <c r="J8">
        <v>1.4229012614180101</v>
      </c>
      <c r="K8"/>
    </row>
    <row r="9" spans="1:18" x14ac:dyDescent="0.25">
      <c r="A9" s="25">
        <v>101</v>
      </c>
      <c r="B9" s="25">
        <v>50</v>
      </c>
      <c r="D9" s="23" t="s">
        <v>45</v>
      </c>
      <c r="E9" s="100">
        <f>_xlfn.F.INV.RT(E7,G2-1,G3-1)</f>
        <v>3.0273578825415757</v>
      </c>
      <c r="F9" s="100"/>
      <c r="I9" t="s">
        <v>50</v>
      </c>
      <c r="J9">
        <v>0.22460949688391502</v>
      </c>
      <c r="K9"/>
    </row>
    <row r="10" spans="1:18" ht="15.75" thickBot="1" x14ac:dyDescent="0.3">
      <c r="A10" s="25">
        <v>65</v>
      </c>
      <c r="B10" s="25">
        <v>47</v>
      </c>
      <c r="I10" s="26" t="s">
        <v>51</v>
      </c>
      <c r="J10" s="26">
        <v>3.0273578825415757</v>
      </c>
      <c r="K10" s="26"/>
    </row>
    <row r="11" spans="1:18" x14ac:dyDescent="0.25">
      <c r="A11" s="25">
        <v>73</v>
      </c>
      <c r="B11" s="25">
        <v>61</v>
      </c>
      <c r="D11" s="71" t="s">
        <v>38</v>
      </c>
      <c r="E11" s="24"/>
    </row>
    <row r="12" spans="1:18" x14ac:dyDescent="0.25">
      <c r="A12" s="25">
        <v>79</v>
      </c>
      <c r="B12" s="25">
        <v>52</v>
      </c>
      <c r="D12" s="20" t="s">
        <v>39</v>
      </c>
      <c r="E12" s="24"/>
    </row>
    <row r="13" spans="1:18" x14ac:dyDescent="0.25">
      <c r="A13" s="25">
        <v>82</v>
      </c>
      <c r="B13" s="25">
        <v>48</v>
      </c>
    </row>
    <row r="14" spans="1:18" x14ac:dyDescent="0.25">
      <c r="A14" s="25">
        <v>80</v>
      </c>
      <c r="B14" s="25">
        <v>60</v>
      </c>
      <c r="D14" s="98" t="s">
        <v>65</v>
      </c>
      <c r="E14" s="98"/>
      <c r="F14" s="98"/>
    </row>
    <row r="15" spans="1:18" x14ac:dyDescent="0.25">
      <c r="A15" s="25">
        <v>91</v>
      </c>
      <c r="B15" s="25">
        <v>72</v>
      </c>
    </row>
    <row r="16" spans="1:18" x14ac:dyDescent="0.25">
      <c r="A16" s="25">
        <v>93</v>
      </c>
      <c r="B16" s="25">
        <v>57</v>
      </c>
    </row>
    <row r="17" spans="1:11" x14ac:dyDescent="0.25">
      <c r="A17" s="25">
        <v>88</v>
      </c>
      <c r="B17" s="25">
        <v>70</v>
      </c>
      <c r="D17" s="24" t="s">
        <v>52</v>
      </c>
    </row>
    <row r="18" spans="1:11" x14ac:dyDescent="0.25">
      <c r="A18" s="25">
        <v>97</v>
      </c>
      <c r="B18" s="25">
        <v>66</v>
      </c>
    </row>
    <row r="19" spans="1:11" x14ac:dyDescent="0.25">
      <c r="A19" s="25">
        <v>83</v>
      </c>
      <c r="B19" s="25">
        <v>55</v>
      </c>
      <c r="D19" s="23" t="s">
        <v>53</v>
      </c>
      <c r="E19" s="97">
        <f>SQRT(((G2-1)*F2+(G3-1)*F3)/(G2+G3-2))</f>
        <v>10.829054485624841</v>
      </c>
      <c r="F19" s="97"/>
      <c r="I19" t="s">
        <v>57</v>
      </c>
      <c r="J19"/>
      <c r="K19"/>
    </row>
    <row r="20" spans="1:11" ht="15.75" thickBot="1" x14ac:dyDescent="0.3">
      <c r="A20" s="25">
        <v>71</v>
      </c>
      <c r="B20" s="25">
        <v>46</v>
      </c>
      <c r="D20" s="23" t="s">
        <v>55</v>
      </c>
      <c r="E20" s="97">
        <f>(E2-E3)/(E19*SQRT((1/G2)+(1/G3)))</f>
        <v>6.9208240336659621</v>
      </c>
      <c r="F20" s="97"/>
      <c r="I20"/>
      <c r="J20"/>
      <c r="K20"/>
    </row>
    <row r="21" spans="1:11" x14ac:dyDescent="0.25">
      <c r="A21" s="25">
        <v>74</v>
      </c>
      <c r="B21" s="25">
        <v>51</v>
      </c>
      <c r="D21" s="23" t="s">
        <v>44</v>
      </c>
      <c r="E21" s="94">
        <v>0.01</v>
      </c>
      <c r="F21" s="95"/>
      <c r="I21" s="27"/>
      <c r="J21" s="27" t="s">
        <v>144</v>
      </c>
      <c r="K21" s="27" t="s">
        <v>145</v>
      </c>
    </row>
    <row r="22" spans="1:11" x14ac:dyDescent="0.25">
      <c r="D22" s="23" t="s">
        <v>37</v>
      </c>
      <c r="E22" s="93">
        <f>_xlfn.T.DIST.2T(E20,38)</f>
        <v>3.147827649441967E-8</v>
      </c>
      <c r="F22" s="93"/>
      <c r="I22" t="s">
        <v>6</v>
      </c>
      <c r="J22">
        <v>81.5</v>
      </c>
      <c r="K22">
        <v>57.8</v>
      </c>
    </row>
    <row r="23" spans="1:11" x14ac:dyDescent="0.25">
      <c r="D23" s="23" t="s">
        <v>45</v>
      </c>
      <c r="E23" s="97">
        <f>_xlfn.T.INV.2T(E21,38)</f>
        <v>2.711557601913082</v>
      </c>
      <c r="F23" s="97"/>
      <c r="I23" t="s">
        <v>14</v>
      </c>
      <c r="J23">
        <v>137.73684210526315</v>
      </c>
      <c r="K23">
        <v>96.799999999999841</v>
      </c>
    </row>
    <row r="24" spans="1:11" x14ac:dyDescent="0.25">
      <c r="I24" t="s">
        <v>47</v>
      </c>
      <c r="J24">
        <v>20</v>
      </c>
      <c r="K24">
        <v>20</v>
      </c>
    </row>
    <row r="25" spans="1:11" x14ac:dyDescent="0.25">
      <c r="D25" s="71" t="s">
        <v>38</v>
      </c>
      <c r="E25" s="24"/>
      <c r="I25" t="s">
        <v>58</v>
      </c>
      <c r="J25">
        <v>117.2684210526315</v>
      </c>
      <c r="K25"/>
    </row>
    <row r="26" spans="1:11" x14ac:dyDescent="0.25">
      <c r="D26" s="20" t="s">
        <v>39</v>
      </c>
      <c r="E26" s="24"/>
      <c r="I26" t="s">
        <v>59</v>
      </c>
      <c r="J26">
        <v>0</v>
      </c>
      <c r="K26"/>
    </row>
    <row r="27" spans="1:11" x14ac:dyDescent="0.25">
      <c r="I27" t="s">
        <v>48</v>
      </c>
      <c r="J27">
        <v>38</v>
      </c>
      <c r="K27"/>
    </row>
    <row r="28" spans="1:11" x14ac:dyDescent="0.25">
      <c r="D28" s="98" t="s">
        <v>56</v>
      </c>
      <c r="E28" s="98"/>
      <c r="F28" s="98"/>
      <c r="I28" t="s">
        <v>60</v>
      </c>
      <c r="J28">
        <v>6.9208240336659621</v>
      </c>
      <c r="K28"/>
    </row>
    <row r="29" spans="1:11" x14ac:dyDescent="0.25">
      <c r="I29" t="s">
        <v>61</v>
      </c>
      <c r="J29">
        <v>1.5739138247209835E-8</v>
      </c>
      <c r="K29"/>
    </row>
    <row r="30" spans="1:11" x14ac:dyDescent="0.25">
      <c r="I30" t="s">
        <v>62</v>
      </c>
      <c r="J30">
        <v>2.4285676308590882</v>
      </c>
      <c r="K30"/>
    </row>
    <row r="31" spans="1:11" x14ac:dyDescent="0.25">
      <c r="I31" t="s">
        <v>63</v>
      </c>
      <c r="J31">
        <v>3.147827649441967E-8</v>
      </c>
      <c r="K31"/>
    </row>
    <row r="32" spans="1:11" ht="15.75" thickBot="1" x14ac:dyDescent="0.3">
      <c r="I32" s="26" t="s">
        <v>64</v>
      </c>
      <c r="J32" s="26">
        <v>2.711557601913082</v>
      </c>
      <c r="K32" s="26"/>
    </row>
    <row r="36" spans="4:11" x14ac:dyDescent="0.25">
      <c r="F36" s="99" t="s">
        <v>70</v>
      </c>
      <c r="G36" s="99"/>
    </row>
    <row r="37" spans="4:11" x14ac:dyDescent="0.25">
      <c r="D37" s="22"/>
      <c r="E37" s="5" t="s">
        <v>6</v>
      </c>
      <c r="F37" s="5" t="s">
        <v>71</v>
      </c>
      <c r="G37" s="5" t="s">
        <v>72</v>
      </c>
    </row>
    <row r="38" spans="4:11" x14ac:dyDescent="0.25">
      <c r="D38" s="7" t="s">
        <v>144</v>
      </c>
      <c r="E38" s="18">
        <f>+E2</f>
        <v>81.5</v>
      </c>
      <c r="F38" s="18">
        <f>E38-_xlfn.CONFIDENCE.T($E$7,SQRT($F$2),$G$2)</f>
        <v>73.992108391411151</v>
      </c>
      <c r="G38" s="18">
        <f>E38+_xlfn.CONFIDENCE.T($E$7,SQRT($F$2),$G$2)</f>
        <v>89.007891608588849</v>
      </c>
      <c r="I38" s="33"/>
      <c r="J38" s="34"/>
      <c r="K38" s="34"/>
    </row>
    <row r="39" spans="4:11" x14ac:dyDescent="0.25">
      <c r="D39" s="7" t="s">
        <v>145</v>
      </c>
      <c r="E39" s="18">
        <f>+E3</f>
        <v>57.8</v>
      </c>
      <c r="F39" s="18">
        <f>E39-_xlfn.CONFIDENCE.T($E$7,SQRT($F$3),$G$3)</f>
        <v>51.505943865777049</v>
      </c>
      <c r="G39" s="18">
        <f>E39+_xlfn.CONFIDENCE.T($E$7,SQRT($F$3),$G$3)</f>
        <v>64.094056134222953</v>
      </c>
      <c r="I39" s="33"/>
      <c r="J39" s="34"/>
      <c r="K39" s="34"/>
    </row>
  </sheetData>
  <mergeCells count="13">
    <mergeCell ref="M1:R6"/>
    <mergeCell ref="E6:F6"/>
    <mergeCell ref="E7:F7"/>
    <mergeCell ref="E9:F9"/>
    <mergeCell ref="E8:F8"/>
    <mergeCell ref="E23:F23"/>
    <mergeCell ref="D28:F28"/>
    <mergeCell ref="F36:G36"/>
    <mergeCell ref="D14:F14"/>
    <mergeCell ref="E19:F19"/>
    <mergeCell ref="E20:F20"/>
    <mergeCell ref="E21:F21"/>
    <mergeCell ref="E22:F2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6" ma:contentTypeDescription="Crie um novo documento." ma:contentTypeScope="" ma:versionID="e5a9bbd63fbf262578ba03fd80405270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b31c348399089d26e9ea4df2e2362e0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A1FDE3ED-EAA2-4401-AD59-875FA64A68FD}"/>
</file>

<file path=customXml/itemProps2.xml><?xml version="1.0" encoding="utf-8"?>
<ds:datastoreItem xmlns:ds="http://schemas.openxmlformats.org/officeDocument/2006/customXml" ds:itemID="{901DC811-F3BE-4758-9FE4-BB512208DEA9}"/>
</file>

<file path=customXml/itemProps3.xml><?xml version="1.0" encoding="utf-8"?>
<ds:datastoreItem xmlns:ds="http://schemas.openxmlformats.org/officeDocument/2006/customXml" ds:itemID="{87708FE5-2B8D-406B-9BE8-8FF312397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2018-08-08T19:08:47Z</dcterms:created>
  <dcterms:modified xsi:type="dcterms:W3CDTF">2025-10-09T14:35:19Z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