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Portfolio\"/>
    </mc:Choice>
  </mc:AlternateContent>
  <xr:revisionPtr revIDLastSave="0" documentId="8_{F7E0DCEB-781C-46B1-8E34-7E0C3379E09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ursary" sheetId="1" r:id="rId1"/>
    <sheet name="Bursary+" sheetId="6" r:id="rId2"/>
    <sheet name="Statement of Financial Circs." sheetId="3" r:id="rId3"/>
    <sheet name="Extra Child Discount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23" i="5"/>
  <c r="AB23" i="5"/>
  <c r="AF23" i="5"/>
  <c r="AJ23" i="5"/>
  <c r="B60" i="3"/>
  <c r="Q10" i="6" l="1"/>
  <c r="Q8" i="6"/>
  <c r="P10" i="6"/>
  <c r="O10" i="6"/>
  <c r="N10" i="6"/>
  <c r="M10" i="6"/>
  <c r="L10" i="6"/>
  <c r="K10" i="6"/>
  <c r="J10" i="6"/>
  <c r="R10" i="6"/>
  <c r="P8" i="6"/>
  <c r="O8" i="6"/>
  <c r="N8" i="6"/>
  <c r="M8" i="6"/>
  <c r="L8" i="6"/>
  <c r="K8" i="6"/>
  <c r="X8" i="6"/>
  <c r="Y8" i="6"/>
  <c r="Z8" i="6"/>
  <c r="Z10" i="6" s="1"/>
  <c r="R8" i="6"/>
  <c r="R9" i="6" s="1"/>
  <c r="S8" i="6"/>
  <c r="T8" i="6"/>
  <c r="T10" i="6" s="1"/>
  <c r="U8" i="6"/>
  <c r="V8" i="6"/>
  <c r="V9" i="6" s="1"/>
  <c r="W8" i="6"/>
  <c r="J8" i="6"/>
  <c r="J9" i="6" s="1"/>
  <c r="B8" i="6"/>
  <c r="F73" i="6"/>
  <c r="G72" i="6"/>
  <c r="F72" i="6"/>
  <c r="H72" i="6" s="1"/>
  <c r="F71" i="6"/>
  <c r="G70" i="6"/>
  <c r="H70" i="6" s="1"/>
  <c r="F70" i="6"/>
  <c r="F69" i="6"/>
  <c r="G68" i="6"/>
  <c r="F68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AB12" i="6"/>
  <c r="AA12" i="6"/>
  <c r="Y10" i="6"/>
  <c r="X10" i="6"/>
  <c r="W10" i="6"/>
  <c r="U10" i="6"/>
  <c r="S10" i="6"/>
  <c r="AK9" i="6"/>
  <c r="AK28" i="6" s="1"/>
  <c r="AK29" i="6" s="1"/>
  <c r="AJ9" i="6"/>
  <c r="AJ28" i="6" s="1"/>
  <c r="AJ29" i="6" s="1"/>
  <c r="AI9" i="6"/>
  <c r="AI28" i="6" s="1"/>
  <c r="AI29" i="6" s="1"/>
  <c r="AH9" i="6"/>
  <c r="AH28" i="6" s="1"/>
  <c r="AH29" i="6" s="1"/>
  <c r="AG9" i="6"/>
  <c r="AG28" i="6" s="1"/>
  <c r="AG29" i="6" s="1"/>
  <c r="AF9" i="6"/>
  <c r="AF28" i="6" s="1"/>
  <c r="AF29" i="6" s="1"/>
  <c r="AE9" i="6"/>
  <c r="AE28" i="6" s="1"/>
  <c r="AE29" i="6" s="1"/>
  <c r="AD9" i="6"/>
  <c r="AD28" i="6" s="1"/>
  <c r="AD29" i="6" s="1"/>
  <c r="AC9" i="6"/>
  <c r="AC28" i="6" s="1"/>
  <c r="AC29" i="6" s="1"/>
  <c r="AB9" i="6"/>
  <c r="AB28" i="6" s="1"/>
  <c r="AB29" i="6" s="1"/>
  <c r="AA9" i="6"/>
  <c r="Z9" i="6"/>
  <c r="Y9" i="6"/>
  <c r="X9" i="6"/>
  <c r="W9" i="6"/>
  <c r="U9" i="6"/>
  <c r="T9" i="6"/>
  <c r="S9" i="6"/>
  <c r="Q9" i="6"/>
  <c r="P9" i="6"/>
  <c r="P28" i="6" s="1"/>
  <c r="P29" i="6" s="1"/>
  <c r="O9" i="6"/>
  <c r="M9" i="6"/>
  <c r="L9" i="6"/>
  <c r="L28" i="6" s="1"/>
  <c r="L29" i="6" s="1"/>
  <c r="K9" i="6"/>
  <c r="E5" i="6"/>
  <c r="G73" i="6" s="1"/>
  <c r="H73" i="6" s="1"/>
  <c r="D5" i="6"/>
  <c r="C5" i="6"/>
  <c r="E4" i="6"/>
  <c r="G71" i="6" s="1"/>
  <c r="H71" i="6" s="1"/>
  <c r="D4" i="6"/>
  <c r="C4" i="6"/>
  <c r="E3" i="6"/>
  <c r="G69" i="6" s="1"/>
  <c r="H69" i="6" s="1"/>
  <c r="D3" i="6"/>
  <c r="C3" i="6"/>
  <c r="AF25" i="6" s="1"/>
  <c r="AF26" i="6" s="1"/>
  <c r="D38" i="5"/>
  <c r="D36" i="5"/>
  <c r="D34" i="5"/>
  <c r="C39" i="5"/>
  <c r="E38" i="5"/>
  <c r="C38" i="5"/>
  <c r="C37" i="5"/>
  <c r="E36" i="5"/>
  <c r="C36" i="5"/>
  <c r="C35" i="5"/>
  <c r="E34" i="5"/>
  <c r="C34" i="5"/>
  <c r="X28" i="6" l="1"/>
  <c r="X29" i="6" s="1"/>
  <c r="F25" i="6"/>
  <c r="V25" i="6"/>
  <c r="S28" i="6"/>
  <c r="S29" i="6" s="1"/>
  <c r="G25" i="6"/>
  <c r="G26" i="6" s="1"/>
  <c r="W25" i="6"/>
  <c r="W26" i="6" s="1"/>
  <c r="H68" i="6"/>
  <c r="AA28" i="6"/>
  <c r="AA29" i="6" s="1"/>
  <c r="N25" i="6"/>
  <c r="AE25" i="6"/>
  <c r="T28" i="6"/>
  <c r="T29" i="6" s="1"/>
  <c r="W28" i="6"/>
  <c r="W29" i="6" s="1"/>
  <c r="O25" i="6"/>
  <c r="AF31" i="6"/>
  <c r="AF32" i="6" s="1"/>
  <c r="O28" i="6"/>
  <c r="O29" i="6" s="1"/>
  <c r="M28" i="6"/>
  <c r="M29" i="6" s="1"/>
  <c r="K28" i="6"/>
  <c r="K29" i="6" s="1"/>
  <c r="V10" i="6"/>
  <c r="N9" i="6"/>
  <c r="N28" i="6" s="1"/>
  <c r="N29" i="6" s="1"/>
  <c r="W31" i="6"/>
  <c r="W32" i="6" s="1"/>
  <c r="B9" i="6"/>
  <c r="F26" i="6"/>
  <c r="V26" i="6"/>
  <c r="AH25" i="6"/>
  <c r="AD25" i="6"/>
  <c r="AI25" i="6"/>
  <c r="AC25" i="6"/>
  <c r="Y25" i="6"/>
  <c r="U25" i="6"/>
  <c r="Q25" i="6"/>
  <c r="M25" i="6"/>
  <c r="I25" i="6"/>
  <c r="E25" i="6"/>
  <c r="AG25" i="6"/>
  <c r="AB25" i="6"/>
  <c r="X25" i="6"/>
  <c r="T25" i="6"/>
  <c r="P25" i="6"/>
  <c r="L25" i="6"/>
  <c r="H25" i="6"/>
  <c r="D25" i="6"/>
  <c r="U28" i="6"/>
  <c r="U29" i="6" s="1"/>
  <c r="Y28" i="6"/>
  <c r="Y29" i="6" s="1"/>
  <c r="B25" i="6"/>
  <c r="J25" i="6"/>
  <c r="R25" i="6"/>
  <c r="Z25" i="6"/>
  <c r="AJ25" i="6"/>
  <c r="Q28" i="6"/>
  <c r="Q29" i="6" s="1"/>
  <c r="N26" i="6"/>
  <c r="AE26" i="6"/>
  <c r="AE31" i="6" s="1"/>
  <c r="AE32" i="6" s="1"/>
  <c r="O26" i="6"/>
  <c r="AF33" i="6"/>
  <c r="J28" i="6"/>
  <c r="J29" i="6" s="1"/>
  <c r="R28" i="6"/>
  <c r="R29" i="6" s="1"/>
  <c r="V28" i="6"/>
  <c r="V29" i="6" s="1"/>
  <c r="Z28" i="6"/>
  <c r="Z29" i="6" s="1"/>
  <c r="C25" i="6"/>
  <c r="K25" i="6"/>
  <c r="S25" i="6"/>
  <c r="AA25" i="6"/>
  <c r="AK25" i="6"/>
  <c r="O31" i="6" l="1"/>
  <c r="O32" i="6" s="1"/>
  <c r="N31" i="6"/>
  <c r="N32" i="6" s="1"/>
  <c r="W33" i="6"/>
  <c r="W38" i="6" s="1"/>
  <c r="AA26" i="6"/>
  <c r="AA31" i="6" s="1"/>
  <c r="AA32" i="6" s="1"/>
  <c r="X26" i="6"/>
  <c r="X31" i="6" s="1"/>
  <c r="X32" i="6" s="1"/>
  <c r="Y26" i="6"/>
  <c r="Y31" i="6" s="1"/>
  <c r="Y32" i="6" s="1"/>
  <c r="AH26" i="6"/>
  <c r="AH31" i="6" s="1"/>
  <c r="AH32" i="6" s="1"/>
  <c r="L26" i="6"/>
  <c r="L31" i="6" s="1"/>
  <c r="L32" i="6" s="1"/>
  <c r="M26" i="6"/>
  <c r="M31" i="6" s="1"/>
  <c r="M32" i="6" s="1"/>
  <c r="AF34" i="6"/>
  <c r="AF36" i="6"/>
  <c r="AF38" i="6"/>
  <c r="N33" i="6"/>
  <c r="AJ26" i="6"/>
  <c r="AJ31" i="6" s="1"/>
  <c r="AJ32" i="6" s="1"/>
  <c r="B26" i="6"/>
  <c r="P26" i="6"/>
  <c r="P31" i="6" s="1"/>
  <c r="P32" i="6" s="1"/>
  <c r="AG26" i="6"/>
  <c r="AG31" i="6" s="1"/>
  <c r="AG32" i="6" s="1"/>
  <c r="Q26" i="6"/>
  <c r="Q31" i="6" s="1"/>
  <c r="Q32" i="6" s="1"/>
  <c r="AI26" i="6"/>
  <c r="AI31" i="6" s="1"/>
  <c r="AI32" i="6" s="1"/>
  <c r="V31" i="6"/>
  <c r="R26" i="6"/>
  <c r="R31" i="6" s="1"/>
  <c r="R32" i="6" s="1"/>
  <c r="H26" i="6"/>
  <c r="I26" i="6"/>
  <c r="S26" i="6"/>
  <c r="S31" i="6" s="1"/>
  <c r="S32" i="6" s="1"/>
  <c r="J26" i="6"/>
  <c r="J31" i="6" s="1"/>
  <c r="J32" i="6" s="1"/>
  <c r="AB26" i="6"/>
  <c r="AB31" i="6" s="1"/>
  <c r="AB32" i="6" s="1"/>
  <c r="AC26" i="6"/>
  <c r="AC31" i="6" s="1"/>
  <c r="AC32" i="6" s="1"/>
  <c r="K26" i="6"/>
  <c r="K31" i="6" s="1"/>
  <c r="K32" i="6" s="1"/>
  <c r="AK26" i="6"/>
  <c r="AK31" i="6" s="1"/>
  <c r="AK32" i="6" s="1"/>
  <c r="C26" i="6"/>
  <c r="O33" i="6"/>
  <c r="AE33" i="6"/>
  <c r="Z26" i="6"/>
  <c r="Z31" i="6" s="1"/>
  <c r="Z32" i="6" s="1"/>
  <c r="D26" i="6"/>
  <c r="T26" i="6"/>
  <c r="T31" i="6" s="1"/>
  <c r="T32" i="6" s="1"/>
  <c r="E26" i="6"/>
  <c r="U26" i="6"/>
  <c r="U31" i="6" s="1"/>
  <c r="U32" i="6" s="1"/>
  <c r="AD26" i="6"/>
  <c r="AD31" i="6" s="1"/>
  <c r="AD32" i="6" s="1"/>
  <c r="E5" i="5"/>
  <c r="D39" i="5" s="1"/>
  <c r="E39" i="5" s="1"/>
  <c r="D5" i="5"/>
  <c r="C5" i="5"/>
  <c r="E4" i="5"/>
  <c r="D37" i="5" s="1"/>
  <c r="E37" i="5" s="1"/>
  <c r="D4" i="5"/>
  <c r="C4" i="5"/>
  <c r="E3" i="5"/>
  <c r="D35" i="5" s="1"/>
  <c r="E35" i="5" s="1"/>
  <c r="D3" i="5"/>
  <c r="C3" i="5"/>
  <c r="D20" i="5" l="1"/>
  <c r="AQ20" i="5"/>
  <c r="AB20" i="5"/>
  <c r="AF20" i="5"/>
  <c r="AJ20" i="5"/>
  <c r="AN20" i="5"/>
  <c r="AN21" i="5" s="1"/>
  <c r="AN23" i="5" s="1"/>
  <c r="AN24" i="5" s="1"/>
  <c r="M20" i="5"/>
  <c r="Q20" i="5"/>
  <c r="Q21" i="5" s="1"/>
  <c r="Q23" i="5" s="1"/>
  <c r="Q24" i="5" s="1"/>
  <c r="U20" i="5"/>
  <c r="U21" i="5" s="1"/>
  <c r="U23" i="5" s="1"/>
  <c r="U24" i="5" s="1"/>
  <c r="Y20" i="5"/>
  <c r="AR20" i="5"/>
  <c r="AR21" i="5" s="1"/>
  <c r="AR23" i="5" s="1"/>
  <c r="AR24" i="5" s="1"/>
  <c r="AC20" i="5"/>
  <c r="AC21" i="5" s="1"/>
  <c r="AC23" i="5" s="1"/>
  <c r="AC24" i="5" s="1"/>
  <c r="AG20" i="5"/>
  <c r="AK20" i="5"/>
  <c r="AK21" i="5" s="1"/>
  <c r="AK23" i="5" s="1"/>
  <c r="AK24" i="5" s="1"/>
  <c r="AO20" i="5"/>
  <c r="AO21" i="5" s="1"/>
  <c r="AO23" i="5" s="1"/>
  <c r="AO24" i="5" s="1"/>
  <c r="J20" i="5"/>
  <c r="N20" i="5"/>
  <c r="R20" i="5"/>
  <c r="V20" i="5"/>
  <c r="Z20" i="5"/>
  <c r="AA20" i="5"/>
  <c r="AE20" i="5"/>
  <c r="AE21" i="5" s="1"/>
  <c r="AE23" i="5" s="1"/>
  <c r="AE24" i="5" s="1"/>
  <c r="AI20" i="5"/>
  <c r="AI21" i="5" s="1"/>
  <c r="AI23" i="5" s="1"/>
  <c r="AI24" i="5" s="1"/>
  <c r="AM20" i="5"/>
  <c r="AM21" i="5" s="1"/>
  <c r="AM23" i="5" s="1"/>
  <c r="AM24" i="5" s="1"/>
  <c r="L20" i="5"/>
  <c r="L21" i="5" s="1"/>
  <c r="L23" i="5" s="1"/>
  <c r="L24" i="5" s="1"/>
  <c r="P20" i="5"/>
  <c r="P21" i="5" s="1"/>
  <c r="P23" i="5" s="1"/>
  <c r="P24" i="5" s="1"/>
  <c r="T20" i="5"/>
  <c r="T21" i="5" s="1"/>
  <c r="T23" i="5" s="1"/>
  <c r="T24" i="5" s="1"/>
  <c r="X20" i="5"/>
  <c r="X21" i="5" s="1"/>
  <c r="X23" i="5" s="1"/>
  <c r="X24" i="5" s="1"/>
  <c r="AD20" i="5"/>
  <c r="AD21" i="5" s="1"/>
  <c r="AD23" i="5" s="1"/>
  <c r="AD24" i="5" s="1"/>
  <c r="AH20" i="5"/>
  <c r="AH21" i="5" s="1"/>
  <c r="AH23" i="5" s="1"/>
  <c r="AH24" i="5" s="1"/>
  <c r="AL20" i="5"/>
  <c r="AL21" i="5" s="1"/>
  <c r="AL23" i="5" s="1"/>
  <c r="AL24" i="5" s="1"/>
  <c r="AP20" i="5"/>
  <c r="AP21" i="5" s="1"/>
  <c r="AP23" i="5" s="1"/>
  <c r="AP24" i="5" s="1"/>
  <c r="K20" i="5"/>
  <c r="O20" i="5"/>
  <c r="S20" i="5"/>
  <c r="S21" i="5" s="1"/>
  <c r="S23" i="5" s="1"/>
  <c r="S24" i="5" s="1"/>
  <c r="W20" i="5"/>
  <c r="G20" i="5"/>
  <c r="G21" i="5" s="1"/>
  <c r="G23" i="5" s="1"/>
  <c r="G24" i="5" s="1"/>
  <c r="I20" i="5"/>
  <c r="I21" i="5" s="1"/>
  <c r="I23" i="5" s="1"/>
  <c r="I24" i="5" s="1"/>
  <c r="H20" i="5"/>
  <c r="H21" i="5" s="1"/>
  <c r="H23" i="5" s="1"/>
  <c r="H24" i="5" s="1"/>
  <c r="W34" i="6"/>
  <c r="W36" i="6"/>
  <c r="AG33" i="6"/>
  <c r="AG36" i="6" s="1"/>
  <c r="S33" i="6"/>
  <c r="S36" i="6" s="1"/>
  <c r="AK33" i="6"/>
  <c r="AK36" i="6" s="1"/>
  <c r="L33" i="6"/>
  <c r="X33" i="6"/>
  <c r="X38" i="6" s="1"/>
  <c r="AI33" i="6"/>
  <c r="AI36" i="6" s="1"/>
  <c r="AD33" i="6"/>
  <c r="AD38" i="6" s="1"/>
  <c r="AB33" i="6"/>
  <c r="Y33" i="6"/>
  <c r="Y38" i="6" s="1"/>
  <c r="D21" i="5"/>
  <c r="D23" i="5" s="1"/>
  <c r="D24" i="5" s="1"/>
  <c r="T33" i="6"/>
  <c r="T36" i="6" s="1"/>
  <c r="R33" i="6"/>
  <c r="P33" i="6"/>
  <c r="P38" i="6" s="1"/>
  <c r="M33" i="6"/>
  <c r="M36" i="6" s="1"/>
  <c r="J33" i="6"/>
  <c r="J38" i="6" s="1"/>
  <c r="O38" i="6"/>
  <c r="O36" i="6"/>
  <c r="O34" i="6"/>
  <c r="AK34" i="6"/>
  <c r="T34" i="6"/>
  <c r="R38" i="6"/>
  <c r="R34" i="6"/>
  <c r="R36" i="6"/>
  <c r="V32" i="6"/>
  <c r="V33" i="6"/>
  <c r="AB34" i="6"/>
  <c r="AB36" i="6"/>
  <c r="AB38" i="6"/>
  <c r="S38" i="6"/>
  <c r="S34" i="6"/>
  <c r="U33" i="6"/>
  <c r="Z33" i="6"/>
  <c r="K33" i="6"/>
  <c r="L34" i="6"/>
  <c r="L38" i="6"/>
  <c r="L36" i="6"/>
  <c r="AG34" i="6"/>
  <c r="N38" i="6"/>
  <c r="N34" i="6"/>
  <c r="N36" i="6"/>
  <c r="AE38" i="6"/>
  <c r="AE34" i="6"/>
  <c r="AE36" i="6"/>
  <c r="AC33" i="6"/>
  <c r="Q33" i="6"/>
  <c r="AJ33" i="6"/>
  <c r="AH33" i="6"/>
  <c r="AA33" i="6"/>
  <c r="B20" i="5"/>
  <c r="F20" i="5"/>
  <c r="C20" i="5"/>
  <c r="E20" i="5"/>
  <c r="AR27" i="5" l="1"/>
  <c r="AR25" i="5"/>
  <c r="H25" i="5"/>
  <c r="H27" i="5"/>
  <c r="T27" i="5"/>
  <c r="T25" i="5"/>
  <c r="V21" i="5"/>
  <c r="V23" i="5" s="1"/>
  <c r="V24" i="5"/>
  <c r="M21" i="5"/>
  <c r="M23" i="5" s="1"/>
  <c r="M24" i="5" s="1"/>
  <c r="Y36" i="6"/>
  <c r="I25" i="5"/>
  <c r="I27" i="5"/>
  <c r="O21" i="5"/>
  <c r="O23" i="5" s="1"/>
  <c r="O24" i="5"/>
  <c r="AH25" i="5"/>
  <c r="AH27" i="5"/>
  <c r="P25" i="5"/>
  <c r="P27" i="5"/>
  <c r="AE27" i="5"/>
  <c r="AE25" i="5"/>
  <c r="R21" i="5"/>
  <c r="R23" i="5" s="1"/>
  <c r="R24" i="5"/>
  <c r="AK25" i="5"/>
  <c r="AK27" i="5"/>
  <c r="Y21" i="5"/>
  <c r="Y23" i="5" s="1"/>
  <c r="Y24" i="5"/>
  <c r="AN27" i="5"/>
  <c r="AN25" i="5"/>
  <c r="AQ21" i="5"/>
  <c r="AQ23" i="5" s="1"/>
  <c r="AQ24" i="5" s="1"/>
  <c r="AL27" i="5"/>
  <c r="AL25" i="5"/>
  <c r="AO27" i="5"/>
  <c r="AO25" i="5"/>
  <c r="AB21" i="5"/>
  <c r="AB24" i="5"/>
  <c r="AG38" i="6"/>
  <c r="Y34" i="6"/>
  <c r="X36" i="6"/>
  <c r="P36" i="6"/>
  <c r="G25" i="5"/>
  <c r="G27" i="5"/>
  <c r="K24" i="5"/>
  <c r="K21" i="5"/>
  <c r="K23" i="5" s="1"/>
  <c r="AD25" i="5"/>
  <c r="AD27" i="5"/>
  <c r="L25" i="5"/>
  <c r="L27" i="5"/>
  <c r="AA21" i="5"/>
  <c r="AA24" i="5"/>
  <c r="N21" i="5"/>
  <c r="N23" i="5" s="1"/>
  <c r="N24" i="5" s="1"/>
  <c r="AG21" i="5"/>
  <c r="AG23" i="5" s="1"/>
  <c r="AG24" i="5"/>
  <c r="U27" i="5"/>
  <c r="U25" i="5"/>
  <c r="AJ21" i="5"/>
  <c r="AJ24" i="5"/>
  <c r="S25" i="5"/>
  <c r="S27" i="5"/>
  <c r="AI25" i="5"/>
  <c r="AI27" i="5"/>
  <c r="P34" i="6"/>
  <c r="W21" i="5"/>
  <c r="W23" i="5" s="1"/>
  <c r="W24" i="5" s="1"/>
  <c r="AP25" i="5"/>
  <c r="AP27" i="5"/>
  <c r="X25" i="5"/>
  <c r="X27" i="5"/>
  <c r="AM25" i="5"/>
  <c r="AM27" i="5"/>
  <c r="Z21" i="5"/>
  <c r="Z23" i="5" s="1"/>
  <c r="Z24" i="5" s="1"/>
  <c r="J21" i="5"/>
  <c r="J23" i="5" s="1"/>
  <c r="J24" i="5"/>
  <c r="AC25" i="5"/>
  <c r="AC27" i="5"/>
  <c r="Q25" i="5"/>
  <c r="Q27" i="5"/>
  <c r="AF21" i="5"/>
  <c r="AF24" i="5"/>
  <c r="J36" i="6"/>
  <c r="T38" i="6"/>
  <c r="AD36" i="6"/>
  <c r="AK38" i="6"/>
  <c r="AD34" i="6"/>
  <c r="J34" i="6"/>
  <c r="AI34" i="6"/>
  <c r="AI38" i="6"/>
  <c r="X34" i="6"/>
  <c r="D25" i="5"/>
  <c r="D27" i="5"/>
  <c r="E21" i="5"/>
  <c r="E23" i="5" s="1"/>
  <c r="E24" i="5" s="1"/>
  <c r="B21" i="5"/>
  <c r="B23" i="5" s="1"/>
  <c r="B24" i="5" s="1"/>
  <c r="M34" i="6"/>
  <c r="M38" i="6"/>
  <c r="AH38" i="6"/>
  <c r="AH36" i="6"/>
  <c r="AH34" i="6"/>
  <c r="AC36" i="6"/>
  <c r="AC38" i="6"/>
  <c r="AC34" i="6"/>
  <c r="V38" i="6"/>
  <c r="V34" i="6"/>
  <c r="V36" i="6"/>
  <c r="AA34" i="6"/>
  <c r="AA36" i="6"/>
  <c r="AA38" i="6"/>
  <c r="AJ38" i="6"/>
  <c r="AJ34" i="6"/>
  <c r="AJ36" i="6"/>
  <c r="K34" i="6"/>
  <c r="K36" i="6"/>
  <c r="K38" i="6"/>
  <c r="U34" i="6"/>
  <c r="U38" i="6"/>
  <c r="U36" i="6"/>
  <c r="Q34" i="6"/>
  <c r="Q38" i="6"/>
  <c r="Q36" i="6"/>
  <c r="Z38" i="6"/>
  <c r="Z34" i="6"/>
  <c r="Z36" i="6"/>
  <c r="C21" i="5"/>
  <c r="C23" i="5" s="1"/>
  <c r="C24" i="5" s="1"/>
  <c r="F21" i="5"/>
  <c r="F23" i="5" s="1"/>
  <c r="F24" i="5" s="1"/>
  <c r="Q21" i="3"/>
  <c r="O21" i="3"/>
  <c r="M21" i="3"/>
  <c r="K21" i="3"/>
  <c r="I21" i="3"/>
  <c r="Q26" i="3"/>
  <c r="Q27" i="3"/>
  <c r="Q28" i="3"/>
  <c r="O26" i="3"/>
  <c r="O27" i="3"/>
  <c r="O28" i="3"/>
  <c r="M26" i="3"/>
  <c r="M27" i="3"/>
  <c r="M28" i="3"/>
  <c r="K25" i="3"/>
  <c r="K26" i="3"/>
  <c r="K27" i="3"/>
  <c r="K28" i="3"/>
  <c r="I26" i="3"/>
  <c r="I27" i="3"/>
  <c r="I28" i="3"/>
  <c r="W25" i="5" l="1"/>
  <c r="W27" i="5"/>
  <c r="N25" i="5"/>
  <c r="N27" i="5"/>
  <c r="Z27" i="5"/>
  <c r="Z25" i="5"/>
  <c r="AQ25" i="5"/>
  <c r="AQ27" i="5"/>
  <c r="M27" i="5"/>
  <c r="M25" i="5"/>
  <c r="B27" i="5"/>
  <c r="J33" i="5"/>
  <c r="J25" i="5"/>
  <c r="J27" i="5"/>
  <c r="K25" i="5"/>
  <c r="K27" i="5"/>
  <c r="V27" i="5"/>
  <c r="V25" i="5"/>
  <c r="AJ27" i="5"/>
  <c r="AJ25" i="5"/>
  <c r="AG25" i="5"/>
  <c r="AG27" i="5"/>
  <c r="AA27" i="5"/>
  <c r="AA25" i="5"/>
  <c r="Y25" i="5"/>
  <c r="Y27" i="5"/>
  <c r="R25" i="5"/>
  <c r="R27" i="5"/>
  <c r="O25" i="5"/>
  <c r="O27" i="5"/>
  <c r="AF25" i="5"/>
  <c r="AF27" i="5"/>
  <c r="AB25" i="5"/>
  <c r="AB27" i="5"/>
  <c r="B25" i="5"/>
  <c r="E25" i="5"/>
  <c r="E27" i="5"/>
  <c r="C25" i="5"/>
  <c r="C27" i="5"/>
  <c r="F25" i="5"/>
  <c r="F27" i="5"/>
  <c r="D3" i="1"/>
  <c r="D4" i="1"/>
  <c r="D5" i="1"/>
  <c r="G68" i="1" l="1"/>
  <c r="G70" i="1"/>
  <c r="G72" i="1"/>
  <c r="F73" i="1"/>
  <c r="F72" i="1"/>
  <c r="F71" i="1"/>
  <c r="F70" i="1"/>
  <c r="F69" i="1"/>
  <c r="F68" i="1"/>
  <c r="G64" i="1" l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AA12" i="1" l="1"/>
  <c r="AB12" i="1"/>
  <c r="P64" i="3" l="1"/>
  <c r="N64" i="3"/>
  <c r="L64" i="3"/>
  <c r="J64" i="3"/>
  <c r="H64" i="3"/>
  <c r="F64" i="3"/>
  <c r="D64" i="3"/>
  <c r="B64" i="3"/>
  <c r="P63" i="3"/>
  <c r="N63" i="3"/>
  <c r="L63" i="3"/>
  <c r="J63" i="3"/>
  <c r="H63" i="3"/>
  <c r="F63" i="3"/>
  <c r="D63" i="3"/>
  <c r="B63" i="3"/>
  <c r="P62" i="3"/>
  <c r="N62" i="3"/>
  <c r="L62" i="3"/>
  <c r="J62" i="3"/>
  <c r="H62" i="3"/>
  <c r="F62" i="3"/>
  <c r="D62" i="3"/>
  <c r="B62" i="3"/>
  <c r="P60" i="3"/>
  <c r="I8" i="6" s="1"/>
  <c r="N60" i="3"/>
  <c r="H8" i="6" s="1"/>
  <c r="L60" i="3"/>
  <c r="G8" i="6" s="1"/>
  <c r="J60" i="3"/>
  <c r="F8" i="6" s="1"/>
  <c r="H60" i="3"/>
  <c r="E8" i="6" s="1"/>
  <c r="F60" i="3"/>
  <c r="D8" i="6" s="1"/>
  <c r="D60" i="3"/>
  <c r="C8" i="6" s="1"/>
  <c r="G28" i="3"/>
  <c r="C28" i="3"/>
  <c r="G27" i="3"/>
  <c r="C27" i="3"/>
  <c r="G26" i="3"/>
  <c r="C26" i="3"/>
  <c r="C25" i="3"/>
  <c r="G19" i="3"/>
  <c r="Q18" i="3"/>
  <c r="P18" i="3"/>
  <c r="O18" i="3"/>
  <c r="N18" i="3"/>
  <c r="M18" i="3"/>
  <c r="L18" i="3"/>
  <c r="K18" i="3"/>
  <c r="J18" i="3"/>
  <c r="I18" i="3"/>
  <c r="H18" i="3"/>
  <c r="F18" i="3"/>
  <c r="F61" i="3" s="1"/>
  <c r="D10" i="6" s="1"/>
  <c r="D18" i="3"/>
  <c r="D61" i="3" s="1"/>
  <c r="C10" i="6" s="1"/>
  <c r="AK9" i="1"/>
  <c r="AK28" i="1" s="1"/>
  <c r="AK29" i="1" s="1"/>
  <c r="AJ9" i="1"/>
  <c r="AJ28" i="1" s="1"/>
  <c r="AJ29" i="1" s="1"/>
  <c r="AI9" i="1"/>
  <c r="AI28" i="1" s="1"/>
  <c r="AI29" i="1" s="1"/>
  <c r="AH9" i="1"/>
  <c r="AH28" i="1" s="1"/>
  <c r="AH29" i="1" s="1"/>
  <c r="AG9" i="1"/>
  <c r="AG28" i="1" s="1"/>
  <c r="AG29" i="1" s="1"/>
  <c r="AF9" i="1"/>
  <c r="AF28" i="1" s="1"/>
  <c r="AF29" i="1" s="1"/>
  <c r="AE9" i="1"/>
  <c r="AE28" i="1" s="1"/>
  <c r="AE29" i="1" s="1"/>
  <c r="AD9" i="1"/>
  <c r="AD28" i="1" s="1"/>
  <c r="AD29" i="1" s="1"/>
  <c r="AC9" i="1"/>
  <c r="AC28" i="1" s="1"/>
  <c r="AC29" i="1" s="1"/>
  <c r="AB9" i="1"/>
  <c r="AB28" i="1" s="1"/>
  <c r="AB29" i="1" s="1"/>
  <c r="AA9" i="1"/>
  <c r="AA28" i="1" s="1"/>
  <c r="AA29" i="1" s="1"/>
  <c r="Z9" i="1"/>
  <c r="Z28" i="1" s="1"/>
  <c r="Z29" i="1" s="1"/>
  <c r="Y9" i="1"/>
  <c r="Y28" i="1" s="1"/>
  <c r="Y29" i="1" s="1"/>
  <c r="X9" i="1"/>
  <c r="X28" i="1" s="1"/>
  <c r="X29" i="1" s="1"/>
  <c r="W9" i="1"/>
  <c r="W28" i="1" s="1"/>
  <c r="W29" i="1" s="1"/>
  <c r="V9" i="1"/>
  <c r="V28" i="1" s="1"/>
  <c r="V29" i="1" s="1"/>
  <c r="U9" i="1"/>
  <c r="U28" i="1" s="1"/>
  <c r="U29" i="1" s="1"/>
  <c r="T9" i="1"/>
  <c r="T28" i="1" s="1"/>
  <c r="T29" i="1" s="1"/>
  <c r="S9" i="1"/>
  <c r="S28" i="1" s="1"/>
  <c r="S29" i="1" s="1"/>
  <c r="R9" i="1"/>
  <c r="R28" i="1" s="1"/>
  <c r="R29" i="1" s="1"/>
  <c r="Q9" i="1"/>
  <c r="Q28" i="1" s="1"/>
  <c r="Q29" i="1" s="1"/>
  <c r="P9" i="1"/>
  <c r="P28" i="1" s="1"/>
  <c r="P29" i="1" s="1"/>
  <c r="O9" i="1"/>
  <c r="O28" i="1" s="1"/>
  <c r="O29" i="1" s="1"/>
  <c r="N9" i="1"/>
  <c r="N28" i="1" s="1"/>
  <c r="N29" i="1" s="1"/>
  <c r="M9" i="1"/>
  <c r="M28" i="1" s="1"/>
  <c r="M29" i="1" s="1"/>
  <c r="L9" i="1"/>
  <c r="L28" i="1" s="1"/>
  <c r="L29" i="1" s="1"/>
  <c r="K9" i="1"/>
  <c r="K28" i="1" s="1"/>
  <c r="K29" i="1" s="1"/>
  <c r="J9" i="1"/>
  <c r="J28" i="1" s="1"/>
  <c r="J29" i="1" s="1"/>
  <c r="I9" i="1"/>
  <c r="I28" i="1" s="1"/>
  <c r="I29" i="1" s="1"/>
  <c r="H9" i="1"/>
  <c r="H28" i="1" s="1"/>
  <c r="H29" i="1" s="1"/>
  <c r="G9" i="1"/>
  <c r="G28" i="1" s="1"/>
  <c r="G29" i="1" s="1"/>
  <c r="F9" i="1"/>
  <c r="F28" i="1" s="1"/>
  <c r="F29" i="1" s="1"/>
  <c r="E9" i="1"/>
  <c r="E28" i="1" s="1"/>
  <c r="E29" i="1" s="1"/>
  <c r="D9" i="1"/>
  <c r="D28" i="1" s="1"/>
  <c r="D29" i="1" s="1"/>
  <c r="C9" i="1"/>
  <c r="C28" i="1" s="1"/>
  <c r="C29" i="1" s="1"/>
  <c r="B9" i="1"/>
  <c r="B28" i="1" s="1"/>
  <c r="B29" i="1" s="1"/>
  <c r="E5" i="1"/>
  <c r="G73" i="1" s="1"/>
  <c r="C5" i="1"/>
  <c r="H72" i="1" s="1"/>
  <c r="E4" i="1"/>
  <c r="G71" i="1" s="1"/>
  <c r="C4" i="1"/>
  <c r="H70" i="1" s="1"/>
  <c r="E3" i="1"/>
  <c r="G69" i="1" s="1"/>
  <c r="H69" i="1" s="1"/>
  <c r="C3" i="1"/>
  <c r="D9" i="6" l="1"/>
  <c r="D28" i="6" s="1"/>
  <c r="D29" i="6" s="1"/>
  <c r="D31" i="6" s="1"/>
  <c r="H9" i="6"/>
  <c r="H28" i="6"/>
  <c r="H29" i="6" s="1"/>
  <c r="H31" i="6" s="1"/>
  <c r="E9" i="6"/>
  <c r="I9" i="6"/>
  <c r="B25" i="1"/>
  <c r="F9" i="6"/>
  <c r="C28" i="6"/>
  <c r="C29" i="6" s="1"/>
  <c r="C31" i="6" s="1"/>
  <c r="C9" i="6"/>
  <c r="G9" i="6"/>
  <c r="G28" i="6"/>
  <c r="G29" i="6" s="1"/>
  <c r="G31" i="6" s="1"/>
  <c r="H68" i="1"/>
  <c r="D25" i="1"/>
  <c r="C25" i="1"/>
  <c r="J61" i="3"/>
  <c r="F10" i="6" s="1"/>
  <c r="N61" i="3"/>
  <c r="H10" i="6" s="1"/>
  <c r="H73" i="1"/>
  <c r="P61" i="3"/>
  <c r="I10" i="6" s="1"/>
  <c r="B61" i="3"/>
  <c r="B10" i="6" s="1"/>
  <c r="H71" i="1"/>
  <c r="AE25" i="1"/>
  <c r="B26" i="1"/>
  <c r="B31" i="1" s="1"/>
  <c r="F25" i="1"/>
  <c r="J25" i="1"/>
  <c r="N25" i="1"/>
  <c r="R25" i="1"/>
  <c r="V25" i="1"/>
  <c r="V26" i="1" s="1"/>
  <c r="V31" i="1" s="1"/>
  <c r="Z25" i="1"/>
  <c r="Z26" i="1" s="1"/>
  <c r="Z31" i="1" s="1"/>
  <c r="AD25" i="1"/>
  <c r="AD26" i="1" s="1"/>
  <c r="AD31" i="1" s="1"/>
  <c r="AI25" i="1"/>
  <c r="K25" i="1"/>
  <c r="O25" i="1"/>
  <c r="W25" i="1"/>
  <c r="AA25" i="1"/>
  <c r="AJ25" i="1"/>
  <c r="AJ26" i="1" s="1"/>
  <c r="AJ31" i="1" s="1"/>
  <c r="G25" i="1"/>
  <c r="S25" i="1"/>
  <c r="AK25" i="1"/>
  <c r="AK26" i="1" s="1"/>
  <c r="AK31" i="1" s="1"/>
  <c r="AG25" i="1"/>
  <c r="H25" i="1"/>
  <c r="L25" i="1"/>
  <c r="P25" i="1"/>
  <c r="T25" i="1"/>
  <c r="X25" i="1"/>
  <c r="X26" i="1" s="1"/>
  <c r="X31" i="1" s="1"/>
  <c r="AB25" i="1"/>
  <c r="AB26" i="1" s="1"/>
  <c r="AB31" i="1" s="1"/>
  <c r="AF25" i="1"/>
  <c r="AF26" i="1" s="1"/>
  <c r="AF31" i="1" s="1"/>
  <c r="E25" i="1"/>
  <c r="E26" i="1" s="1"/>
  <c r="E31" i="1" s="1"/>
  <c r="I25" i="1"/>
  <c r="M25" i="1"/>
  <c r="Q25" i="1"/>
  <c r="U25" i="1"/>
  <c r="Y25" i="1"/>
  <c r="AC25" i="1"/>
  <c r="AH25" i="1"/>
  <c r="AH26" i="1" s="1"/>
  <c r="AH31" i="1" s="1"/>
  <c r="H61" i="3"/>
  <c r="E10" i="6" s="1"/>
  <c r="E28" i="6" s="1"/>
  <c r="E29" i="6" s="1"/>
  <c r="E31" i="6" s="1"/>
  <c r="L61" i="3"/>
  <c r="G10" i="6" s="1"/>
  <c r="E32" i="6" l="1"/>
  <c r="E33" i="6"/>
  <c r="D32" i="6"/>
  <c r="D33" i="6"/>
  <c r="B28" i="6"/>
  <c r="B29" i="6" s="1"/>
  <c r="B31" i="6" s="1"/>
  <c r="G32" i="6"/>
  <c r="G33" i="6"/>
  <c r="H32" i="6"/>
  <c r="H33" i="6"/>
  <c r="I28" i="6"/>
  <c r="I29" i="6" s="1"/>
  <c r="I31" i="6" s="1"/>
  <c r="E36" i="6"/>
  <c r="C32" i="6"/>
  <c r="C33" i="6"/>
  <c r="F28" i="6"/>
  <c r="F29" i="6" s="1"/>
  <c r="F31" i="6" s="1"/>
  <c r="I26" i="1"/>
  <c r="I31" i="1" s="1"/>
  <c r="AG26" i="1"/>
  <c r="AG31" i="1" s="1"/>
  <c r="K26" i="1"/>
  <c r="K31" i="1" s="1"/>
  <c r="R26" i="1"/>
  <c r="R31" i="1" s="1"/>
  <c r="U26" i="1"/>
  <c r="U31" i="1" s="1"/>
  <c r="AF33" i="1"/>
  <c r="P26" i="1"/>
  <c r="P31" i="1" s="1"/>
  <c r="AK33" i="1"/>
  <c r="AA26" i="1"/>
  <c r="AA31" i="1" s="1"/>
  <c r="AD33" i="1"/>
  <c r="N26" i="1"/>
  <c r="N31" i="1" s="1"/>
  <c r="AE26" i="1"/>
  <c r="AE31" i="1" s="1"/>
  <c r="D26" i="1"/>
  <c r="D31" i="1" s="1"/>
  <c r="Y26" i="1"/>
  <c r="Y31" i="1" s="1"/>
  <c r="AJ33" i="1"/>
  <c r="AI26" i="1"/>
  <c r="AI31" i="1" s="1"/>
  <c r="C26" i="1"/>
  <c r="C31" i="1" s="1"/>
  <c r="AH33" i="1"/>
  <c r="Q26" i="1"/>
  <c r="Q31" i="1" s="1"/>
  <c r="AB33" i="1"/>
  <c r="L26" i="1"/>
  <c r="L31" i="1" s="1"/>
  <c r="S26" i="1"/>
  <c r="S31" i="1" s="1"/>
  <c r="W26" i="1"/>
  <c r="W31" i="1" s="1"/>
  <c r="Z33" i="1"/>
  <c r="J26" i="1"/>
  <c r="J31" i="1" s="1"/>
  <c r="T26" i="1"/>
  <c r="T31" i="1" s="1"/>
  <c r="E33" i="1"/>
  <c r="AC26" i="1"/>
  <c r="AC31" i="1" s="1"/>
  <c r="M26" i="1"/>
  <c r="M31" i="1" s="1"/>
  <c r="X33" i="1"/>
  <c r="H26" i="1"/>
  <c r="H31" i="1" s="1"/>
  <c r="G26" i="1"/>
  <c r="G31" i="1" s="1"/>
  <c r="O26" i="1"/>
  <c r="O31" i="1" s="1"/>
  <c r="V33" i="1"/>
  <c r="F26" i="1"/>
  <c r="F32" i="6" l="1"/>
  <c r="F33" i="6"/>
  <c r="C34" i="6"/>
  <c r="C38" i="6"/>
  <c r="C36" i="6"/>
  <c r="H36" i="6"/>
  <c r="H34" i="6"/>
  <c r="H38" i="6"/>
  <c r="B32" i="6"/>
  <c r="B33" i="6"/>
  <c r="E34" i="6"/>
  <c r="E38" i="6"/>
  <c r="I32" i="6"/>
  <c r="I33" i="6"/>
  <c r="G36" i="6"/>
  <c r="G34" i="6"/>
  <c r="G38" i="6"/>
  <c r="D34" i="6"/>
  <c r="D38" i="6"/>
  <c r="D36" i="6"/>
  <c r="F31" i="1"/>
  <c r="F32" i="1" s="1"/>
  <c r="E32" i="1"/>
  <c r="AJ32" i="1"/>
  <c r="G33" i="1"/>
  <c r="X32" i="1"/>
  <c r="AC33" i="1"/>
  <c r="T33" i="1"/>
  <c r="T38" i="1" s="1"/>
  <c r="Z32" i="1"/>
  <c r="S33" i="1"/>
  <c r="AB32" i="1"/>
  <c r="AH32" i="1"/>
  <c r="AI33" i="1"/>
  <c r="Y33" i="1"/>
  <c r="AE33" i="1"/>
  <c r="AD32" i="1"/>
  <c r="AK32" i="1"/>
  <c r="AF32" i="1"/>
  <c r="R33" i="1"/>
  <c r="AG33" i="1"/>
  <c r="V32" i="1"/>
  <c r="F33" i="1"/>
  <c r="O33" i="1"/>
  <c r="H33" i="1"/>
  <c r="M33" i="1"/>
  <c r="J33" i="1"/>
  <c r="J36" i="1" s="1"/>
  <c r="W33" i="1"/>
  <c r="L33" i="1"/>
  <c r="L36" i="1" s="1"/>
  <c r="Q33" i="1"/>
  <c r="C33" i="1"/>
  <c r="D33" i="1"/>
  <c r="N33" i="1"/>
  <c r="AA33" i="1"/>
  <c r="P33" i="1"/>
  <c r="U33" i="1"/>
  <c r="U36" i="1" s="1"/>
  <c r="K33" i="1"/>
  <c r="I33" i="1"/>
  <c r="I36" i="1" s="1"/>
  <c r="AE34" i="1"/>
  <c r="AJ36" i="1"/>
  <c r="V36" i="1"/>
  <c r="AD36" i="1"/>
  <c r="AK36" i="1"/>
  <c r="I34" i="6" l="1"/>
  <c r="I38" i="6"/>
  <c r="I36" i="6"/>
  <c r="B38" i="6"/>
  <c r="C66" i="6"/>
  <c r="B34" i="6"/>
  <c r="B36" i="6"/>
  <c r="F34" i="6"/>
  <c r="F38" i="6"/>
  <c r="F36" i="6"/>
  <c r="D36" i="1"/>
  <c r="C36" i="1"/>
  <c r="F38" i="1"/>
  <c r="T36" i="1"/>
  <c r="L38" i="1"/>
  <c r="L34" i="1"/>
  <c r="U32" i="1"/>
  <c r="T34" i="1"/>
  <c r="W32" i="1"/>
  <c r="AC32" i="1"/>
  <c r="I32" i="1"/>
  <c r="Q32" i="1"/>
  <c r="D32" i="1"/>
  <c r="O32" i="1"/>
  <c r="AG32" i="1"/>
  <c r="AA32" i="1"/>
  <c r="M32" i="1"/>
  <c r="Y32" i="1"/>
  <c r="K32" i="1"/>
  <c r="P32" i="1"/>
  <c r="N32" i="1"/>
  <c r="C32" i="1"/>
  <c r="L32" i="1"/>
  <c r="J32" i="1"/>
  <c r="H32" i="1"/>
  <c r="R32" i="1"/>
  <c r="T32" i="1"/>
  <c r="AE32" i="1"/>
  <c r="AI32" i="1"/>
  <c r="S32" i="1"/>
  <c r="G32" i="1"/>
  <c r="G38" i="1"/>
  <c r="G36" i="1"/>
  <c r="H38" i="1"/>
  <c r="H36" i="1"/>
  <c r="AG38" i="1"/>
  <c r="AG36" i="1"/>
  <c r="O38" i="1"/>
  <c r="O36" i="1"/>
  <c r="Y38" i="1"/>
  <c r="Y36" i="1"/>
  <c r="N38" i="1"/>
  <c r="N36" i="1"/>
  <c r="F36" i="1"/>
  <c r="K38" i="1"/>
  <c r="K36" i="1"/>
  <c r="P38" i="1"/>
  <c r="P36" i="1"/>
  <c r="R38" i="1"/>
  <c r="R36" i="1"/>
  <c r="AI38" i="1"/>
  <c r="AI36" i="1"/>
  <c r="E38" i="1"/>
  <c r="E36" i="1"/>
  <c r="S38" i="1"/>
  <c r="S36" i="1"/>
  <c r="Z38" i="1"/>
  <c r="Z36" i="1"/>
  <c r="AC38" i="1"/>
  <c r="AC36" i="1"/>
  <c r="AH38" i="1"/>
  <c r="AH36" i="1"/>
  <c r="M38" i="1"/>
  <c r="M36" i="1"/>
  <c r="Q38" i="1"/>
  <c r="Q36" i="1"/>
  <c r="AF38" i="1"/>
  <c r="AF36" i="1"/>
  <c r="X38" i="1"/>
  <c r="X36" i="1"/>
  <c r="AB38" i="1"/>
  <c r="AB36" i="1"/>
  <c r="W38" i="1"/>
  <c r="W36" i="1"/>
  <c r="AA38" i="1"/>
  <c r="AA36" i="1"/>
  <c r="AE38" i="1"/>
  <c r="AE36" i="1"/>
  <c r="C38" i="1"/>
  <c r="AK34" i="1"/>
  <c r="AK38" i="1"/>
  <c r="V38" i="1"/>
  <c r="J34" i="1"/>
  <c r="J38" i="1"/>
  <c r="I34" i="1"/>
  <c r="I38" i="1"/>
  <c r="D38" i="1"/>
  <c r="AJ38" i="1"/>
  <c r="AD38" i="1"/>
  <c r="U34" i="1"/>
  <c r="U38" i="1"/>
  <c r="AD34" i="1"/>
  <c r="D34" i="1"/>
  <c r="V34" i="1"/>
  <c r="AJ34" i="1"/>
  <c r="X34" i="1"/>
  <c r="AI34" i="1"/>
  <c r="H34" i="1"/>
  <c r="AF34" i="1"/>
  <c r="AH34" i="1"/>
  <c r="AB34" i="1"/>
  <c r="P34" i="1"/>
  <c r="O34" i="1"/>
  <c r="R34" i="1"/>
  <c r="M34" i="1"/>
  <c r="N34" i="1"/>
  <c r="Z34" i="1"/>
  <c r="Y34" i="1"/>
  <c r="AC34" i="1"/>
  <c r="AG34" i="1"/>
  <c r="S34" i="1"/>
  <c r="AA34" i="1"/>
  <c r="G34" i="1"/>
  <c r="Q34" i="1"/>
  <c r="F34" i="1"/>
  <c r="K34" i="1"/>
  <c r="E34" i="1"/>
  <c r="C34" i="1"/>
  <c r="W34" i="1"/>
  <c r="B32" i="1"/>
  <c r="B33" i="1"/>
  <c r="C66" i="1" s="1"/>
  <c r="B36" i="1" l="1"/>
  <c r="B38" i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Means-tested bursary
C means changeable (i.e. you can manually put numbers into the adjacent cells) and UC means unchangeable. C/UC means under certain conditions it can be changed but a new table/formula may need to be designed.
</t>
        </r>
      </text>
    </comment>
    <comment ref="A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C/UC</t>
        </r>
      </text>
    </comment>
    <comment ref="A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6" authorId="0" shapeId="0" xr:uid="{1F9A387B-5FE4-448A-B75A-DDCFE2057E34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8" authorId="0" shapeId="0" xr:uid="{3046536C-6E84-4B0B-A60B-14700BA01D8D}">
      <text>
        <r>
          <rPr>
            <b/>
            <sz val="9"/>
            <color indexed="81"/>
            <rFont val="Tahoma"/>
            <family val="2"/>
          </rPr>
          <t>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3D0FE768-055E-4BEC-AE73-85F8C0B1D08A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8" authorId="0" shapeId="0" xr:uid="{CE5912C9-922D-4115-A0CD-F2D2B3FED536}">
      <text>
        <r>
          <rPr>
            <b/>
            <sz val="9"/>
            <color indexed="81"/>
            <rFont val="Tahoma"/>
            <charset val="1"/>
          </rPr>
          <t>UC</t>
        </r>
      </text>
    </comment>
    <comment ref="A4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4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4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4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5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C/UC</t>
        </r>
      </text>
    </comment>
    <comment ref="B5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C/UC</t>
        </r>
      </text>
    </comment>
    <comment ref="C5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E5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F5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G5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H5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UC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1" authorId="0" shapeId="0" xr:uid="{8AF837A6-4372-448D-BBF9-1E3FC06E294A}">
      <text>
        <r>
          <rPr>
            <b/>
            <sz val="9"/>
            <color indexed="81"/>
            <rFont val="Tahoma"/>
            <family val="2"/>
          </rPr>
          <t xml:space="preserve">Means-tested bursary
C means changeable (i.e. you can manually put numbers into the adjacent cells) and UC means unchangeable. C/UC means under certain conditions it can be changed but a new table/formula may need to be designed.
</t>
        </r>
      </text>
    </comment>
    <comment ref="A8" authorId="0" shapeId="0" xr:uid="{A51050B9-752D-4064-AA39-DF8DBC0AFDC1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9" authorId="0" shapeId="0" xr:uid="{AAAB1A19-520B-4EF8-A7B4-F1C7AB7208AE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10" authorId="0" shapeId="0" xr:uid="{21AAA344-4673-4C2C-9B99-104D4434B85F}">
      <text>
        <r>
          <rPr>
            <b/>
            <sz val="9"/>
            <color indexed="81"/>
            <rFont val="Tahoma"/>
            <family val="2"/>
          </rPr>
          <t>C/UC</t>
        </r>
      </text>
    </comment>
    <comment ref="A11" authorId="0" shapeId="0" xr:uid="{269149E5-6B78-402C-9DFD-D7EFFCBD2916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2" authorId="0" shapeId="0" xr:uid="{005D8A4C-A737-4D9A-BDAF-E395C54470A8}">
      <text>
        <r>
          <rPr>
            <b/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82ECE5E1-E80C-4AA8-89C3-103856B09497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4" authorId="0" shapeId="0" xr:uid="{29D1565E-EC35-4E25-B66F-1771BF95A639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5" authorId="0" shapeId="0" xr:uid="{64E22BFF-2563-4EC6-815D-24B1E08EB3C1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6" authorId="0" shapeId="0" xr:uid="{1A14DE8C-7073-49E4-A707-B5B8AD115517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7" authorId="0" shapeId="0" xr:uid="{4B2B6697-3848-4F3A-AA82-ECAFD43EE110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8" authorId="0" shapeId="0" xr:uid="{C6DCE0AE-288C-4B3A-BC80-49101EFAC6AF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9" authorId="0" shapeId="0" xr:uid="{8AB82DD7-3C4D-45ED-9FDE-E21E0D763F08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0" authorId="0" shapeId="0" xr:uid="{3F9002FD-FBC4-4EFC-BF61-675899C48E11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1" authorId="0" shapeId="0" xr:uid="{4DD60787-9B47-40DA-AC21-4578ED312EB2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2" authorId="0" shapeId="0" xr:uid="{BEE54037-E143-4227-9C01-684EC7AEDB55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3" authorId="0" shapeId="0" xr:uid="{16DF48F8-AA45-44C6-8AD6-19304AB5BFEB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4" authorId="0" shapeId="0" xr:uid="{19277B1B-A03B-4D09-BD58-938483E00A8A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5" authorId="0" shapeId="0" xr:uid="{40C4D30E-56A7-4C39-8E1D-E560EE592FFA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6" authorId="0" shapeId="0" xr:uid="{43E24926-BE52-454F-BE3F-161B23A0E20A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8" authorId="0" shapeId="0" xr:uid="{B511155B-5FA6-49B1-A0AC-54D28C02319A}">
      <text>
        <r>
          <rPr>
            <b/>
            <sz val="9"/>
            <color indexed="81"/>
            <rFont val="Tahoma"/>
            <family val="2"/>
          </rPr>
          <t>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1D9A0601-DE9D-4762-A071-651673425C13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1" authorId="0" shapeId="0" xr:uid="{5FCF4A79-08B1-4767-A0C1-9D79EC12F5A9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2" authorId="0" shapeId="0" xr:uid="{0E1ED7A1-3E04-45B7-AE30-33DCDF91F340}">
      <text>
        <r>
          <rPr>
            <b/>
            <sz val="9"/>
            <color indexed="81"/>
            <rFont val="Tahoma"/>
            <family val="2"/>
          </rPr>
          <t>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B68E5BD4-8997-41CA-8895-05AC0A46DBD9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4" authorId="0" shapeId="0" xr:uid="{0D4033FB-A46A-4B0B-8A55-BB6BEA4680AB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6" authorId="0" shapeId="0" xr:uid="{2D466921-C5EC-4BF9-886F-3C485E6C2636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38" authorId="0" shapeId="0" xr:uid="{372F8E7E-9885-472B-8FA7-EF559E28849A}">
      <text>
        <r>
          <rPr>
            <b/>
            <sz val="9"/>
            <color indexed="81"/>
            <rFont val="Tahoma"/>
            <charset val="1"/>
          </rPr>
          <t>UC</t>
        </r>
      </text>
    </comment>
    <comment ref="A40" authorId="0" shapeId="0" xr:uid="{6F4E093A-9375-4D9D-88D5-8BA7E69D8825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41" authorId="0" shapeId="0" xr:uid="{051594A3-9372-42C5-B77A-46412C528E1D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42" authorId="0" shapeId="0" xr:uid="{45AA550D-9C4A-4911-8EE0-8EDC7E0DA201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44" authorId="0" shapeId="0" xr:uid="{E81BD07A-363F-40C5-8A12-58F9F441C8E5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51" authorId="0" shapeId="0" xr:uid="{7FAA7FE9-CE46-4C3B-9006-0163C12197A9}">
      <text>
        <r>
          <rPr>
            <b/>
            <sz val="9"/>
            <color indexed="81"/>
            <rFont val="Tahoma"/>
            <family val="2"/>
          </rPr>
          <t>C/UC</t>
        </r>
      </text>
    </comment>
    <comment ref="B51" authorId="0" shapeId="0" xr:uid="{823B0B31-9478-4A92-ACA3-D1AB8ADEDB1B}">
      <text>
        <r>
          <rPr>
            <b/>
            <sz val="9"/>
            <color indexed="81"/>
            <rFont val="Tahoma"/>
            <family val="2"/>
          </rPr>
          <t>C/UC</t>
        </r>
      </text>
    </comment>
    <comment ref="C51" authorId="0" shapeId="0" xr:uid="{D79BD3E5-1B74-4624-880F-63EBF7335B0F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E51" authorId="0" shapeId="0" xr:uid="{D0513185-C61D-4151-8D43-DCCD50CDEF73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F51" authorId="0" shapeId="0" xr:uid="{412A12D8-73AB-4D80-BC37-46295F538EEA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G51" authorId="0" shapeId="0" xr:uid="{305B29D2-482D-407E-B547-18C22465A34B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H51" authorId="0" shapeId="0" xr:uid="{5635409D-49BF-4943-9C64-3C076EA849FA}">
      <text>
        <r>
          <rPr>
            <b/>
            <sz val="9"/>
            <color indexed="81"/>
            <rFont val="Tahoma"/>
            <family val="2"/>
          </rPr>
          <t>UC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1" authorId="0" shapeId="0" xr:uid="{42655BF2-F390-4C88-ABB2-913BAA0A9C2B}">
      <text>
        <r>
          <rPr>
            <b/>
            <sz val="9"/>
            <color indexed="81"/>
            <rFont val="Tahoma"/>
            <family val="2"/>
          </rPr>
          <t>Discount scheme for those who don't qualify for bursary
C means changeable (i.e. you can manually put numbers into the adjacent cells) and UC means unchangeable. C/UC means under certain conditions it can be changed but a new table/formula may need to be designed.</t>
        </r>
      </text>
    </comment>
    <comment ref="A8" authorId="0" shapeId="0" xr:uid="{AE6D4BF2-F335-4F56-A3F8-C1490A2A5DFF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9" authorId="0" shapeId="0" xr:uid="{0B8AE6A1-72C2-4632-A110-5556C699A997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0" authorId="0" shapeId="0" xr:uid="{74557EBE-436A-46C6-9924-72F3BEF32B18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1" authorId="0" shapeId="0" xr:uid="{76B51440-8AD1-48BA-BB65-C771DB2CAFF4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2" authorId="0" shapeId="0" xr:uid="{88BE1431-6D39-4310-AE4B-20181AAEBCDC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3" authorId="0" shapeId="0" xr:uid="{3A6DA644-24AC-4DC1-84BD-E433239BCF51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4" authorId="0" shapeId="0" xr:uid="{5CD70865-A665-41D8-BFF9-E9D466E121F3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5" authorId="0" shapeId="0" xr:uid="{463CB52F-00E7-4B62-BD7F-CA4770174CE3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6" authorId="0" shapeId="0" xr:uid="{1B48D5BD-B019-4F9A-8248-AA6860944B72}">
      <text>
        <r>
          <rPr>
            <b/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9745159-D372-4DCA-8AF2-7E6B42B45771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8" authorId="0" shapeId="0" xr:uid="{BB4EE4CF-30AE-473D-8B1E-D2DEFDD59C04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19" authorId="0" shapeId="0" xr:uid="{DD221572-4C7D-451F-8183-E3F1444CF27E}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A20" authorId="0" shapeId="0" xr:uid="{A77ACD6C-B518-4E60-9A22-7695E20F71E9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1" authorId="0" shapeId="0" xr:uid="{A556100B-0AE6-4B70-A83F-476D1CED6B72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3" authorId="0" shapeId="0" xr:uid="{D0BF9790-1653-4403-8B83-471C2ED3FC08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4" authorId="0" shapeId="0" xr:uid="{634082BB-9564-4694-B77B-70FECF72DF70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5" authorId="0" shapeId="0" xr:uid="{DC1B0526-8B87-4233-8B4D-1E5B4AE8F661}">
      <text>
        <r>
          <rPr>
            <b/>
            <sz val="9"/>
            <color indexed="81"/>
            <rFont val="Tahoma"/>
            <family val="2"/>
          </rPr>
          <t>UC</t>
        </r>
      </text>
    </comment>
    <comment ref="A27" authorId="0" shapeId="0" xr:uid="{CB65BF1B-8034-4303-AA29-A64ADD6BFE58}">
      <text>
        <r>
          <rPr>
            <b/>
            <sz val="9"/>
            <color indexed="81"/>
            <rFont val="Tahoma"/>
            <charset val="1"/>
          </rPr>
          <t>UC</t>
        </r>
      </text>
    </comment>
  </commentList>
</comments>
</file>

<file path=xl/sharedStrings.xml><?xml version="1.0" encoding="utf-8"?>
<sst xmlns="http://schemas.openxmlformats.org/spreadsheetml/2006/main" count="452" uniqueCount="119">
  <si>
    <t>Sixth Form</t>
  </si>
  <si>
    <t>Day</t>
  </si>
  <si>
    <t>Junior</t>
  </si>
  <si>
    <t>Senior</t>
  </si>
  <si>
    <t>Partial Boarder</t>
  </si>
  <si>
    <t>Full Boarder</t>
  </si>
  <si>
    <t>Day+Lunch</t>
  </si>
  <si>
    <t>Family Income</t>
  </si>
  <si>
    <t>Family Expenditure (only neccessities)</t>
  </si>
  <si>
    <t>No of Children J. Day</t>
  </si>
  <si>
    <t>Family</t>
  </si>
  <si>
    <t>Mr&amp;Mrs …</t>
  </si>
  <si>
    <t>SMS FEES 18/19</t>
  </si>
  <si>
    <t>No of Children J. Day+Lunch</t>
  </si>
  <si>
    <t>No of Children J. Part. Boarder</t>
  </si>
  <si>
    <t>No of Children J. Full Boarder</t>
  </si>
  <si>
    <t>No of Children Sen. Day</t>
  </si>
  <si>
    <t>No of Children Sen. Day+Lunch</t>
  </si>
  <si>
    <t>No of Children Sen. Part. Boarder</t>
  </si>
  <si>
    <t>No of Children Sen. Full Boarder</t>
  </si>
  <si>
    <t>No of Children Sixth. F. Day</t>
  </si>
  <si>
    <t>No of Children Sixth. F. Day+Lunch</t>
  </si>
  <si>
    <t>No of Children Sixth. F. Part. Boarder</t>
  </si>
  <si>
    <t>No of Children Sixth. F. Full Boarder</t>
  </si>
  <si>
    <t>No of Dependants under 18 (exc. boarders)</t>
  </si>
  <si>
    <t>Amount family to pay</t>
  </si>
  <si>
    <t>Amount family to pay p. student p. yr</t>
  </si>
  <si>
    <t>SMS BURSARY</t>
  </si>
  <si>
    <t>SMS EXTRA CHILD DISCOUNT</t>
  </si>
  <si>
    <t>Income Band</t>
  </si>
  <si>
    <t>Income bands</t>
  </si>
  <si>
    <t>Income thresh.</t>
  </si>
  <si>
    <t>Buffer</t>
  </si>
  <si>
    <t>No. Kids</t>
  </si>
  <si>
    <t>Ideal Fam. Expenditure</t>
  </si>
  <si>
    <t>Difference</t>
  </si>
  <si>
    <t>Grocery spending of two parents per week</t>
  </si>
  <si>
    <t>Grocery spending of one child per week</t>
  </si>
  <si>
    <t>Grocery spending of one boarder per week</t>
  </si>
  <si>
    <t>Approximate overall average cost per child</t>
  </si>
  <si>
    <t>Help box</t>
  </si>
  <si>
    <t>10+</t>
  </si>
  <si>
    <t>Family disposable income after payment</t>
  </si>
  <si>
    <t>Father</t>
  </si>
  <si>
    <t>Mother</t>
  </si>
  <si>
    <t>Gross Salary and other emoluments (inc all taxable benefits &amp; expenses).</t>
  </si>
  <si>
    <t>Taxable profits of trade or profession for last two annual accounting periods</t>
  </si>
  <si>
    <t>Gross pensions</t>
  </si>
  <si>
    <t>Gross investment income from Banks/ Building Societies/Dividends &amp; Interest (Other Securities)</t>
  </si>
  <si>
    <t>Gross rental profit</t>
  </si>
  <si>
    <t>Dividends &amp; Interest (Other Securities)</t>
  </si>
  <si>
    <t>Social Security Benefits (including Child Benefit, Working &amp; Child Tax Credits, Disability Allowance etc)</t>
  </si>
  <si>
    <t>Separation or Maintenance Allowance</t>
  </si>
  <si>
    <t>Is there a Court Order/Separation Agreement? If “Yes”, please state annual amount payable for school fees</t>
  </si>
  <si>
    <t>Benefits in Kind provided free by reason of employment not already included in (a) above</t>
  </si>
  <si>
    <t>Any other income not included in (a) to (i) above eg trust or estate income, sale of capital assets, surrenders of life assurance policies etc.</t>
  </si>
  <si>
    <t>Tax payable on Incomes declared above(including tax deducted at source)</t>
  </si>
  <si>
    <t>National Insurance Contributions</t>
  </si>
  <si>
    <t>Mortgage repayments (include capital repayment as well as interest)</t>
  </si>
  <si>
    <t>Endowment mortgage insurance</t>
  </si>
  <si>
    <t>Any other interest payable e.g. Overdrafts, Credit Cards, Loans, etc. (please specify)</t>
  </si>
  <si>
    <t>Annual rent payable on principal residence</t>
  </si>
  <si>
    <t>Commuter Transport annual</t>
  </si>
  <si>
    <t>Total Utilities Annual (water, electric &amp; gas)</t>
  </si>
  <si>
    <t>Council Tax Annual</t>
  </si>
  <si>
    <t>Insurance (home and car)</t>
  </si>
  <si>
    <t>Approximate market value of all investments</t>
  </si>
  <si>
    <t>Building Society/Bank deposits/National Savings</t>
  </si>
  <si>
    <t>Equity investments, shares, bonds,
Government stocks</t>
  </si>
  <si>
    <t>PEPs, ISAs, TESSAs, TOISAS and other savings schemes</t>
  </si>
  <si>
    <t>Life assurance bonds &amp; policies including endowments</t>
  </si>
  <si>
    <t>Approximate market value of principal residence(freehold or leasehold)</t>
  </si>
  <si>
    <t>Approximate market value of other possessions including house contents, car, art, jewellery etc</t>
  </si>
  <si>
    <t>Cash at banks or elsewhere
(current accounts only)</t>
  </si>
  <si>
    <t>Approximate market value of any other assets (please specify and include the market value of any Insurance Policies maturing in this tax year or the last five years)</t>
  </si>
  <si>
    <t>Net worth/value of any businesses which you own or share</t>
  </si>
  <si>
    <t>Approximate market value of any other properties owned either at home or abroad</t>
  </si>
  <si>
    <t>Redundancy, employment separation or lump sum payments received or due in last 12 months</t>
  </si>
  <si>
    <t>Monies that are owed to you</t>
  </si>
  <si>
    <t>Other assets not listed (e.g. Share Options, Trust Interest/Assets held on your behalf by a third party, Assets likely to be received in the foreseeable future)</t>
  </si>
  <si>
    <t>Mortgage outstanding on house</t>
  </si>
  <si>
    <t>A final payment date</t>
  </si>
  <si>
    <t>Other liabilities
(please specify)</t>
  </si>
  <si>
    <t>Total Income</t>
  </si>
  <si>
    <t>Total Outgoings</t>
  </si>
  <si>
    <t>Total Capital Assets</t>
  </si>
  <si>
    <t>Total Capital Liabilities</t>
  </si>
  <si>
    <t>Total Net Assets</t>
  </si>
  <si>
    <t>1. Income 
Please enter below your current earnings and expected income from all sources for this tax year)</t>
  </si>
  <si>
    <t>2. Outgoings</t>
  </si>
  <si>
    <t>3. Capital assets</t>
  </si>
  <si>
    <t>4.Captial Liabilities</t>
  </si>
  <si>
    <t>5. Net Assets</t>
  </si>
  <si>
    <t>TOTAL ASSETS (calculated from section 3)</t>
  </si>
  <si>
    <t>LIABILITIES (calculated from Section 4)</t>
  </si>
  <si>
    <t>NET ASSETS (calculated from Sections 3&amp;4)</t>
  </si>
  <si>
    <t>Statement of Financial Circumstances</t>
  </si>
  <si>
    <t>Family Standard of Living Reference Box (minus Inc. Tax and NI contr.)</t>
  </si>
  <si>
    <t>Stated Fam Expenditure (minus inc. tax and NI contr.)</t>
  </si>
  <si>
    <t>junior day</t>
  </si>
  <si>
    <t>senior day</t>
  </si>
  <si>
    <t>senior boarder</t>
  </si>
  <si>
    <t>sixth form day</t>
  </si>
  <si>
    <t>sixth form boarder</t>
  </si>
  <si>
    <t>junior boarder</t>
  </si>
  <si>
    <t>SMS Fees</t>
  </si>
  <si>
    <t>Percentage of avg. fees</t>
  </si>
  <si>
    <t>Percentage of av. private school fees</t>
  </si>
  <si>
    <t>Avg. fees 2018 UK</t>
  </si>
  <si>
    <t xml:space="preserve">Bursary Cap </t>
  </si>
  <si>
    <t>Pension or superannuation contributions (Net)</t>
  </si>
  <si>
    <t>Extra Child Discount (10% off for 2 children, 15% for 3, 20% for 4, 25% for 5+)</t>
  </si>
  <si>
    <t>No of boarding students (here and other schools)</t>
  </si>
  <si>
    <t>Total Fees</t>
  </si>
  <si>
    <t>Tuition Bursary Required</t>
  </si>
  <si>
    <t>Tuition Bursary as % (to nearest pc)</t>
  </si>
  <si>
    <t>Tuition Fees (minus boarding fees)</t>
  </si>
  <si>
    <t>Family disposable income to pay school fees</t>
  </si>
  <si>
    <t>Family disposable income to pay tuition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</si>
</sst>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A5F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0" fillId="4" borderId="1" xfId="0" applyFill="1" applyBorder="1"/>
    <xf numFmtId="0" fontId="1" fillId="7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4" borderId="12" xfId="0" applyFont="1" applyFill="1" applyBorder="1" applyAlignment="1">
      <alignment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4" fontId="0" fillId="3" borderId="1" xfId="0" applyNumberFormat="1" applyFill="1" applyBorder="1" applyAlignment="1">
      <alignment horizontal="left" vertical="center" wrapText="1"/>
    </xf>
    <xf numFmtId="4" fontId="1" fillId="3" borderId="1" xfId="0" applyNumberFormat="1" applyFont="1" applyFill="1" applyBorder="1" applyAlignment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/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17" borderId="0" xfId="0" applyFill="1"/>
    <xf numFmtId="0" fontId="0" fillId="16" borderId="1" xfId="0" applyFont="1" applyFill="1" applyBorder="1" applyAlignment="1">
      <alignment horizontal="center"/>
    </xf>
    <xf numFmtId="9" fontId="1" fillId="9" borderId="1" xfId="1" applyFont="1" applyFill="1" applyBorder="1" applyAlignment="1">
      <alignment horizontal="center" wrapText="1"/>
    </xf>
    <xf numFmtId="164" fontId="1" fillId="10" borderId="1" xfId="0" applyNumberFormat="1" applyFont="1" applyFill="1" applyBorder="1" applyAlignment="1">
      <alignment horizontal="center" wrapText="1"/>
    </xf>
    <xf numFmtId="164" fontId="1" fillId="11" borderId="1" xfId="0" applyNumberFormat="1" applyFont="1" applyFill="1" applyBorder="1" applyAlignment="1">
      <alignment horizont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13" borderId="0" xfId="0" applyFill="1" applyAlignment="1">
      <alignment vertical="center" wrapText="1"/>
    </xf>
    <xf numFmtId="164" fontId="0" fillId="1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7" fillId="19" borderId="13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6" xfId="0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6" fillId="16" borderId="14" xfId="0" applyFont="1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164" fontId="0" fillId="12" borderId="19" xfId="0" applyNumberFormat="1" applyFill="1" applyBorder="1" applyAlignment="1">
      <alignment horizontal="center" vertical="center"/>
    </xf>
    <xf numFmtId="164" fontId="0" fillId="12" borderId="20" xfId="0" applyNumberFormat="1" applyFill="1" applyBorder="1" applyAlignment="1">
      <alignment horizontal="center" vertical="center"/>
    </xf>
    <xf numFmtId="0" fontId="0" fillId="12" borderId="19" xfId="0" applyFill="1" applyBorder="1" applyAlignment="1">
      <alignment vertical="center"/>
    </xf>
    <xf numFmtId="0" fontId="0" fillId="12" borderId="20" xfId="0" applyFill="1" applyBorder="1" applyAlignment="1">
      <alignment vertical="center"/>
    </xf>
    <xf numFmtId="0" fontId="0" fillId="12" borderId="21" xfId="0" applyFill="1" applyBorder="1" applyAlignment="1">
      <alignment vertical="center"/>
    </xf>
    <xf numFmtId="0" fontId="0" fillId="12" borderId="22" xfId="0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6" fillId="21" borderId="0" xfId="0" applyFont="1" applyFill="1"/>
    <xf numFmtId="10" fontId="0" fillId="21" borderId="0" xfId="0" applyNumberFormat="1" applyFill="1" applyAlignment="1">
      <alignment horizontal="center"/>
    </xf>
    <xf numFmtId="164" fontId="1" fillId="21" borderId="0" xfId="0" applyNumberFormat="1" applyFont="1" applyFill="1" applyAlignment="1">
      <alignment horizontal="center" vertical="center"/>
    </xf>
    <xf numFmtId="164" fontId="0" fillId="21" borderId="0" xfId="0" applyNumberFormat="1" applyFill="1" applyAlignment="1">
      <alignment horizontal="center"/>
    </xf>
    <xf numFmtId="0" fontId="0" fillId="23" borderId="0" xfId="0" applyFill="1"/>
    <xf numFmtId="0" fontId="8" fillId="22" borderId="0" xfId="0" applyFont="1" applyFill="1" applyAlignment="1">
      <alignment vertical="center"/>
    </xf>
    <xf numFmtId="0" fontId="8" fillId="22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 vertical="center" wrapText="1"/>
    </xf>
    <xf numFmtId="10" fontId="0" fillId="24" borderId="0" xfId="0" applyNumberFormat="1" applyFill="1" applyAlignment="1">
      <alignment horizontal="center"/>
    </xf>
    <xf numFmtId="164" fontId="0" fillId="0" borderId="0" xfId="0" applyNumberFormat="1"/>
    <xf numFmtId="0" fontId="0" fillId="13" borderId="0" xfId="0" applyFill="1" applyAlignment="1">
      <alignment horizontal="center" vertical="center" wrapText="1"/>
    </xf>
    <xf numFmtId="10" fontId="6" fillId="21" borderId="0" xfId="0" applyNumberFormat="1" applyFont="1" applyFill="1" applyAlignment="1">
      <alignment horizontal="center" vertical="center"/>
    </xf>
    <xf numFmtId="0" fontId="6" fillId="25" borderId="1" xfId="0" applyFont="1" applyFill="1" applyBorder="1"/>
    <xf numFmtId="164" fontId="10" fillId="11" borderId="1" xfId="0" applyNumberFormat="1" applyFont="1" applyFill="1" applyBorder="1" applyAlignment="1">
      <alignment horizontal="center" wrapText="1"/>
    </xf>
    <xf numFmtId="0" fontId="10" fillId="11" borderId="1" xfId="0" applyFont="1" applyFill="1" applyBorder="1" applyAlignment="1"/>
    <xf numFmtId="164" fontId="0" fillId="13" borderId="1" xfId="0" applyNumberForma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/>
    </xf>
    <xf numFmtId="0" fontId="6" fillId="18" borderId="0" xfId="0" applyFont="1" applyFill="1" applyBorder="1"/>
    <xf numFmtId="164" fontId="0" fillId="18" borderId="0" xfId="0" applyNumberFormat="1" applyFill="1" applyBorder="1" applyAlignment="1">
      <alignment horizontal="center"/>
    </xf>
    <xf numFmtId="0" fontId="0" fillId="13" borderId="0" xfId="0" applyFont="1" applyFill="1" applyAlignment="1">
      <alignment horizontal="center" vertical="center" wrapText="1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D5BF"/>
      <color rgb="FFFFFF99"/>
      <color rgb="FFCC9900"/>
      <color rgb="FFFF9900"/>
      <color rgb="FFFF5050"/>
      <color rgb="FFE2A5FD"/>
      <color rgb="FFCB5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"/>
  <sheetViews>
    <sheetView tabSelected="1" zoomScale="85" zoomScaleNormal="85" workbookViewId="0"/>
  </sheetViews>
  <sheetFormatPr defaultRowHeight="15" x14ac:dyDescent="0.25"/>
  <cols>
    <col min="1" max="1" width="46" customWidth="1"/>
    <col min="2" max="2" width="15.140625" bestFit="1" customWidth="1"/>
    <col min="3" max="3" width="13.42578125" bestFit="1" customWidth="1"/>
    <col min="4" max="4" width="13.7109375" bestFit="1" customWidth="1"/>
    <col min="5" max="5" width="16.28515625" customWidth="1"/>
    <col min="6" max="6" width="16.42578125" bestFit="1" customWidth="1"/>
    <col min="7" max="7" width="13" bestFit="1" customWidth="1"/>
    <col min="8" max="8" width="14.28515625" customWidth="1"/>
    <col min="9" max="9" width="10.85546875" bestFit="1" customWidth="1"/>
    <col min="10" max="10" width="11.28515625" bestFit="1" customWidth="1"/>
    <col min="11" max="11" width="10.85546875" customWidth="1"/>
    <col min="12" max="12" width="10.85546875" bestFit="1" customWidth="1"/>
    <col min="13" max="13" width="11" bestFit="1" customWidth="1"/>
    <col min="14" max="14" width="11.5703125" bestFit="1" customWidth="1"/>
    <col min="15" max="15" width="10.85546875" bestFit="1" customWidth="1"/>
    <col min="16" max="16" width="10.85546875" customWidth="1"/>
    <col min="17" max="25" width="10.85546875" bestFit="1" customWidth="1"/>
    <col min="26" max="26" width="11" bestFit="1" customWidth="1"/>
    <col min="27" max="37" width="9.140625" bestFit="1" customWidth="1"/>
  </cols>
  <sheetData>
    <row r="1" spans="1:37" ht="19.5" thickBot="1" x14ac:dyDescent="0.35">
      <c r="A1" s="21" t="s">
        <v>27</v>
      </c>
      <c r="C1" s="30" t="s">
        <v>40</v>
      </c>
    </row>
    <row r="2" spans="1:37" x14ac:dyDescent="0.25">
      <c r="A2" s="1" t="s">
        <v>12</v>
      </c>
      <c r="B2" s="19" t="s">
        <v>1</v>
      </c>
      <c r="C2" s="19" t="s">
        <v>6</v>
      </c>
      <c r="D2" s="19" t="s">
        <v>4</v>
      </c>
      <c r="E2" s="20" t="s">
        <v>5</v>
      </c>
    </row>
    <row r="3" spans="1:37" x14ac:dyDescent="0.25">
      <c r="A3" s="2" t="s">
        <v>2</v>
      </c>
      <c r="B3" s="36">
        <v>5700</v>
      </c>
      <c r="C3" s="36">
        <f>B3+600</f>
        <v>6300</v>
      </c>
      <c r="D3" s="36">
        <f>B3+(800*3)</f>
        <v>8100</v>
      </c>
      <c r="E3" s="37">
        <f>B3+(900*3)</f>
        <v>8400</v>
      </c>
    </row>
    <row r="4" spans="1:37" x14ac:dyDescent="0.25">
      <c r="A4" s="2" t="s">
        <v>3</v>
      </c>
      <c r="B4" s="36">
        <v>6990</v>
      </c>
      <c r="C4" s="36">
        <f>B4+600</f>
        <v>7590</v>
      </c>
      <c r="D4" s="36">
        <f>B4+(800*3)</f>
        <v>9390</v>
      </c>
      <c r="E4" s="37">
        <f>B4+(900*3)</f>
        <v>9690</v>
      </c>
    </row>
    <row r="5" spans="1:37" ht="15.75" thickBot="1" x14ac:dyDescent="0.3">
      <c r="A5" s="3" t="s">
        <v>0</v>
      </c>
      <c r="B5" s="38">
        <v>7500</v>
      </c>
      <c r="C5" s="38">
        <f>B5+600</f>
        <v>8100</v>
      </c>
      <c r="D5" s="38">
        <f>B5+(800*3)</f>
        <v>9900</v>
      </c>
      <c r="E5" s="39">
        <f>B5+(900*3)</f>
        <v>10200</v>
      </c>
    </row>
    <row r="7" spans="1:37" x14ac:dyDescent="0.25">
      <c r="A7" s="7" t="s">
        <v>10</v>
      </c>
      <c r="B7" s="65" t="s">
        <v>11</v>
      </c>
      <c r="C7" s="65" t="s">
        <v>11</v>
      </c>
      <c r="D7" s="65" t="s">
        <v>11</v>
      </c>
      <c r="E7" s="65" t="s">
        <v>11</v>
      </c>
      <c r="F7" s="65" t="s">
        <v>11</v>
      </c>
      <c r="G7" s="65" t="s">
        <v>11</v>
      </c>
      <c r="H7" s="65" t="s">
        <v>11</v>
      </c>
      <c r="I7" s="65" t="s">
        <v>11</v>
      </c>
      <c r="J7" s="65" t="s">
        <v>11</v>
      </c>
      <c r="K7" s="65" t="s">
        <v>11</v>
      </c>
      <c r="L7" s="65" t="s">
        <v>11</v>
      </c>
      <c r="M7" s="65" t="s">
        <v>11</v>
      </c>
      <c r="N7" s="65" t="s">
        <v>11</v>
      </c>
      <c r="O7" s="65" t="s">
        <v>11</v>
      </c>
      <c r="P7" s="65" t="s">
        <v>11</v>
      </c>
      <c r="Q7" s="65" t="s">
        <v>11</v>
      </c>
      <c r="R7" s="65" t="s">
        <v>11</v>
      </c>
      <c r="S7" s="65" t="s">
        <v>11</v>
      </c>
      <c r="T7" s="65" t="s">
        <v>11</v>
      </c>
      <c r="U7" s="65" t="s">
        <v>11</v>
      </c>
      <c r="V7" s="65" t="s">
        <v>11</v>
      </c>
      <c r="W7" s="65" t="s">
        <v>11</v>
      </c>
      <c r="X7" s="65" t="s">
        <v>11</v>
      </c>
      <c r="Y7" s="65" t="s">
        <v>11</v>
      </c>
      <c r="Z7" s="65" t="s">
        <v>11</v>
      </c>
      <c r="AA7" s="65" t="s">
        <v>11</v>
      </c>
      <c r="AB7" s="65" t="s">
        <v>11</v>
      </c>
      <c r="AC7" s="65" t="s">
        <v>11</v>
      </c>
      <c r="AD7" s="65" t="s">
        <v>11</v>
      </c>
      <c r="AE7" s="65" t="s">
        <v>11</v>
      </c>
      <c r="AF7" s="65" t="s">
        <v>11</v>
      </c>
      <c r="AG7" s="65" t="s">
        <v>11</v>
      </c>
      <c r="AH7" s="65" t="s">
        <v>11</v>
      </c>
      <c r="AI7" s="65" t="s">
        <v>11</v>
      </c>
      <c r="AJ7" s="65" t="s">
        <v>11</v>
      </c>
      <c r="AK7" s="65" t="s">
        <v>11</v>
      </c>
    </row>
    <row r="8" spans="1:37" x14ac:dyDescent="0.25">
      <c r="A8" s="5" t="s">
        <v>7</v>
      </c>
      <c r="B8" s="35">
        <v>41075</v>
      </c>
      <c r="C8" s="35">
        <v>100000</v>
      </c>
      <c r="D8" s="35">
        <v>110000</v>
      </c>
      <c r="E8" s="35">
        <v>55000</v>
      </c>
      <c r="F8" s="35">
        <v>140000</v>
      </c>
      <c r="G8" s="35">
        <v>70000</v>
      </c>
      <c r="H8" s="35">
        <v>46000</v>
      </c>
      <c r="I8" s="35">
        <v>55000</v>
      </c>
      <c r="J8" s="35">
        <v>55000</v>
      </c>
      <c r="K8" s="35">
        <v>40000</v>
      </c>
      <c r="L8" s="35">
        <v>45000</v>
      </c>
      <c r="M8" s="35">
        <v>28000</v>
      </c>
      <c r="N8" s="35">
        <v>75000</v>
      </c>
      <c r="O8" s="35">
        <v>55000</v>
      </c>
      <c r="P8" s="35">
        <v>90000</v>
      </c>
      <c r="Q8" s="35">
        <v>70000</v>
      </c>
      <c r="R8" s="35">
        <v>31000</v>
      </c>
      <c r="S8" s="35">
        <v>55000</v>
      </c>
      <c r="T8" s="35">
        <v>38000</v>
      </c>
      <c r="U8" s="35">
        <v>45000</v>
      </c>
      <c r="V8" s="35">
        <v>80000</v>
      </c>
      <c r="W8" s="35">
        <v>50000</v>
      </c>
      <c r="X8" s="35">
        <v>40000</v>
      </c>
      <c r="Y8" s="35">
        <v>30000</v>
      </c>
      <c r="Z8" s="35">
        <v>22000</v>
      </c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7" x14ac:dyDescent="0.25">
      <c r="A9" s="5" t="s">
        <v>29</v>
      </c>
      <c r="B9" s="4">
        <f>IF(ROUNDDOWN((B8/10000), 0)&lt;11, ROUNDDOWN((B8/10000), 0), "10+")</f>
        <v>4</v>
      </c>
      <c r="C9" s="4">
        <f>IF(ROUNDDOWN((C8/10000), 0)&lt;11, ROUNDDOWN((C8/10000), 0), "10+")</f>
        <v>10</v>
      </c>
      <c r="D9" s="4" t="str">
        <f t="shared" ref="D9:AK9" si="0">IF(ROUNDDOWN((D8/10000), 0)&lt;11, ROUNDDOWN((D8/10000), 0), "10+")</f>
        <v>10+</v>
      </c>
      <c r="E9" s="4">
        <f t="shared" si="0"/>
        <v>5</v>
      </c>
      <c r="F9" s="4" t="str">
        <f t="shared" si="0"/>
        <v>10+</v>
      </c>
      <c r="G9" s="4">
        <f t="shared" si="0"/>
        <v>7</v>
      </c>
      <c r="H9" s="4">
        <f t="shared" si="0"/>
        <v>4</v>
      </c>
      <c r="I9" s="4">
        <f t="shared" si="0"/>
        <v>5</v>
      </c>
      <c r="J9" s="4">
        <f t="shared" si="0"/>
        <v>5</v>
      </c>
      <c r="K9" s="4">
        <f t="shared" si="0"/>
        <v>4</v>
      </c>
      <c r="L9" s="4">
        <f t="shared" si="0"/>
        <v>4</v>
      </c>
      <c r="M9" s="4">
        <f t="shared" si="0"/>
        <v>2</v>
      </c>
      <c r="N9" s="4">
        <f t="shared" si="0"/>
        <v>7</v>
      </c>
      <c r="O9" s="4">
        <f t="shared" si="0"/>
        <v>5</v>
      </c>
      <c r="P9" s="4">
        <f t="shared" si="0"/>
        <v>9</v>
      </c>
      <c r="Q9" s="4">
        <f t="shared" si="0"/>
        <v>7</v>
      </c>
      <c r="R9" s="4">
        <f t="shared" si="0"/>
        <v>3</v>
      </c>
      <c r="S9" s="4">
        <f t="shared" si="0"/>
        <v>5</v>
      </c>
      <c r="T9" s="4">
        <f t="shared" si="0"/>
        <v>3</v>
      </c>
      <c r="U9" s="4">
        <f t="shared" si="0"/>
        <v>4</v>
      </c>
      <c r="V9" s="4">
        <f t="shared" si="0"/>
        <v>8</v>
      </c>
      <c r="W9" s="4">
        <f t="shared" si="0"/>
        <v>5</v>
      </c>
      <c r="X9" s="4">
        <f t="shared" si="0"/>
        <v>4</v>
      </c>
      <c r="Y9" s="4">
        <f t="shared" si="0"/>
        <v>3</v>
      </c>
      <c r="Z9" s="4">
        <f t="shared" si="0"/>
        <v>2</v>
      </c>
      <c r="AA9" s="4">
        <f t="shared" si="0"/>
        <v>0</v>
      </c>
      <c r="AB9" s="4">
        <f t="shared" si="0"/>
        <v>0</v>
      </c>
      <c r="AC9" s="4">
        <f t="shared" si="0"/>
        <v>0</v>
      </c>
      <c r="AD9" s="4">
        <f t="shared" si="0"/>
        <v>0</v>
      </c>
      <c r="AE9" s="4">
        <f t="shared" si="0"/>
        <v>0</v>
      </c>
      <c r="AF9" s="4">
        <f t="shared" si="0"/>
        <v>0</v>
      </c>
      <c r="AG9" s="4">
        <f t="shared" si="0"/>
        <v>0</v>
      </c>
      <c r="AH9" s="4">
        <f t="shared" si="0"/>
        <v>0</v>
      </c>
      <c r="AI9" s="4">
        <f t="shared" si="0"/>
        <v>0</v>
      </c>
      <c r="AJ9" s="4">
        <f t="shared" si="0"/>
        <v>0</v>
      </c>
      <c r="AK9" s="4">
        <f t="shared" si="0"/>
        <v>0</v>
      </c>
    </row>
    <row r="10" spans="1:37" x14ac:dyDescent="0.25">
      <c r="A10" s="5" t="s">
        <v>8</v>
      </c>
      <c r="B10" s="35">
        <f>15000+IF(B8&lt;46350, (B8-11850)*0.2, ((46350-11850)*0.2)+(B8-46350)*0.4)+IF(B8&lt;46350, (B8-8424)*0.12, ((46350-8424)*0.12)+(B8-46350)*0.02)</f>
        <v>24763.119999999999</v>
      </c>
      <c r="C10" s="35">
        <f t="shared" ref="C10:Z10" si="1">15000+IF(C8&lt;46350, (C8-11850)*0.2, ((46350-11850)*0.2)+(C8-46350)*0.4)+IF(C8&lt;46350, (C8-8424)*0.12, ((46350-8424)*0.12)+(C8-46350)*0.02)</f>
        <v>48984.12</v>
      </c>
      <c r="D10" s="35">
        <f t="shared" si="1"/>
        <v>53184.12</v>
      </c>
      <c r="E10" s="35">
        <f t="shared" si="1"/>
        <v>30084.12</v>
      </c>
      <c r="F10" s="35">
        <f t="shared" si="1"/>
        <v>65784.12</v>
      </c>
      <c r="G10" s="35">
        <f t="shared" si="1"/>
        <v>36384.120000000003</v>
      </c>
      <c r="H10" s="35">
        <f t="shared" si="1"/>
        <v>26339.119999999999</v>
      </c>
      <c r="I10" s="35">
        <f t="shared" si="1"/>
        <v>30084.12</v>
      </c>
      <c r="J10" s="35">
        <f t="shared" si="1"/>
        <v>30084.12</v>
      </c>
      <c r="K10" s="35">
        <f t="shared" si="1"/>
        <v>24419.119999999999</v>
      </c>
      <c r="L10" s="35">
        <f t="shared" si="1"/>
        <v>26019.119999999999</v>
      </c>
      <c r="M10" s="35">
        <f t="shared" si="1"/>
        <v>20579.12</v>
      </c>
      <c r="N10" s="35">
        <f t="shared" si="1"/>
        <v>38484.120000000003</v>
      </c>
      <c r="O10" s="35">
        <f t="shared" si="1"/>
        <v>30084.12</v>
      </c>
      <c r="P10" s="35">
        <f t="shared" si="1"/>
        <v>44784.12</v>
      </c>
      <c r="Q10" s="35">
        <f t="shared" si="1"/>
        <v>36384.120000000003</v>
      </c>
      <c r="R10" s="35">
        <f t="shared" si="1"/>
        <v>21539.119999999999</v>
      </c>
      <c r="S10" s="35">
        <f t="shared" si="1"/>
        <v>30084.12</v>
      </c>
      <c r="T10" s="35">
        <f t="shared" si="1"/>
        <v>23779.119999999999</v>
      </c>
      <c r="U10" s="35">
        <f t="shared" si="1"/>
        <v>26019.119999999999</v>
      </c>
      <c r="V10" s="35">
        <f t="shared" si="1"/>
        <v>40584.120000000003</v>
      </c>
      <c r="W10" s="35">
        <f t="shared" si="1"/>
        <v>27984.12</v>
      </c>
      <c r="X10" s="35">
        <f t="shared" si="1"/>
        <v>24419.119999999999</v>
      </c>
      <c r="Y10" s="35">
        <f t="shared" si="1"/>
        <v>21219.119999999999</v>
      </c>
      <c r="Z10" s="35">
        <f t="shared" si="1"/>
        <v>18659.12</v>
      </c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x14ac:dyDescent="0.25">
      <c r="A11" s="5" t="s">
        <v>24</v>
      </c>
      <c r="B11" s="4">
        <v>6</v>
      </c>
      <c r="C11" s="4">
        <v>5</v>
      </c>
      <c r="D11" s="4">
        <v>7</v>
      </c>
      <c r="E11" s="4">
        <v>2</v>
      </c>
      <c r="F11" s="4">
        <v>6</v>
      </c>
      <c r="G11" s="4">
        <v>1</v>
      </c>
      <c r="H11" s="4">
        <v>4</v>
      </c>
      <c r="I11" s="4">
        <v>2</v>
      </c>
      <c r="J11" s="4">
        <v>7</v>
      </c>
      <c r="K11" s="4">
        <v>4</v>
      </c>
      <c r="L11" s="4">
        <v>4</v>
      </c>
      <c r="M11" s="4">
        <v>3</v>
      </c>
      <c r="N11" s="4">
        <v>0</v>
      </c>
      <c r="O11" s="4">
        <v>4</v>
      </c>
      <c r="P11" s="4">
        <v>1</v>
      </c>
      <c r="Q11" s="4">
        <v>4</v>
      </c>
      <c r="R11" s="4">
        <v>2</v>
      </c>
      <c r="S11" s="4">
        <v>1</v>
      </c>
      <c r="T11" s="4">
        <v>3</v>
      </c>
      <c r="U11" s="4">
        <v>4</v>
      </c>
      <c r="V11" s="4">
        <v>1</v>
      </c>
      <c r="W11" s="4">
        <v>2</v>
      </c>
      <c r="X11" s="4">
        <v>1</v>
      </c>
      <c r="Y11" s="4"/>
      <c r="Z11" s="4">
        <v>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5.75" thickBot="1" x14ac:dyDescent="0.3">
      <c r="A12" s="14" t="s">
        <v>112</v>
      </c>
      <c r="B12" s="15">
        <v>4</v>
      </c>
      <c r="C12" s="15">
        <v>5</v>
      </c>
      <c r="D12" s="15">
        <v>2</v>
      </c>
      <c r="E12" s="15">
        <v>0</v>
      </c>
      <c r="F12" s="15">
        <v>2</v>
      </c>
      <c r="G12" s="15">
        <v>3</v>
      </c>
      <c r="H12" s="15">
        <v>0</v>
      </c>
      <c r="I12" s="15">
        <v>0</v>
      </c>
      <c r="J12" s="15">
        <v>0</v>
      </c>
      <c r="K12" s="15">
        <v>0</v>
      </c>
      <c r="L12" s="15">
        <v>2</v>
      </c>
      <c r="M12" s="15">
        <v>0</v>
      </c>
      <c r="N12" s="15">
        <v>4</v>
      </c>
      <c r="O12" s="15">
        <v>0</v>
      </c>
      <c r="P12" s="15">
        <v>3</v>
      </c>
      <c r="Q12" s="15">
        <v>0</v>
      </c>
      <c r="R12" s="15">
        <v>0</v>
      </c>
      <c r="S12" s="15">
        <v>0</v>
      </c>
      <c r="T12" s="15">
        <v>1</v>
      </c>
      <c r="U12" s="15">
        <v>0</v>
      </c>
      <c r="V12" s="15">
        <v>1</v>
      </c>
      <c r="W12" s="15">
        <v>0</v>
      </c>
      <c r="X12" s="15">
        <v>1</v>
      </c>
      <c r="Y12" s="15">
        <v>2</v>
      </c>
      <c r="Z12" s="15">
        <v>1</v>
      </c>
      <c r="AA12" s="15">
        <f t="shared" ref="AA12:AB12" si="2">SUM(AA15+AA16,AA19+AA20,AA23+AA24)</f>
        <v>0</v>
      </c>
      <c r="AB12" s="15">
        <f t="shared" si="2"/>
        <v>0</v>
      </c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ht="15.75" thickTop="1" x14ac:dyDescent="0.25">
      <c r="A13" s="9" t="s">
        <v>9</v>
      </c>
      <c r="B13" s="10"/>
      <c r="C13" s="10"/>
      <c r="D13" s="10">
        <v>2</v>
      </c>
      <c r="E13" s="10"/>
      <c r="F13" s="10">
        <v>3</v>
      </c>
      <c r="G13" s="10"/>
      <c r="H13" s="10">
        <v>2</v>
      </c>
      <c r="I13" s="10">
        <v>3</v>
      </c>
      <c r="J13" s="10">
        <v>2</v>
      </c>
      <c r="K13" s="10"/>
      <c r="L13" s="10"/>
      <c r="M13" s="10"/>
      <c r="N13" s="10"/>
      <c r="O13" s="10">
        <v>3</v>
      </c>
      <c r="P13" s="10"/>
      <c r="Q13" s="10">
        <v>1</v>
      </c>
      <c r="R13" s="10"/>
      <c r="S13" s="10"/>
      <c r="T13" s="10"/>
      <c r="U13" s="10">
        <v>2</v>
      </c>
      <c r="V13" s="10"/>
      <c r="W13" s="10">
        <v>2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5">
      <c r="A14" s="5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 s="5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5.75" thickBot="1" x14ac:dyDescent="0.3">
      <c r="A16" s="11" t="s">
        <v>15</v>
      </c>
      <c r="B16" s="13"/>
      <c r="C16" s="13"/>
      <c r="D16" s="13"/>
      <c r="E16" s="13"/>
      <c r="F16" s="13"/>
      <c r="G16" s="13">
        <v>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1:37" ht="15.75" thickTop="1" x14ac:dyDescent="0.25">
      <c r="A17" s="9" t="s">
        <v>16</v>
      </c>
      <c r="B17" s="12"/>
      <c r="C17" s="12"/>
      <c r="D17" s="12">
        <v>2</v>
      </c>
      <c r="E17" s="12"/>
      <c r="F17" s="12">
        <v>3</v>
      </c>
      <c r="G17" s="12"/>
      <c r="H17" s="12"/>
      <c r="I17" s="12">
        <v>1</v>
      </c>
      <c r="J17" s="12">
        <v>2</v>
      </c>
      <c r="K17" s="12">
        <v>2</v>
      </c>
      <c r="L17" s="12"/>
      <c r="M17" s="12">
        <v>3</v>
      </c>
      <c r="N17" s="12"/>
      <c r="O17" s="12"/>
      <c r="P17" s="12"/>
      <c r="Q17" s="12">
        <v>3</v>
      </c>
      <c r="R17" s="12">
        <v>2</v>
      </c>
      <c r="S17" s="12">
        <v>1</v>
      </c>
      <c r="T17" s="12"/>
      <c r="U17" s="12">
        <v>1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x14ac:dyDescent="0.25">
      <c r="A18" s="5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5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5.75" thickBot="1" x14ac:dyDescent="0.3">
      <c r="A20" s="11" t="s">
        <v>19</v>
      </c>
      <c r="B20" s="13">
        <v>1</v>
      </c>
      <c r="C20" s="13">
        <v>1</v>
      </c>
      <c r="D20" s="13"/>
      <c r="E20" s="13">
        <v>1</v>
      </c>
      <c r="F20" s="13"/>
      <c r="G20" s="13">
        <v>2</v>
      </c>
      <c r="H20" s="13"/>
      <c r="I20" s="13"/>
      <c r="J20" s="13"/>
      <c r="K20" s="13"/>
      <c r="L20" s="13">
        <v>1</v>
      </c>
      <c r="M20" s="13"/>
      <c r="N20" s="13">
        <v>3</v>
      </c>
      <c r="O20" s="13"/>
      <c r="P20" s="13">
        <v>2</v>
      </c>
      <c r="Q20" s="13"/>
      <c r="R20" s="13"/>
      <c r="S20" s="13"/>
      <c r="T20" s="13">
        <v>1</v>
      </c>
      <c r="U20" s="13"/>
      <c r="V20" s="13">
        <v>1</v>
      </c>
      <c r="W20" s="13"/>
      <c r="X20" s="13">
        <v>1</v>
      </c>
      <c r="Y20" s="13">
        <v>1</v>
      </c>
      <c r="Z20" s="13">
        <v>1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ht="15.75" thickTop="1" x14ac:dyDescent="0.25">
      <c r="A21" s="9" t="s">
        <v>20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x14ac:dyDescent="0.25">
      <c r="A22" s="5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x14ac:dyDescent="0.25">
      <c r="A23" s="5" t="s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x14ac:dyDescent="0.25">
      <c r="A24" s="5" t="s">
        <v>23</v>
      </c>
      <c r="B24" s="8">
        <v>1</v>
      </c>
      <c r="C24" s="8">
        <v>1</v>
      </c>
      <c r="D24" s="8">
        <v>1</v>
      </c>
      <c r="E24" s="8"/>
      <c r="F24" s="8">
        <v>1</v>
      </c>
      <c r="G24" s="8"/>
      <c r="H24" s="8"/>
      <c r="I24" s="8"/>
      <c r="J24" s="8"/>
      <c r="K24" s="8"/>
      <c r="L24" s="8">
        <v>1</v>
      </c>
      <c r="M24" s="8"/>
      <c r="N24" s="8">
        <v>1</v>
      </c>
      <c r="O24" s="8"/>
      <c r="P24" s="8">
        <v>1</v>
      </c>
      <c r="Q24" s="8"/>
      <c r="R24" s="8"/>
      <c r="S24" s="8"/>
      <c r="T24" s="8"/>
      <c r="U24" s="8"/>
      <c r="V24" s="8"/>
      <c r="W24" s="8"/>
      <c r="X24" s="8"/>
      <c r="Y24" s="8">
        <v>1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x14ac:dyDescent="0.25">
      <c r="A25" s="6" t="s">
        <v>113</v>
      </c>
      <c r="B25" s="34">
        <f>(B13*$B$3)+(B14*$C$3)+(B15*$D$3)+(B16*$E$3)+(B17*$B$4)+(B18*$C$4)+(B19*$D$4)+(B20*$E$4)+(B21*$B$5)+(B22*$C$5)+(B23*$D$5)+(B24*$E$5)</f>
        <v>19890</v>
      </c>
      <c r="C25" s="34">
        <f>(C13*$B$3)+(C14*$C$3)+(C15*$D$3)+(C16*$E$3)+(C17*$B$4)+(C18*$C$4)+(C19*$D$4)+(C20*$E$4)+(C21*$B$5)+(C22*$C$5)+(C23*$D$5)+(C24*$E$5)</f>
        <v>19890</v>
      </c>
      <c r="D25" s="34">
        <f>(D13*$B$3)+(D14*$C$3)+(D15*$D$3)+(D16*$E$3)+(D17*$B$4)+(D18*$C$4)+(D19*$D$4)+(D20*$E$4)+(D21*$B$5)+(D22*$C$5)+(D23*$D$5)+(D24*$E$5)</f>
        <v>35580</v>
      </c>
      <c r="E25" s="34">
        <f>(E13*$B$3)+(E14*$C$3)+(E15*$D$3)+(E16*$E$3)+(E17*$B$4)+(E18*$C$4)+(E19*$D$4)+(E20*$E$4)+(E21*$B$5)+(E22*$C$5)+(E23*$D$5)+(E24*$E$5)</f>
        <v>9690</v>
      </c>
      <c r="F25" s="34">
        <f>(F13*$B$3)+(F14*$C$3)+(F15*$D$3)+(F16*$E$3)+(F17*$B$4)+(F18*$C$4)+(F19*$D$4)+(F20*$E$4)+(F21*$B$5)+(F22*$C$5)+(F23*$D$5)+(F24*$E$5)</f>
        <v>48270</v>
      </c>
      <c r="G25" s="34">
        <f t="shared" ref="G25:O25" si="3">(G13*$B$3)+(G14*$C$3)+(G15*$D$3)+(G16*$E$3)+(G17*$B$4)+(G18*$C$4)+(G19*$D$4)+(G20*$E$4)+(G21*$B$5)+(G22*$C$5)+(G23*$D$5)+(G24*$E$5)</f>
        <v>27780</v>
      </c>
      <c r="H25" s="34">
        <f t="shared" si="3"/>
        <v>11400</v>
      </c>
      <c r="I25" s="34">
        <f t="shared" si="3"/>
        <v>24090</v>
      </c>
      <c r="J25" s="34">
        <f t="shared" si="3"/>
        <v>32880</v>
      </c>
      <c r="K25" s="34">
        <f t="shared" si="3"/>
        <v>13980</v>
      </c>
      <c r="L25" s="34">
        <f t="shared" si="3"/>
        <v>19890</v>
      </c>
      <c r="M25" s="34">
        <f t="shared" si="3"/>
        <v>20970</v>
      </c>
      <c r="N25" s="34">
        <f t="shared" si="3"/>
        <v>39270</v>
      </c>
      <c r="O25" s="34">
        <f t="shared" si="3"/>
        <v>17100</v>
      </c>
      <c r="P25" s="34">
        <f t="shared" ref="P25:AK25" si="4">(P13*$B$3)+(P14*$C$3)+(P15*$D$3)+(P16*$E$3)+(P17*$B$4)+(P18*$C$4)+(P19*$D$4)+(P20*$E$4)+(P21*$B$5)+(P22*$C$5)+(P23*$D$5)+(P24*$E$5)</f>
        <v>29580</v>
      </c>
      <c r="Q25" s="34">
        <f t="shared" si="4"/>
        <v>26670</v>
      </c>
      <c r="R25" s="34">
        <f t="shared" si="4"/>
        <v>13980</v>
      </c>
      <c r="S25" s="34">
        <f t="shared" si="4"/>
        <v>6990</v>
      </c>
      <c r="T25" s="34">
        <f t="shared" si="4"/>
        <v>9690</v>
      </c>
      <c r="U25" s="34">
        <f t="shared" si="4"/>
        <v>18390</v>
      </c>
      <c r="V25" s="34">
        <f t="shared" si="4"/>
        <v>9690</v>
      </c>
      <c r="W25" s="34">
        <f t="shared" si="4"/>
        <v>11400</v>
      </c>
      <c r="X25" s="34">
        <f t="shared" si="4"/>
        <v>9690</v>
      </c>
      <c r="Y25" s="34">
        <f t="shared" si="4"/>
        <v>19890</v>
      </c>
      <c r="Z25" s="34">
        <f t="shared" si="4"/>
        <v>9690</v>
      </c>
      <c r="AA25" s="34">
        <f t="shared" si="4"/>
        <v>0</v>
      </c>
      <c r="AB25" s="34">
        <f t="shared" si="4"/>
        <v>0</v>
      </c>
      <c r="AC25" s="34">
        <f t="shared" si="4"/>
        <v>0</v>
      </c>
      <c r="AD25" s="34">
        <f t="shared" si="4"/>
        <v>0</v>
      </c>
      <c r="AE25" s="34">
        <f t="shared" si="4"/>
        <v>0</v>
      </c>
      <c r="AF25" s="34">
        <f t="shared" si="4"/>
        <v>0</v>
      </c>
      <c r="AG25" s="34">
        <f t="shared" si="4"/>
        <v>0</v>
      </c>
      <c r="AH25" s="34">
        <f t="shared" si="4"/>
        <v>0</v>
      </c>
      <c r="AI25" s="34">
        <f t="shared" si="4"/>
        <v>0</v>
      </c>
      <c r="AJ25" s="34">
        <f t="shared" si="4"/>
        <v>0</v>
      </c>
      <c r="AK25" s="34">
        <f t="shared" si="4"/>
        <v>0</v>
      </c>
    </row>
    <row r="26" spans="1:37" x14ac:dyDescent="0.25">
      <c r="A26" s="6" t="s">
        <v>116</v>
      </c>
      <c r="B26" s="34">
        <f>B25-((B15+B19+B23)*2400)-((B16+B20+B24)*2700)</f>
        <v>14490</v>
      </c>
      <c r="C26" s="34">
        <f t="shared" ref="C26:G26" si="5">C25-((C15+C19+C23)*2400)-((C16+C20+C24)*2700)</f>
        <v>14490</v>
      </c>
      <c r="D26" s="34">
        <f t="shared" si="5"/>
        <v>32880</v>
      </c>
      <c r="E26" s="34">
        <f t="shared" si="5"/>
        <v>6990</v>
      </c>
      <c r="F26" s="34">
        <f t="shared" si="5"/>
        <v>45570</v>
      </c>
      <c r="G26" s="34">
        <f t="shared" si="5"/>
        <v>19680</v>
      </c>
      <c r="H26" s="34">
        <f>H25-((H15+H19+H23)*2400)-((H16+H20+H24)*2700)</f>
        <v>11400</v>
      </c>
      <c r="I26" s="34">
        <f t="shared" ref="I26" si="6">I25-((I15+I19+I23)*2400)-((I16+I20+I24)*2700)</f>
        <v>24090</v>
      </c>
      <c r="J26" s="34">
        <f t="shared" ref="J26" si="7">J25-((J15+J19+J23)*2400)-((J16+J20+J24)*2700)</f>
        <v>32880</v>
      </c>
      <c r="K26" s="34">
        <f t="shared" ref="K26" si="8">K25-((K15+K19+K23)*2400)-((K16+K20+K24)*2700)</f>
        <v>13980</v>
      </c>
      <c r="L26" s="34">
        <f t="shared" ref="L26" si="9">L25-((L15+L19+L23)*2400)-((L16+L20+L24)*2700)</f>
        <v>14490</v>
      </c>
      <c r="M26" s="34">
        <f t="shared" ref="M26" si="10">M25-((M15+M19+M23)*2400)-((M16+M20+M24)*2700)</f>
        <v>20970</v>
      </c>
      <c r="N26" s="34">
        <f t="shared" ref="N26" si="11">N25-((N15+N19+N23)*2400)-((N16+N20+N24)*2700)</f>
        <v>28470</v>
      </c>
      <c r="O26" s="34">
        <f t="shared" ref="O26" si="12">O25-((O15+O19+O23)*2400)-((O16+O20+O24)*2700)</f>
        <v>17100</v>
      </c>
      <c r="P26" s="34">
        <f t="shared" ref="P26" si="13">P25-((P15+P19+P23)*2400)-((P16+P20+P24)*2700)</f>
        <v>21480</v>
      </c>
      <c r="Q26" s="34">
        <f t="shared" ref="Q26" si="14">Q25-((Q15+Q19+Q23)*2400)-((Q16+Q20+Q24)*2700)</f>
        <v>26670</v>
      </c>
      <c r="R26" s="34">
        <f t="shared" ref="R26" si="15">R25-((R15+R19+R23)*2400)-((R16+R20+R24)*2700)</f>
        <v>13980</v>
      </c>
      <c r="S26" s="34">
        <f t="shared" ref="S26" si="16">S25-((S15+S19+S23)*2400)-((S16+S20+S24)*2700)</f>
        <v>6990</v>
      </c>
      <c r="T26" s="34">
        <f t="shared" ref="T26" si="17">T25-((T15+T19+T23)*2400)-((T16+T20+T24)*2700)</f>
        <v>6990</v>
      </c>
      <c r="U26" s="34">
        <f t="shared" ref="U26" si="18">U25-((U15+U19+U23)*2400)-((U16+U20+U24)*2700)</f>
        <v>18390</v>
      </c>
      <c r="V26" s="34">
        <f t="shared" ref="V26" si="19">V25-((V15+V19+V23)*2400)-((V16+V20+V24)*2700)</f>
        <v>6990</v>
      </c>
      <c r="W26" s="34">
        <f t="shared" ref="W26" si="20">W25-((W15+W19+W23)*2400)-((W16+W20+W24)*2700)</f>
        <v>11400</v>
      </c>
      <c r="X26" s="34">
        <f t="shared" ref="X26" si="21">X25-((X15+X19+X23)*2400)-((X16+X20+X24)*2700)</f>
        <v>6990</v>
      </c>
      <c r="Y26" s="34">
        <f t="shared" ref="Y26" si="22">Y25-((Y15+Y19+Y23)*2400)-((Y16+Y20+Y24)*2700)</f>
        <v>14490</v>
      </c>
      <c r="Z26" s="34">
        <f t="shared" ref="Z26" si="23">Z25-((Z15+Z19+Z23)*2400)-((Z16+Z20+Z24)*2700)</f>
        <v>6990</v>
      </c>
      <c r="AA26" s="34">
        <f t="shared" ref="AA26" si="24">AA25-((AA15+AA19+AA23)*2400)-((AA16+AA20+AA24)*2700)</f>
        <v>0</v>
      </c>
      <c r="AB26" s="34">
        <f t="shared" ref="AB26" si="25">AB25-((AB15+AB19+AB23)*2400)-((AB16+AB20+AB24)*2700)</f>
        <v>0</v>
      </c>
      <c r="AC26" s="34">
        <f t="shared" ref="AC26" si="26">AC25-((AC15+AC19+AC23)*2400)-((AC16+AC20+AC24)*2700)</f>
        <v>0</v>
      </c>
      <c r="AD26" s="34">
        <f t="shared" ref="AD26" si="27">AD25-((AD15+AD19+AD23)*2400)-((AD16+AD20+AD24)*2700)</f>
        <v>0</v>
      </c>
      <c r="AE26" s="34">
        <f t="shared" ref="AE26" si="28">AE25-((AE15+AE19+AE23)*2400)-((AE16+AE20+AE24)*2700)</f>
        <v>0</v>
      </c>
      <c r="AF26" s="34">
        <f t="shared" ref="AF26" si="29">AF25-((AF15+AF19+AF23)*2400)-((AF16+AF20+AF24)*2700)</f>
        <v>0</v>
      </c>
      <c r="AG26" s="34">
        <f t="shared" ref="AG26" si="30">AG25-((AG15+AG19+AG23)*2400)-((AG16+AG20+AG24)*2700)</f>
        <v>0</v>
      </c>
      <c r="AH26" s="34">
        <f t="shared" ref="AH26" si="31">AH25-((AH15+AH19+AH23)*2400)-((AH16+AH20+AH24)*2700)</f>
        <v>0</v>
      </c>
      <c r="AI26" s="34">
        <f t="shared" ref="AI26" si="32">AI25-((AI15+AI19+AI23)*2400)-((AI16+AI20+AI24)*2700)</f>
        <v>0</v>
      </c>
      <c r="AJ26" s="34">
        <f t="shared" ref="AJ26" si="33">AJ25-((AJ15+AJ19+AJ23)*2400)-((AJ16+AJ20+AJ24)*2700)</f>
        <v>0</v>
      </c>
      <c r="AK26" s="34">
        <f t="shared" ref="AK26" si="34">AK25-((AK15+AK19+AK23)*2400)-((AK16+AK20+AK24)*2700)</f>
        <v>0</v>
      </c>
    </row>
    <row r="28" spans="1:37" x14ac:dyDescent="0.25">
      <c r="A28" s="88" t="s">
        <v>117</v>
      </c>
      <c r="B28" s="91">
        <f>((B8-B10)-$B$40*52-(B11*$B$41*52)-(B12*(($B$42*36)+($B$41*16)))-VLOOKUP(B9,$A$52:$C$61,3,FALSE))</f>
        <v>6771.880000000001</v>
      </c>
      <c r="C28" s="91">
        <f t="shared" ref="C28:AK28" si="35">((C8-C10)-$B$40*52-(C11*$B$41*52)-(C12*(($B$42*36)+($B$41*16)))-VLOOKUP(C9,$A$52:$C$61,3,FALSE))</f>
        <v>41745.879999999997</v>
      </c>
      <c r="D28" s="91">
        <f t="shared" si="35"/>
        <v>47515.88</v>
      </c>
      <c r="E28" s="91">
        <f t="shared" si="35"/>
        <v>20535.88</v>
      </c>
      <c r="F28" s="91">
        <f t="shared" si="35"/>
        <v>65695.88</v>
      </c>
      <c r="G28" s="91">
        <f t="shared" si="35"/>
        <v>28485.879999999997</v>
      </c>
      <c r="H28" s="91">
        <f t="shared" si="35"/>
        <v>13720.880000000001</v>
      </c>
      <c r="I28" s="91">
        <f t="shared" si="35"/>
        <v>20535.88</v>
      </c>
      <c r="J28" s="91">
        <f t="shared" si="35"/>
        <v>16635.88</v>
      </c>
      <c r="K28" s="91">
        <f t="shared" si="35"/>
        <v>9640.880000000001</v>
      </c>
      <c r="L28" s="91">
        <f t="shared" si="35"/>
        <v>12020.880000000001</v>
      </c>
      <c r="M28" s="91">
        <f t="shared" si="35"/>
        <v>2260.880000000001</v>
      </c>
      <c r="N28" s="91">
        <f t="shared" si="35"/>
        <v>31655.879999999997</v>
      </c>
      <c r="O28" s="91">
        <f t="shared" si="35"/>
        <v>18975.88</v>
      </c>
      <c r="P28" s="91">
        <f t="shared" si="35"/>
        <v>40085.879999999997</v>
      </c>
      <c r="Q28" s="91">
        <f t="shared" si="35"/>
        <v>27675.879999999997</v>
      </c>
      <c r="R28" s="91">
        <f t="shared" si="35"/>
        <v>5080.880000000001</v>
      </c>
      <c r="S28" s="91">
        <f t="shared" si="35"/>
        <v>21315.88</v>
      </c>
      <c r="T28" s="91">
        <f t="shared" si="35"/>
        <v>8550.880000000001</v>
      </c>
      <c r="U28" s="91">
        <f t="shared" si="35"/>
        <v>13040.880000000001</v>
      </c>
      <c r="V28" s="91">
        <f t="shared" si="35"/>
        <v>35305.879999999997</v>
      </c>
      <c r="W28" s="91">
        <f t="shared" si="35"/>
        <v>17635.88</v>
      </c>
      <c r="X28" s="91">
        <f t="shared" si="35"/>
        <v>11470.880000000001</v>
      </c>
      <c r="Y28" s="91">
        <f t="shared" si="35"/>
        <v>4940.880000000001</v>
      </c>
      <c r="Z28" s="91">
        <f t="shared" si="35"/>
        <v>-2329.119999999999</v>
      </c>
      <c r="AA28" s="91" t="e">
        <f t="shared" si="35"/>
        <v>#N/A</v>
      </c>
      <c r="AB28" s="91" t="e">
        <f t="shared" si="35"/>
        <v>#N/A</v>
      </c>
      <c r="AC28" s="91" t="e">
        <f t="shared" si="35"/>
        <v>#N/A</v>
      </c>
      <c r="AD28" s="91" t="e">
        <f t="shared" si="35"/>
        <v>#N/A</v>
      </c>
      <c r="AE28" s="91" t="e">
        <f t="shared" si="35"/>
        <v>#N/A</v>
      </c>
      <c r="AF28" s="91" t="e">
        <f t="shared" si="35"/>
        <v>#N/A</v>
      </c>
      <c r="AG28" s="91" t="e">
        <f t="shared" si="35"/>
        <v>#N/A</v>
      </c>
      <c r="AH28" s="91" t="e">
        <f t="shared" si="35"/>
        <v>#N/A</v>
      </c>
      <c r="AI28" s="91" t="e">
        <f t="shared" si="35"/>
        <v>#N/A</v>
      </c>
      <c r="AJ28" s="91" t="e">
        <f t="shared" si="35"/>
        <v>#N/A</v>
      </c>
      <c r="AK28" s="91" t="e">
        <f t="shared" si="35"/>
        <v>#N/A</v>
      </c>
    </row>
    <row r="29" spans="1:37" x14ac:dyDescent="0.25">
      <c r="A29" s="88" t="s">
        <v>118</v>
      </c>
      <c r="B29" s="92">
        <f>B28-(B15+B19+B23)*2400-(B16+B20+B24)*2700</f>
        <v>1371.880000000001</v>
      </c>
      <c r="C29" s="92">
        <f t="shared" ref="C29:AK29" si="36">C28-(C15+C19+C23)*2400-(C16+C20+C24)*2700</f>
        <v>36345.879999999997</v>
      </c>
      <c r="D29" s="92">
        <f t="shared" si="36"/>
        <v>44815.88</v>
      </c>
      <c r="E29" s="92">
        <f t="shared" si="36"/>
        <v>17835.88</v>
      </c>
      <c r="F29" s="92">
        <f t="shared" si="36"/>
        <v>62995.880000000005</v>
      </c>
      <c r="G29" s="92">
        <f t="shared" si="36"/>
        <v>20385.879999999997</v>
      </c>
      <c r="H29" s="92">
        <f t="shared" si="36"/>
        <v>13720.880000000001</v>
      </c>
      <c r="I29" s="92">
        <f t="shared" si="36"/>
        <v>20535.88</v>
      </c>
      <c r="J29" s="92">
        <f t="shared" si="36"/>
        <v>16635.88</v>
      </c>
      <c r="K29" s="92">
        <f t="shared" si="36"/>
        <v>9640.880000000001</v>
      </c>
      <c r="L29" s="92">
        <f t="shared" si="36"/>
        <v>6620.880000000001</v>
      </c>
      <c r="M29" s="92">
        <f t="shared" si="36"/>
        <v>2260.880000000001</v>
      </c>
      <c r="N29" s="92">
        <f t="shared" si="36"/>
        <v>20855.879999999997</v>
      </c>
      <c r="O29" s="92">
        <f t="shared" si="36"/>
        <v>18975.88</v>
      </c>
      <c r="P29" s="92">
        <f t="shared" si="36"/>
        <v>31985.879999999997</v>
      </c>
      <c r="Q29" s="92">
        <f t="shared" si="36"/>
        <v>27675.879999999997</v>
      </c>
      <c r="R29" s="92">
        <f t="shared" si="36"/>
        <v>5080.880000000001</v>
      </c>
      <c r="S29" s="92">
        <f t="shared" si="36"/>
        <v>21315.88</v>
      </c>
      <c r="T29" s="92">
        <f t="shared" si="36"/>
        <v>5850.880000000001</v>
      </c>
      <c r="U29" s="92">
        <f t="shared" si="36"/>
        <v>13040.880000000001</v>
      </c>
      <c r="V29" s="92">
        <f t="shared" si="36"/>
        <v>32605.879999999997</v>
      </c>
      <c r="W29" s="92">
        <f t="shared" si="36"/>
        <v>17635.88</v>
      </c>
      <c r="X29" s="92">
        <f t="shared" si="36"/>
        <v>8770.880000000001</v>
      </c>
      <c r="Y29" s="92">
        <f t="shared" si="36"/>
        <v>-459.11999999999898</v>
      </c>
      <c r="Z29" s="92">
        <f t="shared" si="36"/>
        <v>-5029.119999999999</v>
      </c>
      <c r="AA29" s="92" t="e">
        <f t="shared" si="36"/>
        <v>#N/A</v>
      </c>
      <c r="AB29" s="92" t="e">
        <f t="shared" si="36"/>
        <v>#N/A</v>
      </c>
      <c r="AC29" s="92" t="e">
        <f t="shared" si="36"/>
        <v>#N/A</v>
      </c>
      <c r="AD29" s="92" t="e">
        <f t="shared" si="36"/>
        <v>#N/A</v>
      </c>
      <c r="AE29" s="92" t="e">
        <f t="shared" si="36"/>
        <v>#N/A</v>
      </c>
      <c r="AF29" s="92" t="e">
        <f t="shared" si="36"/>
        <v>#N/A</v>
      </c>
      <c r="AG29" s="92" t="e">
        <f t="shared" si="36"/>
        <v>#N/A</v>
      </c>
      <c r="AH29" s="92" t="e">
        <f t="shared" si="36"/>
        <v>#N/A</v>
      </c>
      <c r="AI29" s="92" t="e">
        <f t="shared" si="36"/>
        <v>#N/A</v>
      </c>
      <c r="AJ29" s="92" t="e">
        <f t="shared" si="36"/>
        <v>#N/A</v>
      </c>
      <c r="AK29" s="92" t="e">
        <f t="shared" si="36"/>
        <v>#N/A</v>
      </c>
    </row>
    <row r="31" spans="1:37" x14ac:dyDescent="0.25">
      <c r="A31" s="17" t="s">
        <v>114</v>
      </c>
      <c r="B31" s="32">
        <f t="shared" ref="B31:AK31" si="37">IF(IF(B26-B29&gt;0, B26-B29, 0)&lt;B26*$B$44, IF(B26-B29&gt;0, B26-B29, 0), B26*$B$44)</f>
        <v>7245</v>
      </c>
      <c r="C31" s="32">
        <f t="shared" si="37"/>
        <v>0</v>
      </c>
      <c r="D31" s="32">
        <f t="shared" si="37"/>
        <v>0</v>
      </c>
      <c r="E31" s="32">
        <f t="shared" si="37"/>
        <v>0</v>
      </c>
      <c r="F31" s="32">
        <f t="shared" si="37"/>
        <v>0</v>
      </c>
      <c r="G31" s="32">
        <f t="shared" si="37"/>
        <v>0</v>
      </c>
      <c r="H31" s="32">
        <f t="shared" si="37"/>
        <v>0</v>
      </c>
      <c r="I31" s="32">
        <f t="shared" si="37"/>
        <v>3554.119999999999</v>
      </c>
      <c r="J31" s="32">
        <f t="shared" si="37"/>
        <v>16244.119999999999</v>
      </c>
      <c r="K31" s="32">
        <f t="shared" si="37"/>
        <v>4339.119999999999</v>
      </c>
      <c r="L31" s="32">
        <f t="shared" si="37"/>
        <v>7245</v>
      </c>
      <c r="M31" s="32">
        <f t="shared" si="37"/>
        <v>10485</v>
      </c>
      <c r="N31" s="32">
        <f t="shared" si="37"/>
        <v>7614.1200000000026</v>
      </c>
      <c r="O31" s="32">
        <f t="shared" si="37"/>
        <v>0</v>
      </c>
      <c r="P31" s="32">
        <f t="shared" si="37"/>
        <v>0</v>
      </c>
      <c r="Q31" s="32">
        <f t="shared" si="37"/>
        <v>0</v>
      </c>
      <c r="R31" s="32">
        <f t="shared" si="37"/>
        <v>6990</v>
      </c>
      <c r="S31" s="32">
        <f t="shared" si="37"/>
        <v>0</v>
      </c>
      <c r="T31" s="32">
        <f t="shared" si="37"/>
        <v>1139.119999999999</v>
      </c>
      <c r="U31" s="32">
        <f t="shared" si="37"/>
        <v>5349.119999999999</v>
      </c>
      <c r="V31" s="32">
        <f t="shared" si="37"/>
        <v>0</v>
      </c>
      <c r="W31" s="32">
        <f t="shared" si="37"/>
        <v>0</v>
      </c>
      <c r="X31" s="32">
        <f t="shared" si="37"/>
        <v>0</v>
      </c>
      <c r="Y31" s="32">
        <f t="shared" si="37"/>
        <v>7245</v>
      </c>
      <c r="Z31" s="32">
        <f t="shared" si="37"/>
        <v>3495</v>
      </c>
      <c r="AA31" s="32" t="e">
        <f t="shared" si="37"/>
        <v>#N/A</v>
      </c>
      <c r="AB31" s="32" t="e">
        <f t="shared" si="37"/>
        <v>#N/A</v>
      </c>
      <c r="AC31" s="32" t="e">
        <f t="shared" si="37"/>
        <v>#N/A</v>
      </c>
      <c r="AD31" s="32" t="e">
        <f t="shared" si="37"/>
        <v>#N/A</v>
      </c>
      <c r="AE31" s="32" t="e">
        <f t="shared" si="37"/>
        <v>#N/A</v>
      </c>
      <c r="AF31" s="32" t="e">
        <f t="shared" si="37"/>
        <v>#N/A</v>
      </c>
      <c r="AG31" s="32" t="e">
        <f t="shared" si="37"/>
        <v>#N/A</v>
      </c>
      <c r="AH31" s="32" t="e">
        <f t="shared" si="37"/>
        <v>#N/A</v>
      </c>
      <c r="AI31" s="32" t="e">
        <f t="shared" si="37"/>
        <v>#N/A</v>
      </c>
      <c r="AJ31" s="32" t="e">
        <f t="shared" si="37"/>
        <v>#N/A</v>
      </c>
      <c r="AK31" s="32" t="e">
        <f t="shared" si="37"/>
        <v>#N/A</v>
      </c>
    </row>
    <row r="32" spans="1:37" x14ac:dyDescent="0.25">
      <c r="A32" s="16" t="s">
        <v>115</v>
      </c>
      <c r="B32" s="31">
        <f t="shared" ref="B32:AK32" si="38">ROUNDUP((B31/B26), 2)</f>
        <v>0.5</v>
      </c>
      <c r="C32" s="31">
        <f t="shared" si="38"/>
        <v>0</v>
      </c>
      <c r="D32" s="31">
        <f t="shared" si="38"/>
        <v>0</v>
      </c>
      <c r="E32" s="31">
        <f t="shared" si="38"/>
        <v>0</v>
      </c>
      <c r="F32" s="31">
        <f t="shared" si="38"/>
        <v>0</v>
      </c>
      <c r="G32" s="31">
        <f t="shared" si="38"/>
        <v>0</v>
      </c>
      <c r="H32" s="31">
        <f t="shared" si="38"/>
        <v>0</v>
      </c>
      <c r="I32" s="31">
        <f t="shared" si="38"/>
        <v>0.15000000000000002</v>
      </c>
      <c r="J32" s="31">
        <f t="shared" si="38"/>
        <v>0.5</v>
      </c>
      <c r="K32" s="31">
        <f t="shared" si="38"/>
        <v>0.32</v>
      </c>
      <c r="L32" s="31">
        <f t="shared" si="38"/>
        <v>0.5</v>
      </c>
      <c r="M32" s="31">
        <f t="shared" si="38"/>
        <v>0.5</v>
      </c>
      <c r="N32" s="31">
        <f t="shared" si="38"/>
        <v>0.27</v>
      </c>
      <c r="O32" s="31">
        <f t="shared" si="38"/>
        <v>0</v>
      </c>
      <c r="P32" s="31">
        <f t="shared" si="38"/>
        <v>0</v>
      </c>
      <c r="Q32" s="31">
        <f t="shared" si="38"/>
        <v>0</v>
      </c>
      <c r="R32" s="31">
        <f t="shared" si="38"/>
        <v>0.5</v>
      </c>
      <c r="S32" s="31">
        <f t="shared" si="38"/>
        <v>0</v>
      </c>
      <c r="T32" s="31">
        <f t="shared" si="38"/>
        <v>0.17</v>
      </c>
      <c r="U32" s="31">
        <f t="shared" si="38"/>
        <v>0.3</v>
      </c>
      <c r="V32" s="31">
        <f t="shared" si="38"/>
        <v>0</v>
      </c>
      <c r="W32" s="31">
        <f t="shared" si="38"/>
        <v>0</v>
      </c>
      <c r="X32" s="31">
        <f t="shared" si="38"/>
        <v>0</v>
      </c>
      <c r="Y32" s="31">
        <f t="shared" si="38"/>
        <v>0.5</v>
      </c>
      <c r="Z32" s="31">
        <f t="shared" si="38"/>
        <v>0.5</v>
      </c>
      <c r="AA32" s="31" t="e">
        <f t="shared" si="38"/>
        <v>#N/A</v>
      </c>
      <c r="AB32" s="31" t="e">
        <f t="shared" si="38"/>
        <v>#N/A</v>
      </c>
      <c r="AC32" s="31" t="e">
        <f t="shared" si="38"/>
        <v>#N/A</v>
      </c>
      <c r="AD32" s="31" t="e">
        <f t="shared" si="38"/>
        <v>#N/A</v>
      </c>
      <c r="AE32" s="31" t="e">
        <f t="shared" si="38"/>
        <v>#N/A</v>
      </c>
      <c r="AF32" s="31" t="e">
        <f t="shared" si="38"/>
        <v>#N/A</v>
      </c>
      <c r="AG32" s="31" t="e">
        <f t="shared" si="38"/>
        <v>#N/A</v>
      </c>
      <c r="AH32" s="31" t="e">
        <f t="shared" si="38"/>
        <v>#N/A</v>
      </c>
      <c r="AI32" s="31" t="e">
        <f t="shared" si="38"/>
        <v>#N/A</v>
      </c>
      <c r="AJ32" s="31" t="e">
        <f t="shared" si="38"/>
        <v>#N/A</v>
      </c>
      <c r="AK32" s="31" t="e">
        <f t="shared" si="38"/>
        <v>#N/A</v>
      </c>
    </row>
    <row r="33" spans="1:38" x14ac:dyDescent="0.25">
      <c r="A33" s="90" t="s">
        <v>25</v>
      </c>
      <c r="B33" s="89">
        <f t="shared" ref="B33:AK33" si="39">B25-B31</f>
        <v>12645</v>
      </c>
      <c r="C33" s="89">
        <f t="shared" si="39"/>
        <v>19890</v>
      </c>
      <c r="D33" s="89">
        <f t="shared" si="39"/>
        <v>35580</v>
      </c>
      <c r="E33" s="89">
        <f t="shared" si="39"/>
        <v>9690</v>
      </c>
      <c r="F33" s="89">
        <f t="shared" si="39"/>
        <v>48270</v>
      </c>
      <c r="G33" s="89">
        <f t="shared" si="39"/>
        <v>27780</v>
      </c>
      <c r="H33" s="89">
        <f t="shared" si="39"/>
        <v>11400</v>
      </c>
      <c r="I33" s="89">
        <f t="shared" si="39"/>
        <v>20535.88</v>
      </c>
      <c r="J33" s="89">
        <f t="shared" si="39"/>
        <v>16635.88</v>
      </c>
      <c r="K33" s="89">
        <f t="shared" si="39"/>
        <v>9640.880000000001</v>
      </c>
      <c r="L33" s="89">
        <f t="shared" si="39"/>
        <v>12645</v>
      </c>
      <c r="M33" s="89">
        <f t="shared" si="39"/>
        <v>10485</v>
      </c>
      <c r="N33" s="89">
        <f t="shared" si="39"/>
        <v>31655.879999999997</v>
      </c>
      <c r="O33" s="89">
        <f t="shared" si="39"/>
        <v>17100</v>
      </c>
      <c r="P33" s="89">
        <f t="shared" si="39"/>
        <v>29580</v>
      </c>
      <c r="Q33" s="89">
        <f t="shared" si="39"/>
        <v>26670</v>
      </c>
      <c r="R33" s="89">
        <f t="shared" si="39"/>
        <v>6990</v>
      </c>
      <c r="S33" s="89">
        <f t="shared" si="39"/>
        <v>6990</v>
      </c>
      <c r="T33" s="89">
        <f t="shared" si="39"/>
        <v>8550.880000000001</v>
      </c>
      <c r="U33" s="89">
        <f t="shared" si="39"/>
        <v>13040.880000000001</v>
      </c>
      <c r="V33" s="89">
        <f t="shared" si="39"/>
        <v>9690</v>
      </c>
      <c r="W33" s="89">
        <f t="shared" si="39"/>
        <v>11400</v>
      </c>
      <c r="X33" s="89">
        <f t="shared" si="39"/>
        <v>9690</v>
      </c>
      <c r="Y33" s="89">
        <f t="shared" si="39"/>
        <v>12645</v>
      </c>
      <c r="Z33" s="89">
        <f t="shared" si="39"/>
        <v>6195</v>
      </c>
      <c r="AA33" s="89" t="e">
        <f t="shared" si="39"/>
        <v>#N/A</v>
      </c>
      <c r="AB33" s="89" t="e">
        <f t="shared" si="39"/>
        <v>#N/A</v>
      </c>
      <c r="AC33" s="89" t="e">
        <f t="shared" si="39"/>
        <v>#N/A</v>
      </c>
      <c r="AD33" s="89" t="e">
        <f t="shared" si="39"/>
        <v>#N/A</v>
      </c>
      <c r="AE33" s="89" t="e">
        <f t="shared" si="39"/>
        <v>#N/A</v>
      </c>
      <c r="AF33" s="89" t="e">
        <f t="shared" si="39"/>
        <v>#N/A</v>
      </c>
      <c r="AG33" s="89" t="e">
        <f t="shared" si="39"/>
        <v>#N/A</v>
      </c>
      <c r="AH33" s="89" t="e">
        <f t="shared" si="39"/>
        <v>#N/A</v>
      </c>
      <c r="AI33" s="89" t="e">
        <f t="shared" si="39"/>
        <v>#N/A</v>
      </c>
      <c r="AJ33" s="89" t="e">
        <f t="shared" si="39"/>
        <v>#N/A</v>
      </c>
      <c r="AK33" s="89" t="e">
        <f t="shared" si="39"/>
        <v>#N/A</v>
      </c>
    </row>
    <row r="34" spans="1:38" x14ac:dyDescent="0.25">
      <c r="A34" s="18" t="s">
        <v>26</v>
      </c>
      <c r="B34" s="33">
        <f t="shared" ref="B34:AK34" si="40">(B33/SUM(B13:B24))</f>
        <v>6322.5</v>
      </c>
      <c r="C34" s="33">
        <f t="shared" si="40"/>
        <v>9945</v>
      </c>
      <c r="D34" s="33">
        <f t="shared" si="40"/>
        <v>7116</v>
      </c>
      <c r="E34" s="33">
        <f t="shared" si="40"/>
        <v>9690</v>
      </c>
      <c r="F34" s="33">
        <f t="shared" si="40"/>
        <v>6895.7142857142853</v>
      </c>
      <c r="G34" s="33">
        <f t="shared" si="40"/>
        <v>9260</v>
      </c>
      <c r="H34" s="33">
        <f t="shared" si="40"/>
        <v>5700</v>
      </c>
      <c r="I34" s="33">
        <f t="shared" si="40"/>
        <v>5133.97</v>
      </c>
      <c r="J34" s="33">
        <f t="shared" si="40"/>
        <v>3327.1760000000004</v>
      </c>
      <c r="K34" s="33">
        <f t="shared" si="40"/>
        <v>4820.4400000000005</v>
      </c>
      <c r="L34" s="33">
        <f t="shared" si="40"/>
        <v>6322.5</v>
      </c>
      <c r="M34" s="33">
        <f t="shared" si="40"/>
        <v>3495</v>
      </c>
      <c r="N34" s="33">
        <f t="shared" si="40"/>
        <v>7913.9699999999993</v>
      </c>
      <c r="O34" s="33">
        <f t="shared" si="40"/>
        <v>5700</v>
      </c>
      <c r="P34" s="33">
        <f t="shared" si="40"/>
        <v>9860</v>
      </c>
      <c r="Q34" s="33">
        <f t="shared" si="40"/>
        <v>6667.5</v>
      </c>
      <c r="R34" s="33">
        <f t="shared" si="40"/>
        <v>3495</v>
      </c>
      <c r="S34" s="33">
        <f t="shared" si="40"/>
        <v>6990</v>
      </c>
      <c r="T34" s="33">
        <f t="shared" si="40"/>
        <v>8550.880000000001</v>
      </c>
      <c r="U34" s="33">
        <f t="shared" si="40"/>
        <v>4346.96</v>
      </c>
      <c r="V34" s="33">
        <f t="shared" si="40"/>
        <v>9690</v>
      </c>
      <c r="W34" s="33">
        <f t="shared" si="40"/>
        <v>5700</v>
      </c>
      <c r="X34" s="33">
        <f t="shared" si="40"/>
        <v>9690</v>
      </c>
      <c r="Y34" s="33">
        <f t="shared" si="40"/>
        <v>6322.5</v>
      </c>
      <c r="Z34" s="33">
        <f t="shared" si="40"/>
        <v>6195</v>
      </c>
      <c r="AA34" s="33" t="e">
        <f t="shared" si="40"/>
        <v>#N/A</v>
      </c>
      <c r="AB34" s="33" t="e">
        <f t="shared" si="40"/>
        <v>#N/A</v>
      </c>
      <c r="AC34" s="33" t="e">
        <f t="shared" si="40"/>
        <v>#N/A</v>
      </c>
      <c r="AD34" s="33" t="e">
        <f t="shared" si="40"/>
        <v>#N/A</v>
      </c>
      <c r="AE34" s="33" t="e">
        <f t="shared" si="40"/>
        <v>#N/A</v>
      </c>
      <c r="AF34" s="33" t="e">
        <f t="shared" si="40"/>
        <v>#N/A</v>
      </c>
      <c r="AG34" s="33" t="e">
        <f t="shared" si="40"/>
        <v>#N/A</v>
      </c>
      <c r="AH34" s="33" t="e">
        <f t="shared" si="40"/>
        <v>#N/A</v>
      </c>
      <c r="AI34" s="33" t="e">
        <f t="shared" si="40"/>
        <v>#N/A</v>
      </c>
      <c r="AJ34" s="33" t="e">
        <f t="shared" si="40"/>
        <v>#N/A</v>
      </c>
      <c r="AK34" s="33" t="e">
        <f t="shared" si="40"/>
        <v>#N/A</v>
      </c>
    </row>
    <row r="35" spans="1:38" x14ac:dyDescent="0.25">
      <c r="AL35" s="49"/>
    </row>
    <row r="36" spans="1:38" x14ac:dyDescent="0.25">
      <c r="A36" s="93" t="s">
        <v>42</v>
      </c>
      <c r="B36" s="94">
        <f>B8-B10-B33-($B$40*52)-($B$41*B11*52)-(($B$42*B12)*36)-(($B$41*B12)*16)</f>
        <v>-4873.119999999999</v>
      </c>
      <c r="C36" s="94">
        <f t="shared" ref="C36:AK36" si="41">C8-C10-C33-($B$40*52)-($B$41*C11*52)-(($B$42*C12)*36)-(($B$41*C12)*16)</f>
        <v>22855.879999999997</v>
      </c>
      <c r="D36" s="94">
        <f t="shared" si="41"/>
        <v>12935.879999999997</v>
      </c>
      <c r="E36" s="94">
        <f t="shared" si="41"/>
        <v>11845.880000000001</v>
      </c>
      <c r="F36" s="94">
        <f t="shared" si="41"/>
        <v>18425.880000000005</v>
      </c>
      <c r="G36" s="94">
        <f t="shared" si="41"/>
        <v>1705.8799999999974</v>
      </c>
      <c r="H36" s="94">
        <f t="shared" si="41"/>
        <v>3320.880000000001</v>
      </c>
      <c r="I36" s="94">
        <f t="shared" si="41"/>
        <v>1000</v>
      </c>
      <c r="J36" s="94">
        <f t="shared" si="41"/>
        <v>1000</v>
      </c>
      <c r="K36" s="94">
        <f t="shared" si="41"/>
        <v>1000</v>
      </c>
      <c r="L36" s="94">
        <f t="shared" si="41"/>
        <v>375.88000000000102</v>
      </c>
      <c r="M36" s="94">
        <f t="shared" si="41"/>
        <v>-7224.119999999999</v>
      </c>
      <c r="N36" s="94">
        <f t="shared" si="41"/>
        <v>1000</v>
      </c>
      <c r="O36" s="94">
        <f t="shared" si="41"/>
        <v>2875.880000000001</v>
      </c>
      <c r="P36" s="94">
        <f t="shared" si="41"/>
        <v>11505.879999999997</v>
      </c>
      <c r="Q36" s="94">
        <f t="shared" si="41"/>
        <v>2005.8799999999974</v>
      </c>
      <c r="R36" s="94">
        <f t="shared" si="41"/>
        <v>-909.11999999999898</v>
      </c>
      <c r="S36" s="94">
        <f t="shared" si="41"/>
        <v>15325.880000000001</v>
      </c>
      <c r="T36" s="94">
        <f t="shared" si="41"/>
        <v>1000</v>
      </c>
      <c r="U36" s="94">
        <f t="shared" si="41"/>
        <v>1000</v>
      </c>
      <c r="V36" s="94">
        <f t="shared" si="41"/>
        <v>26615.879999999997</v>
      </c>
      <c r="W36" s="94">
        <f t="shared" si="41"/>
        <v>7235.880000000001</v>
      </c>
      <c r="X36" s="94">
        <f t="shared" si="41"/>
        <v>2780.880000000001</v>
      </c>
      <c r="Y36" s="94">
        <f t="shared" si="41"/>
        <v>-6704.119999999999</v>
      </c>
      <c r="Z36" s="94">
        <f t="shared" si="41"/>
        <v>-7524.119999999999</v>
      </c>
      <c r="AA36" s="94" t="e">
        <f t="shared" si="41"/>
        <v>#N/A</v>
      </c>
      <c r="AB36" s="94" t="e">
        <f t="shared" si="41"/>
        <v>#N/A</v>
      </c>
      <c r="AC36" s="94" t="e">
        <f t="shared" si="41"/>
        <v>#N/A</v>
      </c>
      <c r="AD36" s="94" t="e">
        <f t="shared" si="41"/>
        <v>#N/A</v>
      </c>
      <c r="AE36" s="94" t="e">
        <f t="shared" si="41"/>
        <v>#N/A</v>
      </c>
      <c r="AF36" s="94" t="e">
        <f t="shared" si="41"/>
        <v>#N/A</v>
      </c>
      <c r="AG36" s="94" t="e">
        <f t="shared" si="41"/>
        <v>#N/A</v>
      </c>
      <c r="AH36" s="94" t="e">
        <f t="shared" si="41"/>
        <v>#N/A</v>
      </c>
      <c r="AI36" s="94" t="e">
        <f t="shared" si="41"/>
        <v>#N/A</v>
      </c>
      <c r="AJ36" s="94" t="e">
        <f t="shared" si="41"/>
        <v>#N/A</v>
      </c>
      <c r="AK36" s="94" t="e">
        <f t="shared" si="41"/>
        <v>#N/A</v>
      </c>
    </row>
    <row r="38" spans="1:38" x14ac:dyDescent="0.25">
      <c r="A38" s="76" t="s">
        <v>107</v>
      </c>
      <c r="B38" s="77">
        <f t="shared" ref="B38:AK38" si="42">(B33/((SUM(B13:B14)*$F$68)+(SUM(B15:B16)*$F$69)+(SUM(B17:B18)*$F$70)+(SUM(B19:B20)*$F$71)+(SUM(B21:B22)*$F$72)+(SUM(B23:B24)*$F$73)))</f>
        <v>0.30422230241789966</v>
      </c>
      <c r="C38" s="77">
        <f t="shared" si="42"/>
        <v>0.4785276073619632</v>
      </c>
      <c r="D38" s="77">
        <f t="shared" si="42"/>
        <v>0.54616624453142992</v>
      </c>
      <c r="E38" s="77">
        <f t="shared" si="42"/>
        <v>0.48367774782869122</v>
      </c>
      <c r="F38" s="77">
        <f t="shared" si="42"/>
        <v>0.55513386696108202</v>
      </c>
      <c r="G38" s="77">
        <f t="shared" si="42"/>
        <v>0.52319340075710496</v>
      </c>
      <c r="H38" s="77">
        <f t="shared" si="42"/>
        <v>0.58805323429278866</v>
      </c>
      <c r="I38" s="77">
        <f t="shared" si="42"/>
        <v>0.49852839074600058</v>
      </c>
      <c r="J38" s="77">
        <f t="shared" si="42"/>
        <v>0.29214969355320236</v>
      </c>
      <c r="K38" s="77">
        <f t="shared" si="42"/>
        <v>0.39792306422321283</v>
      </c>
      <c r="L38" s="77">
        <f t="shared" si="42"/>
        <v>0.30422230241789966</v>
      </c>
      <c r="M38" s="77">
        <f t="shared" si="42"/>
        <v>0.28850916295195639</v>
      </c>
      <c r="N38" s="77">
        <f t="shared" si="42"/>
        <v>0.38778288192275179</v>
      </c>
      <c r="O38" s="77">
        <f t="shared" si="42"/>
        <v>0.58805323429278866</v>
      </c>
      <c r="P38" s="77">
        <f t="shared" si="42"/>
        <v>0.48020260069156967</v>
      </c>
      <c r="Q38" s="77">
        <f t="shared" si="42"/>
        <v>0.57934180514825673</v>
      </c>
      <c r="R38" s="77">
        <f t="shared" si="42"/>
        <v>0.28850916295195639</v>
      </c>
      <c r="S38" s="77">
        <f t="shared" si="42"/>
        <v>0.57701832590391278</v>
      </c>
      <c r="T38" s="77">
        <f t="shared" si="42"/>
        <v>0.42681840870520121</v>
      </c>
      <c r="U38" s="77">
        <f t="shared" si="42"/>
        <v>0.41399619047619052</v>
      </c>
      <c r="V38" s="77">
        <f t="shared" si="42"/>
        <v>0.48367774782869122</v>
      </c>
      <c r="W38" s="77">
        <f t="shared" si="42"/>
        <v>0.58805323429278866</v>
      </c>
      <c r="X38" s="77">
        <f t="shared" si="42"/>
        <v>0.48367774782869122</v>
      </c>
      <c r="Y38" s="77">
        <f t="shared" si="42"/>
        <v>0.30422230241789966</v>
      </c>
      <c r="Z38" s="77">
        <f t="shared" si="42"/>
        <v>0.30922431865828093</v>
      </c>
      <c r="AA38" s="77" t="e">
        <f t="shared" si="42"/>
        <v>#N/A</v>
      </c>
      <c r="AB38" s="77" t="e">
        <f t="shared" si="42"/>
        <v>#N/A</v>
      </c>
      <c r="AC38" s="77" t="e">
        <f t="shared" si="42"/>
        <v>#N/A</v>
      </c>
      <c r="AD38" s="77" t="e">
        <f t="shared" si="42"/>
        <v>#N/A</v>
      </c>
      <c r="AE38" s="77" t="e">
        <f t="shared" si="42"/>
        <v>#N/A</v>
      </c>
      <c r="AF38" s="77" t="e">
        <f t="shared" si="42"/>
        <v>#N/A</v>
      </c>
      <c r="AG38" s="77" t="e">
        <f t="shared" si="42"/>
        <v>#N/A</v>
      </c>
      <c r="AH38" s="77" t="e">
        <f t="shared" si="42"/>
        <v>#N/A</v>
      </c>
      <c r="AI38" s="77" t="e">
        <f t="shared" si="42"/>
        <v>#N/A</v>
      </c>
      <c r="AJ38" s="77" t="e">
        <f t="shared" si="42"/>
        <v>#N/A</v>
      </c>
      <c r="AK38" s="77" t="e">
        <f t="shared" si="42"/>
        <v>#N/A</v>
      </c>
    </row>
    <row r="40" spans="1:38" x14ac:dyDescent="0.25">
      <c r="A40" s="26" t="s">
        <v>36</v>
      </c>
      <c r="B40" s="45">
        <v>35</v>
      </c>
      <c r="D40" s="85"/>
      <c r="E40" s="85"/>
      <c r="F40" s="85"/>
      <c r="G40" s="85"/>
      <c r="H40" s="85"/>
      <c r="I40" s="85"/>
    </row>
    <row r="41" spans="1:38" x14ac:dyDescent="0.25">
      <c r="A41" s="26" t="s">
        <v>37</v>
      </c>
      <c r="B41" s="45">
        <v>15</v>
      </c>
    </row>
    <row r="42" spans="1:38" x14ac:dyDescent="0.25">
      <c r="A42" s="26" t="s">
        <v>38</v>
      </c>
      <c r="B42" s="45">
        <v>7.5</v>
      </c>
    </row>
    <row r="43" spans="1:38" x14ac:dyDescent="0.25">
      <c r="B43" s="46"/>
    </row>
    <row r="44" spans="1:38" x14ac:dyDescent="0.25">
      <c r="A44" s="29" t="s">
        <v>109</v>
      </c>
      <c r="B44" s="47">
        <v>0.5</v>
      </c>
    </row>
    <row r="46" spans="1:38" ht="14.45" customHeight="1" x14ac:dyDescent="0.25"/>
    <row r="47" spans="1:38" ht="21" customHeight="1" x14ac:dyDescent="0.25"/>
    <row r="50" spans="1:8" x14ac:dyDescent="0.25">
      <c r="E50" s="95" t="s">
        <v>97</v>
      </c>
      <c r="F50" s="95"/>
      <c r="G50" s="95"/>
      <c r="H50" s="95"/>
    </row>
    <row r="51" spans="1:8" ht="60" x14ac:dyDescent="0.25">
      <c r="A51" s="27" t="s">
        <v>30</v>
      </c>
      <c r="B51" s="27" t="s">
        <v>31</v>
      </c>
      <c r="C51" s="27" t="s">
        <v>32</v>
      </c>
      <c r="E51" s="75" t="s">
        <v>33</v>
      </c>
      <c r="F51" s="44" t="s">
        <v>98</v>
      </c>
      <c r="G51" s="86" t="s">
        <v>34</v>
      </c>
      <c r="H51" s="75" t="s">
        <v>35</v>
      </c>
    </row>
    <row r="52" spans="1:8" x14ac:dyDescent="0.25">
      <c r="A52" s="24">
        <v>2</v>
      </c>
      <c r="B52" s="40">
        <v>20000</v>
      </c>
      <c r="C52" s="40">
        <v>1000</v>
      </c>
      <c r="E52" s="25">
        <v>0</v>
      </c>
      <c r="F52" s="41">
        <v>18000</v>
      </c>
      <c r="G52" s="41">
        <f>13000+((21251.28-13000)/10)*E52</f>
        <v>13000</v>
      </c>
      <c r="H52" s="41">
        <f>G52-F52</f>
        <v>-5000</v>
      </c>
    </row>
    <row r="53" spans="1:8" x14ac:dyDescent="0.25">
      <c r="A53" s="24">
        <v>3</v>
      </c>
      <c r="B53" s="40">
        <v>30000</v>
      </c>
      <c r="C53" s="40">
        <v>1000</v>
      </c>
      <c r="E53" s="25">
        <v>1</v>
      </c>
      <c r="F53" s="41">
        <v>18000</v>
      </c>
      <c r="G53" s="41">
        <f t="shared" ref="G53:G64" si="43">13000+((21251.28-13000)/10)*E53</f>
        <v>13825.128000000001</v>
      </c>
      <c r="H53" s="41">
        <f t="shared" ref="H53:H64" si="44">G53-F53</f>
        <v>-4174.8719999999994</v>
      </c>
    </row>
    <row r="54" spans="1:8" x14ac:dyDescent="0.25">
      <c r="A54" s="24">
        <v>4</v>
      </c>
      <c r="B54" s="40">
        <v>40000</v>
      </c>
      <c r="C54" s="40">
        <v>1000</v>
      </c>
      <c r="E54" s="25">
        <v>2</v>
      </c>
      <c r="F54" s="41">
        <v>18000</v>
      </c>
      <c r="G54" s="41">
        <f t="shared" si="43"/>
        <v>14650.255999999999</v>
      </c>
      <c r="H54" s="41">
        <f t="shared" si="44"/>
        <v>-3349.7440000000006</v>
      </c>
    </row>
    <row r="55" spans="1:8" x14ac:dyDescent="0.25">
      <c r="A55" s="24">
        <v>5</v>
      </c>
      <c r="B55" s="40">
        <v>50000</v>
      </c>
      <c r="C55" s="40">
        <v>1000</v>
      </c>
      <c r="E55" s="25">
        <v>3</v>
      </c>
      <c r="F55" s="41">
        <v>18000</v>
      </c>
      <c r="G55" s="41">
        <f t="shared" si="43"/>
        <v>15475.384</v>
      </c>
      <c r="H55" s="41">
        <f t="shared" si="44"/>
        <v>-2524.616</v>
      </c>
    </row>
    <row r="56" spans="1:8" x14ac:dyDescent="0.25">
      <c r="A56" s="24">
        <v>6</v>
      </c>
      <c r="B56" s="40">
        <v>60000</v>
      </c>
      <c r="C56" s="40">
        <v>1000</v>
      </c>
      <c r="E56" s="25">
        <v>4</v>
      </c>
      <c r="F56" s="41">
        <v>18000</v>
      </c>
      <c r="G56" s="41">
        <f t="shared" si="43"/>
        <v>16300.511999999999</v>
      </c>
      <c r="H56" s="41">
        <f t="shared" si="44"/>
        <v>-1699.4880000000012</v>
      </c>
    </row>
    <row r="57" spans="1:8" x14ac:dyDescent="0.25">
      <c r="A57" s="24">
        <v>7</v>
      </c>
      <c r="B57" s="40">
        <v>70000</v>
      </c>
      <c r="C57" s="40">
        <v>1000</v>
      </c>
      <c r="E57" s="25">
        <v>5</v>
      </c>
      <c r="F57" s="41">
        <v>18000</v>
      </c>
      <c r="G57" s="41">
        <f t="shared" si="43"/>
        <v>17125.64</v>
      </c>
      <c r="H57" s="41">
        <f t="shared" si="44"/>
        <v>-874.36000000000058</v>
      </c>
    </row>
    <row r="58" spans="1:8" x14ac:dyDescent="0.25">
      <c r="A58" s="24">
        <v>8</v>
      </c>
      <c r="B58" s="40">
        <v>80000</v>
      </c>
      <c r="C58" s="40">
        <v>1000</v>
      </c>
      <c r="E58" s="25">
        <v>6</v>
      </c>
      <c r="F58" s="41">
        <v>18000</v>
      </c>
      <c r="G58" s="41">
        <f t="shared" si="43"/>
        <v>17950.768</v>
      </c>
      <c r="H58" s="41">
        <f t="shared" si="44"/>
        <v>-49.231999999999971</v>
      </c>
    </row>
    <row r="59" spans="1:8" x14ac:dyDescent="0.25">
      <c r="A59" s="24">
        <v>9</v>
      </c>
      <c r="B59" s="40">
        <v>90000</v>
      </c>
      <c r="C59" s="40">
        <v>1000</v>
      </c>
      <c r="E59" s="25">
        <v>7</v>
      </c>
      <c r="F59" s="41">
        <v>18000</v>
      </c>
      <c r="G59" s="41">
        <f t="shared" si="43"/>
        <v>18775.896000000001</v>
      </c>
      <c r="H59" s="41">
        <f t="shared" si="44"/>
        <v>775.89600000000064</v>
      </c>
    </row>
    <row r="60" spans="1:8" x14ac:dyDescent="0.25">
      <c r="A60" s="24">
        <v>10</v>
      </c>
      <c r="B60" s="40">
        <v>100000</v>
      </c>
      <c r="C60" s="40">
        <v>1000</v>
      </c>
      <c r="E60" s="25">
        <v>8</v>
      </c>
      <c r="F60" s="41">
        <v>18000</v>
      </c>
      <c r="G60" s="41">
        <f t="shared" si="43"/>
        <v>19601.023999999998</v>
      </c>
      <c r="H60" s="41">
        <f t="shared" si="44"/>
        <v>1601.0239999999976</v>
      </c>
    </row>
    <row r="61" spans="1:8" x14ac:dyDescent="0.25">
      <c r="A61" s="24" t="s">
        <v>41</v>
      </c>
      <c r="B61" s="40">
        <v>100000</v>
      </c>
      <c r="C61" s="40">
        <v>1000</v>
      </c>
      <c r="E61" s="25">
        <v>9</v>
      </c>
      <c r="F61" s="41">
        <v>18000</v>
      </c>
      <c r="G61" s="41">
        <f t="shared" si="43"/>
        <v>20426.151999999998</v>
      </c>
      <c r="H61" s="41">
        <f t="shared" si="44"/>
        <v>2426.1519999999982</v>
      </c>
    </row>
    <row r="62" spans="1:8" x14ac:dyDescent="0.25">
      <c r="E62" s="25">
        <v>10</v>
      </c>
      <c r="F62" s="41">
        <v>18000</v>
      </c>
      <c r="G62" s="41">
        <f t="shared" si="43"/>
        <v>21251.279999999999</v>
      </c>
      <c r="H62" s="41">
        <f t="shared" si="44"/>
        <v>3251.2799999999988</v>
      </c>
    </row>
    <row r="63" spans="1:8" x14ac:dyDescent="0.25">
      <c r="E63" s="25">
        <v>11</v>
      </c>
      <c r="F63" s="41">
        <v>18000</v>
      </c>
      <c r="G63" s="41">
        <f t="shared" si="43"/>
        <v>22076.407999999999</v>
      </c>
      <c r="H63" s="41">
        <f t="shared" si="44"/>
        <v>4076.4079999999994</v>
      </c>
    </row>
    <row r="64" spans="1:8" x14ac:dyDescent="0.25">
      <c r="E64" s="25">
        <v>12</v>
      </c>
      <c r="F64" s="41">
        <v>18000</v>
      </c>
      <c r="G64" s="41">
        <f t="shared" si="43"/>
        <v>22901.536</v>
      </c>
      <c r="H64" s="41">
        <f t="shared" si="44"/>
        <v>4901.5360000000001</v>
      </c>
    </row>
    <row r="66" spans="2:8" ht="45" x14ac:dyDescent="0.25">
      <c r="B66" s="28" t="s">
        <v>39</v>
      </c>
      <c r="C66" s="42">
        <f>SUM(B33:Z33)/SUM(B13:Z24)</f>
        <v>6445.3830303030309</v>
      </c>
    </row>
    <row r="67" spans="2:8" ht="30" x14ac:dyDescent="0.25">
      <c r="E67" s="80"/>
      <c r="F67" s="81" t="s">
        <v>108</v>
      </c>
      <c r="G67" s="82" t="s">
        <v>105</v>
      </c>
      <c r="H67" s="83" t="s">
        <v>106</v>
      </c>
    </row>
    <row r="68" spans="2:8" x14ac:dyDescent="0.25">
      <c r="E68" s="82" t="s">
        <v>99</v>
      </c>
      <c r="F68" s="78">
        <f>3231*3</f>
        <v>9693</v>
      </c>
      <c r="G68" s="79">
        <f>B3</f>
        <v>5700</v>
      </c>
      <c r="H68" s="84">
        <f>G68/F68</f>
        <v>0.58805323429278866</v>
      </c>
    </row>
    <row r="69" spans="2:8" x14ac:dyDescent="0.25">
      <c r="E69" s="82" t="s">
        <v>104</v>
      </c>
      <c r="F69" s="78">
        <f>4343*3</f>
        <v>13029</v>
      </c>
      <c r="G69" s="79">
        <f>E3</f>
        <v>8400</v>
      </c>
      <c r="H69" s="84">
        <f t="shared" ref="H69:H73" si="45">G69/F69</f>
        <v>0.64471563435413304</v>
      </c>
    </row>
    <row r="70" spans="2:8" x14ac:dyDescent="0.25">
      <c r="E70" s="82" t="s">
        <v>100</v>
      </c>
      <c r="F70" s="78">
        <f>4038*3</f>
        <v>12114</v>
      </c>
      <c r="G70" s="79">
        <f>B4</f>
        <v>6990</v>
      </c>
      <c r="H70" s="84">
        <f t="shared" si="45"/>
        <v>0.57701832590391278</v>
      </c>
    </row>
    <row r="71" spans="2:8" x14ac:dyDescent="0.25">
      <c r="E71" s="82" t="s">
        <v>101</v>
      </c>
      <c r="F71" s="78">
        <f>6678*3</f>
        <v>20034</v>
      </c>
      <c r="G71" s="79">
        <f>E4</f>
        <v>9690</v>
      </c>
      <c r="H71" s="84">
        <f t="shared" si="45"/>
        <v>0.48367774782869122</v>
      </c>
    </row>
    <row r="72" spans="2:8" x14ac:dyDescent="0.25">
      <c r="E72" s="82" t="s">
        <v>102</v>
      </c>
      <c r="F72" s="78">
        <f>4443*3</f>
        <v>13329</v>
      </c>
      <c r="G72" s="79">
        <f>B5</f>
        <v>7500</v>
      </c>
      <c r="H72" s="84">
        <f t="shared" si="45"/>
        <v>0.5626828719333784</v>
      </c>
    </row>
    <row r="73" spans="2:8" x14ac:dyDescent="0.25">
      <c r="E73" s="82" t="s">
        <v>103</v>
      </c>
      <c r="F73" s="78">
        <f>7177*3</f>
        <v>21531</v>
      </c>
      <c r="G73" s="79">
        <f>E5</f>
        <v>10200</v>
      </c>
      <c r="H73" s="84">
        <f t="shared" si="45"/>
        <v>0.47373554409920582</v>
      </c>
    </row>
  </sheetData>
  <mergeCells count="1">
    <mergeCell ref="E50:H50"/>
  </mergeCells>
  <conditionalFormatting sqref="B36:AK36">
    <cfRule type="colorScale" priority="4">
      <colorScale>
        <cfvo type="num" val="0"/>
        <cfvo type="num" val="1000"/>
        <cfvo type="num" val="2000"/>
        <color rgb="FFF8696B"/>
        <color theme="0"/>
        <color rgb="FF63BE7B"/>
      </colorScale>
    </cfRule>
  </conditionalFormatting>
  <conditionalFormatting sqref="H52:H63">
    <cfRule type="colorScale" priority="3">
      <colorScale>
        <cfvo type="num" val="-5000"/>
        <cfvo type="num" val="0"/>
        <cfvo type="num" val="5000"/>
        <color rgb="FFF8696B"/>
        <color theme="0"/>
        <color rgb="FF63BE7B"/>
      </colorScale>
    </cfRule>
  </conditionalFormatting>
  <conditionalFormatting sqref="H64">
    <cfRule type="colorScale" priority="2">
      <colorScale>
        <cfvo type="num" val="-5000"/>
        <cfvo type="num" val="0"/>
        <cfvo type="num" val="5000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11DF-FE3C-4B23-98C3-DA611DBF2D28}">
  <dimension ref="A1:AL73"/>
  <sheetViews>
    <sheetView zoomScale="85" zoomScaleNormal="85" workbookViewId="0">
      <selection activeCell="C18" sqref="C18"/>
    </sheetView>
  </sheetViews>
  <sheetFormatPr defaultRowHeight="15" x14ac:dyDescent="0.25"/>
  <cols>
    <col min="1" max="1" width="46" customWidth="1"/>
    <col min="2" max="2" width="15.140625" bestFit="1" customWidth="1"/>
    <col min="3" max="3" width="13.42578125" bestFit="1" customWidth="1"/>
    <col min="4" max="4" width="13.7109375" bestFit="1" customWidth="1"/>
    <col min="5" max="5" width="16.28515625" customWidth="1"/>
    <col min="6" max="6" width="16.42578125" bestFit="1" customWidth="1"/>
    <col min="7" max="7" width="13" bestFit="1" customWidth="1"/>
    <col min="8" max="8" width="14.28515625" customWidth="1"/>
    <col min="9" max="9" width="10.85546875" bestFit="1" customWidth="1"/>
    <col min="10" max="10" width="11.28515625" bestFit="1" customWidth="1"/>
    <col min="11" max="12" width="10.85546875" bestFit="1" customWidth="1"/>
    <col min="13" max="13" width="11" bestFit="1" customWidth="1"/>
    <col min="14" max="14" width="11.5703125" bestFit="1" customWidth="1"/>
    <col min="15" max="15" width="10.85546875" bestFit="1" customWidth="1"/>
    <col min="16" max="16" width="10.85546875" customWidth="1"/>
    <col min="17" max="25" width="10.85546875" bestFit="1" customWidth="1"/>
    <col min="26" max="26" width="11" bestFit="1" customWidth="1"/>
    <col min="27" max="37" width="9.140625" bestFit="1" customWidth="1"/>
  </cols>
  <sheetData>
    <row r="1" spans="1:37" ht="19.5" thickBot="1" x14ac:dyDescent="0.35">
      <c r="A1" s="21" t="s">
        <v>27</v>
      </c>
      <c r="C1" s="30" t="s">
        <v>40</v>
      </c>
    </row>
    <row r="2" spans="1:37" x14ac:dyDescent="0.25">
      <c r="A2" s="1" t="s">
        <v>12</v>
      </c>
      <c r="B2" s="19" t="s">
        <v>1</v>
      </c>
      <c r="C2" s="19" t="s">
        <v>6</v>
      </c>
      <c r="D2" s="19" t="s">
        <v>4</v>
      </c>
      <c r="E2" s="20" t="s">
        <v>5</v>
      </c>
    </row>
    <row r="3" spans="1:37" x14ac:dyDescent="0.25">
      <c r="A3" s="2" t="s">
        <v>2</v>
      </c>
      <c r="B3" s="36">
        <v>5700</v>
      </c>
      <c r="C3" s="36">
        <f>B3+600</f>
        <v>6300</v>
      </c>
      <c r="D3" s="36">
        <f>B3+(800*3)</f>
        <v>8100</v>
      </c>
      <c r="E3" s="37">
        <f>B3+(900*3)</f>
        <v>8400</v>
      </c>
    </row>
    <row r="4" spans="1:37" x14ac:dyDescent="0.25">
      <c r="A4" s="2" t="s">
        <v>3</v>
      </c>
      <c r="B4" s="36">
        <v>6990</v>
      </c>
      <c r="C4" s="36">
        <f>B4+600</f>
        <v>7590</v>
      </c>
      <c r="D4" s="36">
        <f>B4+(800*3)</f>
        <v>9390</v>
      </c>
      <c r="E4" s="37">
        <f>B4+(900*3)</f>
        <v>9690</v>
      </c>
    </row>
    <row r="5" spans="1:37" ht="15.75" thickBot="1" x14ac:dyDescent="0.3">
      <c r="A5" s="3" t="s">
        <v>0</v>
      </c>
      <c r="B5" s="38">
        <v>7500</v>
      </c>
      <c r="C5" s="38">
        <f>B5+600</f>
        <v>8100</v>
      </c>
      <c r="D5" s="38">
        <f>B5+(800*3)</f>
        <v>9900</v>
      </c>
      <c r="E5" s="39">
        <f>B5+(900*3)</f>
        <v>10200</v>
      </c>
    </row>
    <row r="7" spans="1:37" x14ac:dyDescent="0.25">
      <c r="A7" s="7" t="s">
        <v>10</v>
      </c>
      <c r="B7" s="65" t="s">
        <v>11</v>
      </c>
      <c r="C7" s="65" t="s">
        <v>11</v>
      </c>
      <c r="D7" s="65" t="s">
        <v>11</v>
      </c>
      <c r="E7" s="65" t="s">
        <v>11</v>
      </c>
      <c r="F7" s="65" t="s">
        <v>11</v>
      </c>
      <c r="G7" s="65" t="s">
        <v>11</v>
      </c>
      <c r="H7" s="65" t="s">
        <v>11</v>
      </c>
      <c r="I7" s="65" t="s">
        <v>11</v>
      </c>
      <c r="J7" s="65" t="s">
        <v>11</v>
      </c>
      <c r="K7" s="65" t="s">
        <v>11</v>
      </c>
      <c r="L7" s="65" t="s">
        <v>11</v>
      </c>
      <c r="M7" s="65" t="s">
        <v>11</v>
      </c>
      <c r="N7" s="65" t="s">
        <v>11</v>
      </c>
      <c r="O7" s="65" t="s">
        <v>11</v>
      </c>
      <c r="P7" s="65" t="s">
        <v>11</v>
      </c>
      <c r="Q7" s="65" t="s">
        <v>11</v>
      </c>
      <c r="R7" s="65" t="s">
        <v>11</v>
      </c>
      <c r="S7" s="65" t="s">
        <v>11</v>
      </c>
      <c r="T7" s="65" t="s">
        <v>11</v>
      </c>
      <c r="U7" s="65" t="s">
        <v>11</v>
      </c>
      <c r="V7" s="65" t="s">
        <v>11</v>
      </c>
      <c r="W7" s="65" t="s">
        <v>11</v>
      </c>
      <c r="X7" s="65" t="s">
        <v>11</v>
      </c>
      <c r="Y7" s="65" t="s">
        <v>11</v>
      </c>
      <c r="Z7" s="65" t="s">
        <v>11</v>
      </c>
      <c r="AA7" s="65" t="s">
        <v>11</v>
      </c>
      <c r="AB7" s="65" t="s">
        <v>11</v>
      </c>
      <c r="AC7" s="65" t="s">
        <v>11</v>
      </c>
      <c r="AD7" s="65" t="s">
        <v>11</v>
      </c>
      <c r="AE7" s="65" t="s">
        <v>11</v>
      </c>
      <c r="AF7" s="65" t="s">
        <v>11</v>
      </c>
      <c r="AG7" s="65" t="s">
        <v>11</v>
      </c>
      <c r="AH7" s="65" t="s">
        <v>11</v>
      </c>
      <c r="AI7" s="65" t="s">
        <v>11</v>
      </c>
      <c r="AJ7" s="65" t="s">
        <v>11</v>
      </c>
      <c r="AK7" s="65" t="s">
        <v>11</v>
      </c>
    </row>
    <row r="8" spans="1:37" x14ac:dyDescent="0.25">
      <c r="A8" s="5" t="s">
        <v>7</v>
      </c>
      <c r="B8" s="35">
        <f>'Statement of Financial Circs.'!B60</f>
        <v>40000</v>
      </c>
      <c r="C8" s="35">
        <f>'Statement of Financial Circs.'!D60</f>
        <v>41078</v>
      </c>
      <c r="D8" s="35">
        <f>'Statement of Financial Circs.'!F60</f>
        <v>110000</v>
      </c>
      <c r="E8" s="35">
        <f>'Statement of Financial Circs.'!H60</f>
        <v>55000</v>
      </c>
      <c r="F8" s="35">
        <f>'Statement of Financial Circs.'!J60</f>
        <v>70000</v>
      </c>
      <c r="G8" s="35">
        <f>'Statement of Financial Circs.'!L60</f>
        <v>35000</v>
      </c>
      <c r="H8" s="35">
        <f>'Statement of Financial Circs.'!N60</f>
        <v>35000</v>
      </c>
      <c r="I8" s="35">
        <f>'Statement of Financial Circs.'!P60</f>
        <v>35000</v>
      </c>
      <c r="J8" s="35">
        <f>'Statement of Financial Circs.'!R60</f>
        <v>0</v>
      </c>
      <c r="K8" s="35">
        <f>'Statement of Financial Circs.'!T60</f>
        <v>0</v>
      </c>
      <c r="L8" s="35">
        <f>'Statement of Financial Circs.'!V60</f>
        <v>0</v>
      </c>
      <c r="M8" s="35">
        <f>'Statement of Financial Circs.'!X60</f>
        <v>0</v>
      </c>
      <c r="N8" s="35">
        <f>'Statement of Financial Circs.'!Z60</f>
        <v>0</v>
      </c>
      <c r="O8" s="35">
        <f>'Statement of Financial Circs.'!AB60</f>
        <v>0</v>
      </c>
      <c r="P8" s="35">
        <f>'Statement of Financial Circs.'!AD60</f>
        <v>0</v>
      </c>
      <c r="Q8" s="35">
        <f>'Statement of Financial Circs.'!AF60</f>
        <v>0</v>
      </c>
      <c r="R8" s="35">
        <f>'Statement of Financial Circs.'!Z60</f>
        <v>0</v>
      </c>
      <c r="S8" s="35">
        <f>'Statement of Financial Circs.'!AA60</f>
        <v>0</v>
      </c>
      <c r="T8" s="35">
        <f>'Statement of Financial Circs.'!AB60</f>
        <v>0</v>
      </c>
      <c r="U8" s="35">
        <f>'Statement of Financial Circs.'!AC60</f>
        <v>0</v>
      </c>
      <c r="V8" s="35">
        <f>'Statement of Financial Circs.'!AD60</f>
        <v>0</v>
      </c>
      <c r="W8" s="35">
        <f>'Statement of Financial Circs.'!AE60</f>
        <v>0</v>
      </c>
      <c r="X8" s="35">
        <f>'Statement of Financial Circs.'!AF60</f>
        <v>0</v>
      </c>
      <c r="Y8" s="35">
        <f>'Statement of Financial Circs.'!AG60</f>
        <v>0</v>
      </c>
      <c r="Z8" s="35">
        <f>'Statement of Financial Circs.'!AH60</f>
        <v>0</v>
      </c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7" x14ac:dyDescent="0.25">
      <c r="A9" s="5" t="s">
        <v>29</v>
      </c>
      <c r="B9" s="4">
        <f>IF(ROUNDDOWN((B8/10000), 0)&lt;11, ROUNDDOWN((B8/10000), 0), "10+")</f>
        <v>4</v>
      </c>
      <c r="C9" s="4">
        <f>IF(ROUNDDOWN((C8/10000), 0)&lt;11, ROUNDDOWN((C8/10000), 0), "10+")</f>
        <v>4</v>
      </c>
      <c r="D9" s="4" t="str">
        <f t="shared" ref="D9:AK9" si="0">IF(ROUNDDOWN((D8/10000), 0)&lt;11, ROUNDDOWN((D8/10000), 0), "10+")</f>
        <v>10+</v>
      </c>
      <c r="E9" s="4">
        <f t="shared" si="0"/>
        <v>5</v>
      </c>
      <c r="F9" s="4">
        <f t="shared" si="0"/>
        <v>7</v>
      </c>
      <c r="G9" s="4">
        <f t="shared" si="0"/>
        <v>3</v>
      </c>
      <c r="H9" s="4">
        <f t="shared" si="0"/>
        <v>3</v>
      </c>
      <c r="I9" s="4">
        <f t="shared" si="0"/>
        <v>3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  <c r="AD9" s="4">
        <f t="shared" si="0"/>
        <v>0</v>
      </c>
      <c r="AE9" s="4">
        <f t="shared" si="0"/>
        <v>0</v>
      </c>
      <c r="AF9" s="4">
        <f t="shared" si="0"/>
        <v>0</v>
      </c>
      <c r="AG9" s="4">
        <f t="shared" si="0"/>
        <v>0</v>
      </c>
      <c r="AH9" s="4">
        <f t="shared" si="0"/>
        <v>0</v>
      </c>
      <c r="AI9" s="4">
        <f t="shared" si="0"/>
        <v>0</v>
      </c>
      <c r="AJ9" s="4">
        <f t="shared" si="0"/>
        <v>0</v>
      </c>
      <c r="AK9" s="4">
        <f t="shared" si="0"/>
        <v>0</v>
      </c>
    </row>
    <row r="10" spans="1:37" x14ac:dyDescent="0.25">
      <c r="A10" s="5" t="s">
        <v>8</v>
      </c>
      <c r="B10" s="35">
        <f>'Statement of Financial Circs.'!B61</f>
        <v>13874.669999999998</v>
      </c>
      <c r="C10" s="35">
        <f>'Statement of Financial Circs.'!D61</f>
        <v>24078</v>
      </c>
      <c r="D10" s="35">
        <f>'Statement of Financial Circs.'!F61</f>
        <v>55180</v>
      </c>
      <c r="E10" s="35">
        <f>'Statement of Financial Circs.'!H61</f>
        <v>27730</v>
      </c>
      <c r="F10" s="35">
        <f>'Statement of Financial Circs.'!J61</f>
        <v>15723.2</v>
      </c>
      <c r="G10" s="35">
        <f>'Statement of Financial Circs.'!L61</f>
        <v>21858.85</v>
      </c>
      <c r="H10" s="35">
        <f>'Statement of Financial Circs.'!N61</f>
        <v>21858.85</v>
      </c>
      <c r="I10" s="35">
        <f>'Statement of Financial Circs.'!P61</f>
        <v>21858.85</v>
      </c>
      <c r="J10" s="35">
        <f>'Statement of Financial Circs.'!R61</f>
        <v>0</v>
      </c>
      <c r="K10" s="35">
        <f>'Statement of Financial Circs.'!T61</f>
        <v>0</v>
      </c>
      <c r="L10" s="35">
        <f>'Statement of Financial Circs.'!V61</f>
        <v>0</v>
      </c>
      <c r="M10" s="35">
        <f>'Statement of Financial Circs.'!X61</f>
        <v>0</v>
      </c>
      <c r="N10" s="35">
        <f>'Statement of Financial Circs.'!Z61</f>
        <v>0</v>
      </c>
      <c r="O10" s="35">
        <f>'Statement of Financial Circs.'!AB61</f>
        <v>0</v>
      </c>
      <c r="P10" s="35">
        <f>'Statement of Financial Circs.'!AD61</f>
        <v>0</v>
      </c>
      <c r="Q10" s="35">
        <f>'Statement of Financial Circs.'!AF61</f>
        <v>0</v>
      </c>
      <c r="R10" s="35">
        <f>'Statement of Financial Circs.'!R61</f>
        <v>0</v>
      </c>
      <c r="S10" s="35">
        <f t="shared" ref="S10:Z10" si="1">14000+IF(S8&lt;46350, (S8-11850)*0.2, ((46350-11850)*0.2)+(S8-46350)*0.4)+IF(S8&lt;46350, (S8-8424)*0.12, ((46350-8424)*0.12)+(S8-46350)*0.02)</f>
        <v>10619.12</v>
      </c>
      <c r="T10" s="35">
        <f t="shared" si="1"/>
        <v>10619.12</v>
      </c>
      <c r="U10" s="35">
        <f t="shared" si="1"/>
        <v>10619.12</v>
      </c>
      <c r="V10" s="35">
        <f t="shared" si="1"/>
        <v>10619.12</v>
      </c>
      <c r="W10" s="35">
        <f t="shared" si="1"/>
        <v>10619.12</v>
      </c>
      <c r="X10" s="35">
        <f t="shared" si="1"/>
        <v>10619.12</v>
      </c>
      <c r="Y10" s="35">
        <f t="shared" si="1"/>
        <v>10619.12</v>
      </c>
      <c r="Z10" s="35">
        <f t="shared" si="1"/>
        <v>10619.12</v>
      </c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x14ac:dyDescent="0.25">
      <c r="A11" s="5" t="s">
        <v>24</v>
      </c>
      <c r="B11" s="4">
        <v>7</v>
      </c>
      <c r="C11" s="4">
        <v>5</v>
      </c>
      <c r="D11" s="4">
        <v>7</v>
      </c>
      <c r="E11" s="4">
        <v>2</v>
      </c>
      <c r="F11" s="4">
        <v>6</v>
      </c>
      <c r="G11" s="4">
        <v>1</v>
      </c>
      <c r="H11" s="4">
        <v>4</v>
      </c>
      <c r="I11" s="4">
        <v>2</v>
      </c>
      <c r="J11" s="4">
        <v>7</v>
      </c>
      <c r="K11" s="4">
        <v>4</v>
      </c>
      <c r="L11" s="4">
        <v>4</v>
      </c>
      <c r="M11" s="4">
        <v>3</v>
      </c>
      <c r="N11" s="4">
        <v>0</v>
      </c>
      <c r="O11" s="4">
        <v>4</v>
      </c>
      <c r="P11" s="4">
        <v>1</v>
      </c>
      <c r="Q11" s="4">
        <v>4</v>
      </c>
      <c r="R11" s="4">
        <v>2</v>
      </c>
      <c r="S11" s="4">
        <v>1</v>
      </c>
      <c r="T11" s="4">
        <v>3</v>
      </c>
      <c r="U11" s="4">
        <v>4</v>
      </c>
      <c r="V11" s="4">
        <v>1</v>
      </c>
      <c r="W11" s="4">
        <v>2</v>
      </c>
      <c r="X11" s="4">
        <v>1</v>
      </c>
      <c r="Y11" s="4"/>
      <c r="Z11" s="4">
        <v>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5.75" thickBot="1" x14ac:dyDescent="0.3">
      <c r="A12" s="14" t="s">
        <v>112</v>
      </c>
      <c r="B12" s="15">
        <v>3</v>
      </c>
      <c r="C12" s="15">
        <v>5</v>
      </c>
      <c r="D12" s="15">
        <v>2</v>
      </c>
      <c r="E12" s="15">
        <v>0</v>
      </c>
      <c r="F12" s="15">
        <v>2</v>
      </c>
      <c r="G12" s="15">
        <v>3</v>
      </c>
      <c r="H12" s="15">
        <v>0</v>
      </c>
      <c r="I12" s="15">
        <v>0</v>
      </c>
      <c r="J12" s="15">
        <v>0</v>
      </c>
      <c r="K12" s="15">
        <v>0</v>
      </c>
      <c r="L12" s="15">
        <v>2</v>
      </c>
      <c r="M12" s="15">
        <v>0</v>
      </c>
      <c r="N12" s="15">
        <v>4</v>
      </c>
      <c r="O12" s="15">
        <v>0</v>
      </c>
      <c r="P12" s="15">
        <v>3</v>
      </c>
      <c r="Q12" s="15">
        <v>0</v>
      </c>
      <c r="R12" s="15">
        <v>0</v>
      </c>
      <c r="S12" s="15">
        <v>0</v>
      </c>
      <c r="T12" s="15">
        <v>1</v>
      </c>
      <c r="U12" s="15">
        <v>0</v>
      </c>
      <c r="V12" s="15">
        <v>1</v>
      </c>
      <c r="W12" s="15">
        <v>0</v>
      </c>
      <c r="X12" s="15">
        <v>1</v>
      </c>
      <c r="Y12" s="15">
        <v>2</v>
      </c>
      <c r="Z12" s="15">
        <v>1</v>
      </c>
      <c r="AA12" s="15">
        <f t="shared" ref="AA12:AB12" si="2">SUM(AA15+AA16,AA19+AA20,AA23+AA24)</f>
        <v>0</v>
      </c>
      <c r="AB12" s="15">
        <f t="shared" si="2"/>
        <v>0</v>
      </c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ht="15.75" thickTop="1" x14ac:dyDescent="0.25">
      <c r="A13" s="9" t="s">
        <v>9</v>
      </c>
      <c r="B13" s="10"/>
      <c r="C13" s="10"/>
      <c r="D13" s="10">
        <v>2</v>
      </c>
      <c r="E13" s="10"/>
      <c r="F13" s="10">
        <v>2</v>
      </c>
      <c r="G13" s="10"/>
      <c r="H13" s="10">
        <v>2</v>
      </c>
      <c r="I13" s="10">
        <v>3</v>
      </c>
      <c r="J13" s="10">
        <v>2</v>
      </c>
      <c r="K13" s="10"/>
      <c r="L13" s="10"/>
      <c r="M13" s="10"/>
      <c r="N13" s="10"/>
      <c r="O13" s="10">
        <v>3</v>
      </c>
      <c r="P13" s="10"/>
      <c r="Q13" s="10">
        <v>1</v>
      </c>
      <c r="R13" s="10"/>
      <c r="S13" s="10"/>
      <c r="T13" s="10"/>
      <c r="U13" s="10">
        <v>2</v>
      </c>
      <c r="V13" s="10"/>
      <c r="W13" s="10">
        <v>2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5">
      <c r="A14" s="5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 s="5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5.75" thickBot="1" x14ac:dyDescent="0.3">
      <c r="A16" s="11" t="s">
        <v>15</v>
      </c>
      <c r="B16" s="13"/>
      <c r="C16" s="13"/>
      <c r="D16" s="13"/>
      <c r="E16" s="13"/>
      <c r="F16" s="13"/>
      <c r="G16" s="13">
        <v>1</v>
      </c>
      <c r="H16" s="13"/>
      <c r="I16" s="13"/>
      <c r="J16" s="13"/>
      <c r="K16" s="13"/>
      <c r="L16" s="13"/>
      <c r="M16" s="13"/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1:37" ht="15.75" thickTop="1" x14ac:dyDescent="0.25">
      <c r="A17" s="9" t="s">
        <v>16</v>
      </c>
      <c r="B17" s="12"/>
      <c r="C17" s="12"/>
      <c r="D17" s="12">
        <v>2</v>
      </c>
      <c r="E17" s="12"/>
      <c r="F17" s="12">
        <v>2</v>
      </c>
      <c r="G17" s="12"/>
      <c r="H17" s="12"/>
      <c r="I17" s="12">
        <v>1</v>
      </c>
      <c r="J17" s="12">
        <v>2</v>
      </c>
      <c r="K17" s="12">
        <v>2</v>
      </c>
      <c r="L17" s="12"/>
      <c r="M17" s="12">
        <v>3</v>
      </c>
      <c r="N17" s="12"/>
      <c r="O17" s="12"/>
      <c r="P17" s="12"/>
      <c r="Q17" s="12">
        <v>3</v>
      </c>
      <c r="R17" s="12">
        <v>2</v>
      </c>
      <c r="S17" s="12">
        <v>1</v>
      </c>
      <c r="T17" s="12"/>
      <c r="U17" s="12">
        <v>1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x14ac:dyDescent="0.25">
      <c r="A18" s="5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5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5.75" thickBot="1" x14ac:dyDescent="0.3">
      <c r="A20" s="11" t="s">
        <v>19</v>
      </c>
      <c r="B20" s="13">
        <v>1</v>
      </c>
      <c r="C20" s="13">
        <v>1</v>
      </c>
      <c r="D20" s="13"/>
      <c r="E20" s="13">
        <v>1</v>
      </c>
      <c r="F20" s="13"/>
      <c r="G20" s="13">
        <v>2</v>
      </c>
      <c r="H20" s="13"/>
      <c r="I20" s="13"/>
      <c r="J20" s="13"/>
      <c r="K20" s="13"/>
      <c r="L20" s="13">
        <v>1</v>
      </c>
      <c r="M20" s="13"/>
      <c r="N20" s="13">
        <v>3</v>
      </c>
      <c r="O20" s="13"/>
      <c r="P20" s="13">
        <v>2</v>
      </c>
      <c r="Q20" s="13"/>
      <c r="R20" s="13"/>
      <c r="S20" s="13"/>
      <c r="T20" s="13">
        <v>1</v>
      </c>
      <c r="U20" s="13"/>
      <c r="V20" s="13">
        <v>1</v>
      </c>
      <c r="W20" s="13"/>
      <c r="X20" s="13">
        <v>1</v>
      </c>
      <c r="Y20" s="13">
        <v>1</v>
      </c>
      <c r="Z20" s="13">
        <v>1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ht="15.75" thickTop="1" x14ac:dyDescent="0.25">
      <c r="A21" s="9" t="s">
        <v>20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x14ac:dyDescent="0.25">
      <c r="A22" s="5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x14ac:dyDescent="0.25">
      <c r="A23" s="5" t="s">
        <v>22</v>
      </c>
      <c r="B23" s="8"/>
      <c r="C23" s="8"/>
      <c r="D23" s="8"/>
      <c r="E23" s="8"/>
      <c r="F23" s="8">
        <v>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x14ac:dyDescent="0.25">
      <c r="A24" s="5" t="s">
        <v>23</v>
      </c>
      <c r="B24" s="8">
        <v>1</v>
      </c>
      <c r="C24" s="8">
        <v>1</v>
      </c>
      <c r="D24" s="8">
        <v>1</v>
      </c>
      <c r="E24" s="8"/>
      <c r="F24" s="8">
        <v>1</v>
      </c>
      <c r="G24" s="8"/>
      <c r="H24" s="8"/>
      <c r="I24" s="8"/>
      <c r="J24" s="8"/>
      <c r="K24" s="8"/>
      <c r="L24" s="8">
        <v>1</v>
      </c>
      <c r="M24" s="8"/>
      <c r="N24" s="8"/>
      <c r="O24" s="8"/>
      <c r="P24" s="8">
        <v>1</v>
      </c>
      <c r="Q24" s="8"/>
      <c r="R24" s="8"/>
      <c r="S24" s="8"/>
      <c r="T24" s="8"/>
      <c r="U24" s="8"/>
      <c r="V24" s="8"/>
      <c r="W24" s="8"/>
      <c r="X24" s="8"/>
      <c r="Y24" s="8">
        <v>1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x14ac:dyDescent="0.25">
      <c r="A25" s="6" t="s">
        <v>113</v>
      </c>
      <c r="B25" s="34">
        <f>(B13*$B$3)+(B14*$C$3)+(B15*$D$3)+(B16*$E$3)+(B17*$B$4)+(B18*$C$4)+(B19*$D$4)+(B20*$E$4)+(B21*$B$5)+(B22*$C$5)+(B23*$D$5)+(B24*$E$5)</f>
        <v>19890</v>
      </c>
      <c r="C25" s="34">
        <f>(C13*$B$3)+(C14*$C$3)+(C15*$D$3)+(C16*$E$3)+(C17*$B$4)+(C18*$C$4)+(C19*$D$4)+(C20*$E$4)+(C21*$B$5)+(C22*$C$5)+(C23*$D$5)+(C24*$E$5)</f>
        <v>19890</v>
      </c>
      <c r="D25" s="34">
        <f>(D13*$B$3)+(D14*$C$3)+(D15*$D$3)+(D16*$E$3)+(D17*$B$4)+(D18*$C$4)+(D19*$D$4)+(D20*$E$4)+(D21*$B$5)+(D22*$C$5)+(D23*$D$5)+(D24*$E$5)</f>
        <v>35580</v>
      </c>
      <c r="E25" s="34">
        <f>(E13*$B$3)+(E14*$C$3)+(E15*$D$3)+(E16*$E$3)+(E17*$B$4)+(E18*$C$4)+(E19*$D$4)+(E20*$E$4)+(E21*$B$5)+(E22*$C$5)+(E23*$D$5)+(E24*$E$5)</f>
        <v>9690</v>
      </c>
      <c r="F25" s="34">
        <f>(F13*$B$3)+(F14*$C$3)+(F15*$D$3)+(F16*$E$3)+(F17*$B$4)+(F18*$C$4)+(F19*$D$4)+(F20*$E$4)+(F21*$B$5)+(F22*$C$5)+(F23*$D$5)+(F24*$E$5)</f>
        <v>45480</v>
      </c>
      <c r="G25" s="34">
        <f t="shared" ref="G25:AK25" si="3">(G13*$B$3)+(G14*$C$3)+(G15*$D$3)+(G16*$E$3)+(G17*$B$4)+(G18*$C$4)+(G19*$D$4)+(G20*$E$4)+(G21*$B$5)+(G22*$C$5)+(G23*$D$5)+(G24*$E$5)</f>
        <v>27780</v>
      </c>
      <c r="H25" s="34">
        <f t="shared" si="3"/>
        <v>11400</v>
      </c>
      <c r="I25" s="34">
        <f t="shared" si="3"/>
        <v>24090</v>
      </c>
      <c r="J25" s="34">
        <f t="shared" si="3"/>
        <v>32880</v>
      </c>
      <c r="K25" s="34">
        <f t="shared" si="3"/>
        <v>13980</v>
      </c>
      <c r="L25" s="34">
        <f t="shared" si="3"/>
        <v>19890</v>
      </c>
      <c r="M25" s="34">
        <f t="shared" si="3"/>
        <v>20970</v>
      </c>
      <c r="N25" s="34">
        <f t="shared" si="3"/>
        <v>37470</v>
      </c>
      <c r="O25" s="34">
        <f t="shared" si="3"/>
        <v>17100</v>
      </c>
      <c r="P25" s="34">
        <f t="shared" si="3"/>
        <v>29580</v>
      </c>
      <c r="Q25" s="34">
        <f t="shared" si="3"/>
        <v>26670</v>
      </c>
      <c r="R25" s="34">
        <f t="shared" si="3"/>
        <v>13980</v>
      </c>
      <c r="S25" s="34">
        <f t="shared" si="3"/>
        <v>6990</v>
      </c>
      <c r="T25" s="34">
        <f t="shared" si="3"/>
        <v>9690</v>
      </c>
      <c r="U25" s="34">
        <f t="shared" si="3"/>
        <v>18390</v>
      </c>
      <c r="V25" s="34">
        <f t="shared" si="3"/>
        <v>9690</v>
      </c>
      <c r="W25" s="34">
        <f t="shared" si="3"/>
        <v>11400</v>
      </c>
      <c r="X25" s="34">
        <f t="shared" si="3"/>
        <v>9690</v>
      </c>
      <c r="Y25" s="34">
        <f t="shared" si="3"/>
        <v>19890</v>
      </c>
      <c r="Z25" s="34">
        <f t="shared" si="3"/>
        <v>9690</v>
      </c>
      <c r="AA25" s="34">
        <f t="shared" si="3"/>
        <v>0</v>
      </c>
      <c r="AB25" s="34">
        <f t="shared" si="3"/>
        <v>0</v>
      </c>
      <c r="AC25" s="34">
        <f t="shared" si="3"/>
        <v>0</v>
      </c>
      <c r="AD25" s="34">
        <f t="shared" si="3"/>
        <v>0</v>
      </c>
      <c r="AE25" s="34">
        <f t="shared" si="3"/>
        <v>0</v>
      </c>
      <c r="AF25" s="34">
        <f t="shared" si="3"/>
        <v>0</v>
      </c>
      <c r="AG25" s="34">
        <f t="shared" si="3"/>
        <v>0</v>
      </c>
      <c r="AH25" s="34">
        <f t="shared" si="3"/>
        <v>0</v>
      </c>
      <c r="AI25" s="34">
        <f t="shared" si="3"/>
        <v>0</v>
      </c>
      <c r="AJ25" s="34">
        <f t="shared" si="3"/>
        <v>0</v>
      </c>
      <c r="AK25" s="34">
        <f t="shared" si="3"/>
        <v>0</v>
      </c>
    </row>
    <row r="26" spans="1:37" x14ac:dyDescent="0.25">
      <c r="A26" s="6" t="s">
        <v>116</v>
      </c>
      <c r="B26" s="34">
        <f>B25-((B15+B19+B23)*2400)-((B16+B20+B24)*2700)</f>
        <v>14490</v>
      </c>
      <c r="C26" s="34">
        <f t="shared" ref="C26:G26" si="4">C25-((C15+C19+C23)*2400)-((C16+C20+C24)*2700)</f>
        <v>14490</v>
      </c>
      <c r="D26" s="34">
        <f t="shared" si="4"/>
        <v>32880</v>
      </c>
      <c r="E26" s="34">
        <f t="shared" si="4"/>
        <v>6990</v>
      </c>
      <c r="F26" s="34">
        <f t="shared" si="4"/>
        <v>40380</v>
      </c>
      <c r="G26" s="34">
        <f t="shared" si="4"/>
        <v>19680</v>
      </c>
      <c r="H26" s="34">
        <f>H25-((H15+H19+H23)*2400)-((H16+H20+H24)*2700)</f>
        <v>11400</v>
      </c>
      <c r="I26" s="34">
        <f t="shared" ref="I26:AK26" si="5">I25-((I15+I19+I23)*2400)-((I16+I20+I24)*2700)</f>
        <v>24090</v>
      </c>
      <c r="J26" s="34">
        <f t="shared" si="5"/>
        <v>32880</v>
      </c>
      <c r="K26" s="34">
        <f t="shared" si="5"/>
        <v>13980</v>
      </c>
      <c r="L26" s="34">
        <f t="shared" si="5"/>
        <v>14490</v>
      </c>
      <c r="M26" s="34">
        <f t="shared" si="5"/>
        <v>20970</v>
      </c>
      <c r="N26" s="34">
        <f t="shared" si="5"/>
        <v>26670</v>
      </c>
      <c r="O26" s="34">
        <f t="shared" si="5"/>
        <v>17100</v>
      </c>
      <c r="P26" s="34">
        <f t="shared" si="5"/>
        <v>21480</v>
      </c>
      <c r="Q26" s="34">
        <f t="shared" si="5"/>
        <v>26670</v>
      </c>
      <c r="R26" s="34">
        <f t="shared" si="5"/>
        <v>13980</v>
      </c>
      <c r="S26" s="34">
        <f t="shared" si="5"/>
        <v>6990</v>
      </c>
      <c r="T26" s="34">
        <f t="shared" si="5"/>
        <v>6990</v>
      </c>
      <c r="U26" s="34">
        <f t="shared" si="5"/>
        <v>18390</v>
      </c>
      <c r="V26" s="34">
        <f t="shared" si="5"/>
        <v>6990</v>
      </c>
      <c r="W26" s="34">
        <f t="shared" si="5"/>
        <v>11400</v>
      </c>
      <c r="X26" s="34">
        <f t="shared" si="5"/>
        <v>6990</v>
      </c>
      <c r="Y26" s="34">
        <f t="shared" si="5"/>
        <v>14490</v>
      </c>
      <c r="Z26" s="34">
        <f t="shared" si="5"/>
        <v>6990</v>
      </c>
      <c r="AA26" s="34">
        <f t="shared" si="5"/>
        <v>0</v>
      </c>
      <c r="AB26" s="34">
        <f t="shared" si="5"/>
        <v>0</v>
      </c>
      <c r="AC26" s="34">
        <f t="shared" si="5"/>
        <v>0</v>
      </c>
      <c r="AD26" s="34">
        <f t="shared" si="5"/>
        <v>0</v>
      </c>
      <c r="AE26" s="34">
        <f t="shared" si="5"/>
        <v>0</v>
      </c>
      <c r="AF26" s="34">
        <f t="shared" si="5"/>
        <v>0</v>
      </c>
      <c r="AG26" s="34">
        <f t="shared" si="5"/>
        <v>0</v>
      </c>
      <c r="AH26" s="34">
        <f t="shared" si="5"/>
        <v>0</v>
      </c>
      <c r="AI26" s="34">
        <f t="shared" si="5"/>
        <v>0</v>
      </c>
      <c r="AJ26" s="34">
        <f t="shared" si="5"/>
        <v>0</v>
      </c>
      <c r="AK26" s="34">
        <f t="shared" si="5"/>
        <v>0</v>
      </c>
    </row>
    <row r="28" spans="1:37" x14ac:dyDescent="0.25">
      <c r="A28" s="88" t="s">
        <v>117</v>
      </c>
      <c r="B28" s="91">
        <f>((B8-B10)-$B$40*52-(B11*$B$41*52)-(B12*(($B$42*36)+($B$41*16)))-VLOOKUP(B9,$A$52:$C$61,3,FALSE))</f>
        <v>16315.330000000002</v>
      </c>
      <c r="C28" s="91">
        <f t="shared" ref="C28:AK28" si="6">((C8-C10)-$B$40*52-(C11*$B$41*52)-(C12*(($B$42*36)+($B$41*16)))-VLOOKUP(C9,$A$52:$C$61,3,FALSE))</f>
        <v>7730</v>
      </c>
      <c r="D28" s="91">
        <f t="shared" si="6"/>
        <v>45520</v>
      </c>
      <c r="E28" s="91">
        <f t="shared" si="6"/>
        <v>22890</v>
      </c>
      <c r="F28" s="91">
        <f t="shared" si="6"/>
        <v>45756.800000000003</v>
      </c>
      <c r="G28" s="91">
        <f t="shared" si="6"/>
        <v>8011.1500000000015</v>
      </c>
      <c r="H28" s="91">
        <f t="shared" si="6"/>
        <v>7201.1500000000015</v>
      </c>
      <c r="I28" s="91">
        <f t="shared" si="6"/>
        <v>8761.1500000000015</v>
      </c>
      <c r="J28" s="91" t="e">
        <f t="shared" si="6"/>
        <v>#N/A</v>
      </c>
      <c r="K28" s="91" t="e">
        <f t="shared" si="6"/>
        <v>#N/A</v>
      </c>
      <c r="L28" s="91" t="e">
        <f t="shared" si="6"/>
        <v>#N/A</v>
      </c>
      <c r="M28" s="91" t="e">
        <f t="shared" si="6"/>
        <v>#N/A</v>
      </c>
      <c r="N28" s="91" t="e">
        <f t="shared" si="6"/>
        <v>#N/A</v>
      </c>
      <c r="O28" s="91" t="e">
        <f t="shared" si="6"/>
        <v>#N/A</v>
      </c>
      <c r="P28" s="91" t="e">
        <f t="shared" si="6"/>
        <v>#N/A</v>
      </c>
      <c r="Q28" s="91" t="e">
        <f t="shared" si="6"/>
        <v>#N/A</v>
      </c>
      <c r="R28" s="91" t="e">
        <f t="shared" si="6"/>
        <v>#N/A</v>
      </c>
      <c r="S28" s="91" t="e">
        <f t="shared" si="6"/>
        <v>#N/A</v>
      </c>
      <c r="T28" s="91" t="e">
        <f t="shared" si="6"/>
        <v>#N/A</v>
      </c>
      <c r="U28" s="91" t="e">
        <f t="shared" si="6"/>
        <v>#N/A</v>
      </c>
      <c r="V28" s="91" t="e">
        <f t="shared" si="6"/>
        <v>#N/A</v>
      </c>
      <c r="W28" s="91" t="e">
        <f t="shared" si="6"/>
        <v>#N/A</v>
      </c>
      <c r="X28" s="91" t="e">
        <f t="shared" si="6"/>
        <v>#N/A</v>
      </c>
      <c r="Y28" s="91" t="e">
        <f t="shared" si="6"/>
        <v>#N/A</v>
      </c>
      <c r="Z28" s="91" t="e">
        <f t="shared" si="6"/>
        <v>#N/A</v>
      </c>
      <c r="AA28" s="91" t="e">
        <f t="shared" si="6"/>
        <v>#N/A</v>
      </c>
      <c r="AB28" s="91" t="e">
        <f t="shared" si="6"/>
        <v>#N/A</v>
      </c>
      <c r="AC28" s="91" t="e">
        <f t="shared" si="6"/>
        <v>#N/A</v>
      </c>
      <c r="AD28" s="91" t="e">
        <f t="shared" si="6"/>
        <v>#N/A</v>
      </c>
      <c r="AE28" s="91" t="e">
        <f t="shared" si="6"/>
        <v>#N/A</v>
      </c>
      <c r="AF28" s="91" t="e">
        <f t="shared" si="6"/>
        <v>#N/A</v>
      </c>
      <c r="AG28" s="91" t="e">
        <f t="shared" si="6"/>
        <v>#N/A</v>
      </c>
      <c r="AH28" s="91" t="e">
        <f t="shared" si="6"/>
        <v>#N/A</v>
      </c>
      <c r="AI28" s="91" t="e">
        <f t="shared" si="6"/>
        <v>#N/A</v>
      </c>
      <c r="AJ28" s="91" t="e">
        <f t="shared" si="6"/>
        <v>#N/A</v>
      </c>
      <c r="AK28" s="91" t="e">
        <f t="shared" si="6"/>
        <v>#N/A</v>
      </c>
    </row>
    <row r="29" spans="1:37" x14ac:dyDescent="0.25">
      <c r="A29" s="88" t="s">
        <v>118</v>
      </c>
      <c r="B29" s="92">
        <f>B28-(B15+B19+B23)*2400-(B16+B20+B24)*2700</f>
        <v>10915.330000000002</v>
      </c>
      <c r="C29" s="92">
        <f t="shared" ref="C29:AK29" si="7">C28-(C15+C19+C23)*2400-(C16+C20+C24)*2700</f>
        <v>2330</v>
      </c>
      <c r="D29" s="92">
        <f t="shared" si="7"/>
        <v>42820</v>
      </c>
      <c r="E29" s="92">
        <f t="shared" si="7"/>
        <v>20190</v>
      </c>
      <c r="F29" s="92">
        <f t="shared" si="7"/>
        <v>40656.800000000003</v>
      </c>
      <c r="G29" s="92">
        <f t="shared" si="7"/>
        <v>-88.849999999998545</v>
      </c>
      <c r="H29" s="92">
        <f t="shared" si="7"/>
        <v>7201.1500000000015</v>
      </c>
      <c r="I29" s="92">
        <f t="shared" si="7"/>
        <v>8761.1500000000015</v>
      </c>
      <c r="J29" s="92" t="e">
        <f t="shared" si="7"/>
        <v>#N/A</v>
      </c>
      <c r="K29" s="92" t="e">
        <f t="shared" si="7"/>
        <v>#N/A</v>
      </c>
      <c r="L29" s="92" t="e">
        <f t="shared" si="7"/>
        <v>#N/A</v>
      </c>
      <c r="M29" s="92" t="e">
        <f t="shared" si="7"/>
        <v>#N/A</v>
      </c>
      <c r="N29" s="92" t="e">
        <f t="shared" si="7"/>
        <v>#N/A</v>
      </c>
      <c r="O29" s="92" t="e">
        <f t="shared" si="7"/>
        <v>#N/A</v>
      </c>
      <c r="P29" s="92" t="e">
        <f t="shared" si="7"/>
        <v>#N/A</v>
      </c>
      <c r="Q29" s="92" t="e">
        <f t="shared" si="7"/>
        <v>#N/A</v>
      </c>
      <c r="R29" s="92" t="e">
        <f t="shared" si="7"/>
        <v>#N/A</v>
      </c>
      <c r="S29" s="92" t="e">
        <f t="shared" si="7"/>
        <v>#N/A</v>
      </c>
      <c r="T29" s="92" t="e">
        <f t="shared" si="7"/>
        <v>#N/A</v>
      </c>
      <c r="U29" s="92" t="e">
        <f t="shared" si="7"/>
        <v>#N/A</v>
      </c>
      <c r="V29" s="92" t="e">
        <f t="shared" si="7"/>
        <v>#N/A</v>
      </c>
      <c r="W29" s="92" t="e">
        <f t="shared" si="7"/>
        <v>#N/A</v>
      </c>
      <c r="X29" s="92" t="e">
        <f t="shared" si="7"/>
        <v>#N/A</v>
      </c>
      <c r="Y29" s="92" t="e">
        <f t="shared" si="7"/>
        <v>#N/A</v>
      </c>
      <c r="Z29" s="92" t="e">
        <f t="shared" si="7"/>
        <v>#N/A</v>
      </c>
      <c r="AA29" s="92" t="e">
        <f t="shared" si="7"/>
        <v>#N/A</v>
      </c>
      <c r="AB29" s="92" t="e">
        <f t="shared" si="7"/>
        <v>#N/A</v>
      </c>
      <c r="AC29" s="92" t="e">
        <f t="shared" si="7"/>
        <v>#N/A</v>
      </c>
      <c r="AD29" s="92" t="e">
        <f t="shared" si="7"/>
        <v>#N/A</v>
      </c>
      <c r="AE29" s="92" t="e">
        <f t="shared" si="7"/>
        <v>#N/A</v>
      </c>
      <c r="AF29" s="92" t="e">
        <f t="shared" si="7"/>
        <v>#N/A</v>
      </c>
      <c r="AG29" s="92" t="e">
        <f t="shared" si="7"/>
        <v>#N/A</v>
      </c>
      <c r="AH29" s="92" t="e">
        <f t="shared" si="7"/>
        <v>#N/A</v>
      </c>
      <c r="AI29" s="92" t="e">
        <f t="shared" si="7"/>
        <v>#N/A</v>
      </c>
      <c r="AJ29" s="92" t="e">
        <f t="shared" si="7"/>
        <v>#N/A</v>
      </c>
      <c r="AK29" s="92" t="e">
        <f t="shared" si="7"/>
        <v>#N/A</v>
      </c>
    </row>
    <row r="31" spans="1:37" x14ac:dyDescent="0.25">
      <c r="A31" s="17" t="s">
        <v>114</v>
      </c>
      <c r="B31" s="32">
        <f t="shared" ref="B31:AK31" si="8">IF(IF(B26-B29&gt;0, B26-B29, 0)&lt;B26*$B$44, IF(B26-B29&gt;0, B26-B29, 0), B26*$B$44)</f>
        <v>3574.6699999999983</v>
      </c>
      <c r="C31" s="32">
        <f t="shared" si="8"/>
        <v>7245</v>
      </c>
      <c r="D31" s="32">
        <f t="shared" si="8"/>
        <v>0</v>
      </c>
      <c r="E31" s="32">
        <f t="shared" si="8"/>
        <v>0</v>
      </c>
      <c r="F31" s="32">
        <f t="shared" si="8"/>
        <v>0</v>
      </c>
      <c r="G31" s="32">
        <f t="shared" si="8"/>
        <v>9840</v>
      </c>
      <c r="H31" s="32">
        <f t="shared" si="8"/>
        <v>4198.8499999999985</v>
      </c>
      <c r="I31" s="32">
        <f t="shared" si="8"/>
        <v>12045</v>
      </c>
      <c r="J31" s="32" t="e">
        <f t="shared" si="8"/>
        <v>#N/A</v>
      </c>
      <c r="K31" s="32" t="e">
        <f t="shared" si="8"/>
        <v>#N/A</v>
      </c>
      <c r="L31" s="32" t="e">
        <f t="shared" si="8"/>
        <v>#N/A</v>
      </c>
      <c r="M31" s="32" t="e">
        <f t="shared" si="8"/>
        <v>#N/A</v>
      </c>
      <c r="N31" s="32" t="e">
        <f t="shared" si="8"/>
        <v>#N/A</v>
      </c>
      <c r="O31" s="32" t="e">
        <f t="shared" si="8"/>
        <v>#N/A</v>
      </c>
      <c r="P31" s="32" t="e">
        <f t="shared" si="8"/>
        <v>#N/A</v>
      </c>
      <c r="Q31" s="32" t="e">
        <f t="shared" si="8"/>
        <v>#N/A</v>
      </c>
      <c r="R31" s="32" t="e">
        <f t="shared" si="8"/>
        <v>#N/A</v>
      </c>
      <c r="S31" s="32" t="e">
        <f t="shared" si="8"/>
        <v>#N/A</v>
      </c>
      <c r="T31" s="32" t="e">
        <f t="shared" si="8"/>
        <v>#N/A</v>
      </c>
      <c r="U31" s="32" t="e">
        <f t="shared" si="8"/>
        <v>#N/A</v>
      </c>
      <c r="V31" s="32" t="e">
        <f t="shared" si="8"/>
        <v>#N/A</v>
      </c>
      <c r="W31" s="32" t="e">
        <f t="shared" si="8"/>
        <v>#N/A</v>
      </c>
      <c r="X31" s="32" t="e">
        <f t="shared" si="8"/>
        <v>#N/A</v>
      </c>
      <c r="Y31" s="32" t="e">
        <f t="shared" si="8"/>
        <v>#N/A</v>
      </c>
      <c r="Z31" s="32" t="e">
        <f t="shared" si="8"/>
        <v>#N/A</v>
      </c>
      <c r="AA31" s="32" t="e">
        <f t="shared" si="8"/>
        <v>#N/A</v>
      </c>
      <c r="AB31" s="32" t="e">
        <f t="shared" si="8"/>
        <v>#N/A</v>
      </c>
      <c r="AC31" s="32" t="e">
        <f t="shared" si="8"/>
        <v>#N/A</v>
      </c>
      <c r="AD31" s="32" t="e">
        <f t="shared" si="8"/>
        <v>#N/A</v>
      </c>
      <c r="AE31" s="32" t="e">
        <f t="shared" si="8"/>
        <v>#N/A</v>
      </c>
      <c r="AF31" s="32" t="e">
        <f t="shared" si="8"/>
        <v>#N/A</v>
      </c>
      <c r="AG31" s="32" t="e">
        <f t="shared" si="8"/>
        <v>#N/A</v>
      </c>
      <c r="AH31" s="32" t="e">
        <f t="shared" si="8"/>
        <v>#N/A</v>
      </c>
      <c r="AI31" s="32" t="e">
        <f t="shared" si="8"/>
        <v>#N/A</v>
      </c>
      <c r="AJ31" s="32" t="e">
        <f t="shared" si="8"/>
        <v>#N/A</v>
      </c>
      <c r="AK31" s="32" t="e">
        <f t="shared" si="8"/>
        <v>#N/A</v>
      </c>
    </row>
    <row r="32" spans="1:37" x14ac:dyDescent="0.25">
      <c r="A32" s="16" t="s">
        <v>115</v>
      </c>
      <c r="B32" s="31">
        <f t="shared" ref="B32:AK32" si="9">ROUNDUP((B31/B26), 2)</f>
        <v>0.25</v>
      </c>
      <c r="C32" s="31">
        <f t="shared" si="9"/>
        <v>0.5</v>
      </c>
      <c r="D32" s="31">
        <f t="shared" si="9"/>
        <v>0</v>
      </c>
      <c r="E32" s="31">
        <f t="shared" si="9"/>
        <v>0</v>
      </c>
      <c r="F32" s="31">
        <f t="shared" si="9"/>
        <v>0</v>
      </c>
      <c r="G32" s="31">
        <f t="shared" si="9"/>
        <v>0.5</v>
      </c>
      <c r="H32" s="31">
        <f t="shared" si="9"/>
        <v>0.37</v>
      </c>
      <c r="I32" s="31">
        <f t="shared" si="9"/>
        <v>0.5</v>
      </c>
      <c r="J32" s="31" t="e">
        <f t="shared" si="9"/>
        <v>#N/A</v>
      </c>
      <c r="K32" s="31" t="e">
        <f t="shared" si="9"/>
        <v>#N/A</v>
      </c>
      <c r="L32" s="31" t="e">
        <f t="shared" si="9"/>
        <v>#N/A</v>
      </c>
      <c r="M32" s="31" t="e">
        <f t="shared" si="9"/>
        <v>#N/A</v>
      </c>
      <c r="N32" s="31" t="e">
        <f t="shared" si="9"/>
        <v>#N/A</v>
      </c>
      <c r="O32" s="31" t="e">
        <f t="shared" si="9"/>
        <v>#N/A</v>
      </c>
      <c r="P32" s="31" t="e">
        <f t="shared" si="9"/>
        <v>#N/A</v>
      </c>
      <c r="Q32" s="31" t="e">
        <f t="shared" si="9"/>
        <v>#N/A</v>
      </c>
      <c r="R32" s="31" t="e">
        <f t="shared" si="9"/>
        <v>#N/A</v>
      </c>
      <c r="S32" s="31" t="e">
        <f t="shared" si="9"/>
        <v>#N/A</v>
      </c>
      <c r="T32" s="31" t="e">
        <f t="shared" si="9"/>
        <v>#N/A</v>
      </c>
      <c r="U32" s="31" t="e">
        <f t="shared" si="9"/>
        <v>#N/A</v>
      </c>
      <c r="V32" s="31" t="e">
        <f t="shared" si="9"/>
        <v>#N/A</v>
      </c>
      <c r="W32" s="31" t="e">
        <f t="shared" si="9"/>
        <v>#N/A</v>
      </c>
      <c r="X32" s="31" t="e">
        <f t="shared" si="9"/>
        <v>#N/A</v>
      </c>
      <c r="Y32" s="31" t="e">
        <f t="shared" si="9"/>
        <v>#N/A</v>
      </c>
      <c r="Z32" s="31" t="e">
        <f t="shared" si="9"/>
        <v>#N/A</v>
      </c>
      <c r="AA32" s="31" t="e">
        <f t="shared" si="9"/>
        <v>#N/A</v>
      </c>
      <c r="AB32" s="31" t="e">
        <f t="shared" si="9"/>
        <v>#N/A</v>
      </c>
      <c r="AC32" s="31" t="e">
        <f t="shared" si="9"/>
        <v>#N/A</v>
      </c>
      <c r="AD32" s="31" t="e">
        <f t="shared" si="9"/>
        <v>#N/A</v>
      </c>
      <c r="AE32" s="31" t="e">
        <f t="shared" si="9"/>
        <v>#N/A</v>
      </c>
      <c r="AF32" s="31" t="e">
        <f t="shared" si="9"/>
        <v>#N/A</v>
      </c>
      <c r="AG32" s="31" t="e">
        <f t="shared" si="9"/>
        <v>#N/A</v>
      </c>
      <c r="AH32" s="31" t="e">
        <f t="shared" si="9"/>
        <v>#N/A</v>
      </c>
      <c r="AI32" s="31" t="e">
        <f t="shared" si="9"/>
        <v>#N/A</v>
      </c>
      <c r="AJ32" s="31" t="e">
        <f t="shared" si="9"/>
        <v>#N/A</v>
      </c>
      <c r="AK32" s="31" t="e">
        <f t="shared" si="9"/>
        <v>#N/A</v>
      </c>
    </row>
    <row r="33" spans="1:38" x14ac:dyDescent="0.25">
      <c r="A33" s="90" t="s">
        <v>25</v>
      </c>
      <c r="B33" s="89">
        <f t="shared" ref="B33:AK33" si="10">B25-B31</f>
        <v>16315.330000000002</v>
      </c>
      <c r="C33" s="89">
        <f t="shared" si="10"/>
        <v>12645</v>
      </c>
      <c r="D33" s="89">
        <f t="shared" si="10"/>
        <v>35580</v>
      </c>
      <c r="E33" s="89">
        <f t="shared" si="10"/>
        <v>9690</v>
      </c>
      <c r="F33" s="89">
        <f t="shared" si="10"/>
        <v>45480</v>
      </c>
      <c r="G33" s="89">
        <f t="shared" si="10"/>
        <v>17940</v>
      </c>
      <c r="H33" s="89">
        <f t="shared" si="10"/>
        <v>7201.1500000000015</v>
      </c>
      <c r="I33" s="89">
        <f t="shared" si="10"/>
        <v>12045</v>
      </c>
      <c r="J33" s="89" t="e">
        <f t="shared" si="10"/>
        <v>#N/A</v>
      </c>
      <c r="K33" s="89" t="e">
        <f t="shared" si="10"/>
        <v>#N/A</v>
      </c>
      <c r="L33" s="89" t="e">
        <f t="shared" si="10"/>
        <v>#N/A</v>
      </c>
      <c r="M33" s="89" t="e">
        <f t="shared" si="10"/>
        <v>#N/A</v>
      </c>
      <c r="N33" s="89" t="e">
        <f t="shared" si="10"/>
        <v>#N/A</v>
      </c>
      <c r="O33" s="89" t="e">
        <f t="shared" si="10"/>
        <v>#N/A</v>
      </c>
      <c r="P33" s="89" t="e">
        <f t="shared" si="10"/>
        <v>#N/A</v>
      </c>
      <c r="Q33" s="89" t="e">
        <f t="shared" si="10"/>
        <v>#N/A</v>
      </c>
      <c r="R33" s="89" t="e">
        <f t="shared" si="10"/>
        <v>#N/A</v>
      </c>
      <c r="S33" s="89" t="e">
        <f t="shared" si="10"/>
        <v>#N/A</v>
      </c>
      <c r="T33" s="89" t="e">
        <f t="shared" si="10"/>
        <v>#N/A</v>
      </c>
      <c r="U33" s="89" t="e">
        <f t="shared" si="10"/>
        <v>#N/A</v>
      </c>
      <c r="V33" s="89" t="e">
        <f t="shared" si="10"/>
        <v>#N/A</v>
      </c>
      <c r="W33" s="89" t="e">
        <f t="shared" si="10"/>
        <v>#N/A</v>
      </c>
      <c r="X33" s="89" t="e">
        <f t="shared" si="10"/>
        <v>#N/A</v>
      </c>
      <c r="Y33" s="89" t="e">
        <f t="shared" si="10"/>
        <v>#N/A</v>
      </c>
      <c r="Z33" s="89" t="e">
        <f t="shared" si="10"/>
        <v>#N/A</v>
      </c>
      <c r="AA33" s="89" t="e">
        <f t="shared" si="10"/>
        <v>#N/A</v>
      </c>
      <c r="AB33" s="89" t="e">
        <f t="shared" si="10"/>
        <v>#N/A</v>
      </c>
      <c r="AC33" s="89" t="e">
        <f t="shared" si="10"/>
        <v>#N/A</v>
      </c>
      <c r="AD33" s="89" t="e">
        <f t="shared" si="10"/>
        <v>#N/A</v>
      </c>
      <c r="AE33" s="89" t="e">
        <f t="shared" si="10"/>
        <v>#N/A</v>
      </c>
      <c r="AF33" s="89" t="e">
        <f t="shared" si="10"/>
        <v>#N/A</v>
      </c>
      <c r="AG33" s="89" t="e">
        <f t="shared" si="10"/>
        <v>#N/A</v>
      </c>
      <c r="AH33" s="89" t="e">
        <f t="shared" si="10"/>
        <v>#N/A</v>
      </c>
      <c r="AI33" s="89" t="e">
        <f t="shared" si="10"/>
        <v>#N/A</v>
      </c>
      <c r="AJ33" s="89" t="e">
        <f t="shared" si="10"/>
        <v>#N/A</v>
      </c>
      <c r="AK33" s="89" t="e">
        <f t="shared" si="10"/>
        <v>#N/A</v>
      </c>
    </row>
    <row r="34" spans="1:38" x14ac:dyDescent="0.25">
      <c r="A34" s="18" t="s">
        <v>26</v>
      </c>
      <c r="B34" s="33">
        <f t="shared" ref="B34:AK34" si="11">(B33/SUM(B13:B24))</f>
        <v>8157.6650000000009</v>
      </c>
      <c r="C34" s="33">
        <f t="shared" si="11"/>
        <v>6322.5</v>
      </c>
      <c r="D34" s="33">
        <f t="shared" si="11"/>
        <v>7116</v>
      </c>
      <c r="E34" s="33">
        <f t="shared" si="11"/>
        <v>9690</v>
      </c>
      <c r="F34" s="33">
        <f t="shared" si="11"/>
        <v>7580</v>
      </c>
      <c r="G34" s="33">
        <f t="shared" si="11"/>
        <v>5980</v>
      </c>
      <c r="H34" s="33">
        <f t="shared" si="11"/>
        <v>3600.5750000000007</v>
      </c>
      <c r="I34" s="33">
        <f t="shared" si="11"/>
        <v>3011.25</v>
      </c>
      <c r="J34" s="33" t="e">
        <f t="shared" si="11"/>
        <v>#N/A</v>
      </c>
      <c r="K34" s="33" t="e">
        <f t="shared" si="11"/>
        <v>#N/A</v>
      </c>
      <c r="L34" s="33" t="e">
        <f t="shared" si="11"/>
        <v>#N/A</v>
      </c>
      <c r="M34" s="33" t="e">
        <f t="shared" si="11"/>
        <v>#N/A</v>
      </c>
      <c r="N34" s="33" t="e">
        <f t="shared" si="11"/>
        <v>#N/A</v>
      </c>
      <c r="O34" s="33" t="e">
        <f t="shared" si="11"/>
        <v>#N/A</v>
      </c>
      <c r="P34" s="33" t="e">
        <f t="shared" si="11"/>
        <v>#N/A</v>
      </c>
      <c r="Q34" s="33" t="e">
        <f t="shared" si="11"/>
        <v>#N/A</v>
      </c>
      <c r="R34" s="33" t="e">
        <f t="shared" si="11"/>
        <v>#N/A</v>
      </c>
      <c r="S34" s="33" t="e">
        <f t="shared" si="11"/>
        <v>#N/A</v>
      </c>
      <c r="T34" s="33" t="e">
        <f t="shared" si="11"/>
        <v>#N/A</v>
      </c>
      <c r="U34" s="33" t="e">
        <f t="shared" si="11"/>
        <v>#N/A</v>
      </c>
      <c r="V34" s="33" t="e">
        <f t="shared" si="11"/>
        <v>#N/A</v>
      </c>
      <c r="W34" s="33" t="e">
        <f t="shared" si="11"/>
        <v>#N/A</v>
      </c>
      <c r="X34" s="33" t="e">
        <f t="shared" si="11"/>
        <v>#N/A</v>
      </c>
      <c r="Y34" s="33" t="e">
        <f t="shared" si="11"/>
        <v>#N/A</v>
      </c>
      <c r="Z34" s="33" t="e">
        <f t="shared" si="11"/>
        <v>#N/A</v>
      </c>
      <c r="AA34" s="33" t="e">
        <f t="shared" si="11"/>
        <v>#N/A</v>
      </c>
      <c r="AB34" s="33" t="e">
        <f t="shared" si="11"/>
        <v>#N/A</v>
      </c>
      <c r="AC34" s="33" t="e">
        <f t="shared" si="11"/>
        <v>#N/A</v>
      </c>
      <c r="AD34" s="33" t="e">
        <f t="shared" si="11"/>
        <v>#N/A</v>
      </c>
      <c r="AE34" s="33" t="e">
        <f t="shared" si="11"/>
        <v>#N/A</v>
      </c>
      <c r="AF34" s="33" t="e">
        <f t="shared" si="11"/>
        <v>#N/A</v>
      </c>
      <c r="AG34" s="33" t="e">
        <f t="shared" si="11"/>
        <v>#N/A</v>
      </c>
      <c r="AH34" s="33" t="e">
        <f t="shared" si="11"/>
        <v>#N/A</v>
      </c>
      <c r="AI34" s="33" t="e">
        <f t="shared" si="11"/>
        <v>#N/A</v>
      </c>
      <c r="AJ34" s="33" t="e">
        <f t="shared" si="11"/>
        <v>#N/A</v>
      </c>
      <c r="AK34" s="33" t="e">
        <f t="shared" si="11"/>
        <v>#N/A</v>
      </c>
    </row>
    <row r="35" spans="1:38" x14ac:dyDescent="0.25">
      <c r="AL35" s="49"/>
    </row>
    <row r="36" spans="1:38" x14ac:dyDescent="0.25">
      <c r="A36" s="93" t="s">
        <v>42</v>
      </c>
      <c r="B36" s="94">
        <f t="shared" ref="B36:AK36" si="12">B8-B10-B33-($B$40*52)-($B$41*B11*52)-(($B$42*B12)*36)-(($B$41*B12)*16)</f>
        <v>1000</v>
      </c>
      <c r="C36" s="94">
        <f t="shared" si="12"/>
        <v>-3915</v>
      </c>
      <c r="D36" s="94">
        <f t="shared" si="12"/>
        <v>10940</v>
      </c>
      <c r="E36" s="94">
        <f t="shared" si="12"/>
        <v>14200</v>
      </c>
      <c r="F36" s="94">
        <f t="shared" si="12"/>
        <v>1276.8000000000029</v>
      </c>
      <c r="G36" s="94">
        <f t="shared" si="12"/>
        <v>-8928.8499999999985</v>
      </c>
      <c r="H36" s="94">
        <f t="shared" si="12"/>
        <v>1000</v>
      </c>
      <c r="I36" s="94">
        <f t="shared" si="12"/>
        <v>-2283.8499999999985</v>
      </c>
      <c r="J36" s="94" t="e">
        <f t="shared" si="12"/>
        <v>#N/A</v>
      </c>
      <c r="K36" s="94" t="e">
        <f t="shared" si="12"/>
        <v>#N/A</v>
      </c>
      <c r="L36" s="94" t="e">
        <f t="shared" si="12"/>
        <v>#N/A</v>
      </c>
      <c r="M36" s="94" t="e">
        <f t="shared" si="12"/>
        <v>#N/A</v>
      </c>
      <c r="N36" s="94" t="e">
        <f t="shared" si="12"/>
        <v>#N/A</v>
      </c>
      <c r="O36" s="94" t="e">
        <f t="shared" si="12"/>
        <v>#N/A</v>
      </c>
      <c r="P36" s="94" t="e">
        <f t="shared" si="12"/>
        <v>#N/A</v>
      </c>
      <c r="Q36" s="94" t="e">
        <f t="shared" si="12"/>
        <v>#N/A</v>
      </c>
      <c r="R36" s="94" t="e">
        <f t="shared" si="12"/>
        <v>#N/A</v>
      </c>
      <c r="S36" s="94" t="e">
        <f t="shared" si="12"/>
        <v>#N/A</v>
      </c>
      <c r="T36" s="94" t="e">
        <f t="shared" si="12"/>
        <v>#N/A</v>
      </c>
      <c r="U36" s="94" t="e">
        <f t="shared" si="12"/>
        <v>#N/A</v>
      </c>
      <c r="V36" s="94" t="e">
        <f t="shared" si="12"/>
        <v>#N/A</v>
      </c>
      <c r="W36" s="94" t="e">
        <f t="shared" si="12"/>
        <v>#N/A</v>
      </c>
      <c r="X36" s="94" t="e">
        <f t="shared" si="12"/>
        <v>#N/A</v>
      </c>
      <c r="Y36" s="94" t="e">
        <f t="shared" si="12"/>
        <v>#N/A</v>
      </c>
      <c r="Z36" s="94" t="e">
        <f t="shared" si="12"/>
        <v>#N/A</v>
      </c>
      <c r="AA36" s="94" t="e">
        <f t="shared" si="12"/>
        <v>#N/A</v>
      </c>
      <c r="AB36" s="94" t="e">
        <f t="shared" si="12"/>
        <v>#N/A</v>
      </c>
      <c r="AC36" s="94" t="e">
        <f t="shared" si="12"/>
        <v>#N/A</v>
      </c>
      <c r="AD36" s="94" t="e">
        <f t="shared" si="12"/>
        <v>#N/A</v>
      </c>
      <c r="AE36" s="94" t="e">
        <f t="shared" si="12"/>
        <v>#N/A</v>
      </c>
      <c r="AF36" s="94" t="e">
        <f t="shared" si="12"/>
        <v>#N/A</v>
      </c>
      <c r="AG36" s="94" t="e">
        <f t="shared" si="12"/>
        <v>#N/A</v>
      </c>
      <c r="AH36" s="94" t="e">
        <f t="shared" si="12"/>
        <v>#N/A</v>
      </c>
      <c r="AI36" s="94" t="e">
        <f t="shared" si="12"/>
        <v>#N/A</v>
      </c>
      <c r="AJ36" s="94" t="e">
        <f t="shared" si="12"/>
        <v>#N/A</v>
      </c>
      <c r="AK36" s="94" t="e">
        <f t="shared" si="12"/>
        <v>#N/A</v>
      </c>
    </row>
    <row r="38" spans="1:38" x14ac:dyDescent="0.25">
      <c r="A38" s="76" t="s">
        <v>107</v>
      </c>
      <c r="B38" s="77">
        <f t="shared" ref="B38:AK38" si="13">(B33/((SUM(B13:B14)*$F$68)+(SUM(B15:B16)*$F$69)+(SUM(B17:B18)*$F$70)+(SUM(B19:B20)*$F$71)+(SUM(B21:B22)*$F$72)+(SUM(B23:B24)*$F$73)))</f>
        <v>0.39252568266570437</v>
      </c>
      <c r="C38" s="77">
        <f t="shared" si="13"/>
        <v>0.30422230241789966</v>
      </c>
      <c r="D38" s="77">
        <f t="shared" si="13"/>
        <v>0.54616624453142992</v>
      </c>
      <c r="E38" s="77">
        <f t="shared" si="13"/>
        <v>0.48367774782869122</v>
      </c>
      <c r="F38" s="77">
        <f t="shared" si="13"/>
        <v>0.52471272324518903</v>
      </c>
      <c r="G38" s="77">
        <f t="shared" si="13"/>
        <v>0.33787219616927511</v>
      </c>
      <c r="H38" s="77">
        <f t="shared" si="13"/>
        <v>0.37146136387083467</v>
      </c>
      <c r="I38" s="77">
        <f t="shared" si="13"/>
        <v>0.29240404923166557</v>
      </c>
      <c r="J38" s="77" t="e">
        <f t="shared" si="13"/>
        <v>#N/A</v>
      </c>
      <c r="K38" s="77" t="e">
        <f t="shared" si="13"/>
        <v>#N/A</v>
      </c>
      <c r="L38" s="77" t="e">
        <f t="shared" si="13"/>
        <v>#N/A</v>
      </c>
      <c r="M38" s="77" t="e">
        <f t="shared" si="13"/>
        <v>#N/A</v>
      </c>
      <c r="N38" s="77" t="e">
        <f t="shared" si="13"/>
        <v>#N/A</v>
      </c>
      <c r="O38" s="77" t="e">
        <f t="shared" si="13"/>
        <v>#N/A</v>
      </c>
      <c r="P38" s="77" t="e">
        <f t="shared" si="13"/>
        <v>#N/A</v>
      </c>
      <c r="Q38" s="77" t="e">
        <f t="shared" si="13"/>
        <v>#N/A</v>
      </c>
      <c r="R38" s="77" t="e">
        <f t="shared" si="13"/>
        <v>#N/A</v>
      </c>
      <c r="S38" s="77" t="e">
        <f t="shared" si="13"/>
        <v>#N/A</v>
      </c>
      <c r="T38" s="77" t="e">
        <f t="shared" si="13"/>
        <v>#N/A</v>
      </c>
      <c r="U38" s="77" t="e">
        <f t="shared" si="13"/>
        <v>#N/A</v>
      </c>
      <c r="V38" s="77" t="e">
        <f t="shared" si="13"/>
        <v>#N/A</v>
      </c>
      <c r="W38" s="77" t="e">
        <f t="shared" si="13"/>
        <v>#N/A</v>
      </c>
      <c r="X38" s="77" t="e">
        <f t="shared" si="13"/>
        <v>#N/A</v>
      </c>
      <c r="Y38" s="77" t="e">
        <f t="shared" si="13"/>
        <v>#N/A</v>
      </c>
      <c r="Z38" s="77" t="e">
        <f t="shared" si="13"/>
        <v>#N/A</v>
      </c>
      <c r="AA38" s="77" t="e">
        <f t="shared" si="13"/>
        <v>#N/A</v>
      </c>
      <c r="AB38" s="77" t="e">
        <f t="shared" si="13"/>
        <v>#N/A</v>
      </c>
      <c r="AC38" s="77" t="e">
        <f t="shared" si="13"/>
        <v>#N/A</v>
      </c>
      <c r="AD38" s="77" t="e">
        <f t="shared" si="13"/>
        <v>#N/A</v>
      </c>
      <c r="AE38" s="77" t="e">
        <f t="shared" si="13"/>
        <v>#N/A</v>
      </c>
      <c r="AF38" s="77" t="e">
        <f t="shared" si="13"/>
        <v>#N/A</v>
      </c>
      <c r="AG38" s="77" t="e">
        <f t="shared" si="13"/>
        <v>#N/A</v>
      </c>
      <c r="AH38" s="77" t="e">
        <f t="shared" si="13"/>
        <v>#N/A</v>
      </c>
      <c r="AI38" s="77" t="e">
        <f t="shared" si="13"/>
        <v>#N/A</v>
      </c>
      <c r="AJ38" s="77" t="e">
        <f t="shared" si="13"/>
        <v>#N/A</v>
      </c>
      <c r="AK38" s="77" t="e">
        <f t="shared" si="13"/>
        <v>#N/A</v>
      </c>
    </row>
    <row r="40" spans="1:38" x14ac:dyDescent="0.25">
      <c r="A40" s="26" t="s">
        <v>36</v>
      </c>
      <c r="B40" s="45">
        <v>35</v>
      </c>
      <c r="D40" s="85"/>
      <c r="E40" s="85"/>
      <c r="F40" s="85"/>
      <c r="G40" s="85"/>
      <c r="H40" s="85"/>
      <c r="I40" s="85"/>
    </row>
    <row r="41" spans="1:38" x14ac:dyDescent="0.25">
      <c r="A41" s="26" t="s">
        <v>37</v>
      </c>
      <c r="B41" s="45">
        <v>15</v>
      </c>
    </row>
    <row r="42" spans="1:38" x14ac:dyDescent="0.25">
      <c r="A42" s="26" t="s">
        <v>38</v>
      </c>
      <c r="B42" s="45">
        <v>7.5</v>
      </c>
    </row>
    <row r="43" spans="1:38" x14ac:dyDescent="0.25">
      <c r="B43" s="46"/>
    </row>
    <row r="44" spans="1:38" x14ac:dyDescent="0.25">
      <c r="A44" s="29" t="s">
        <v>109</v>
      </c>
      <c r="B44" s="47">
        <v>0.5</v>
      </c>
    </row>
    <row r="46" spans="1:38" ht="14.45" customHeight="1" x14ac:dyDescent="0.25"/>
    <row r="47" spans="1:38" ht="21" customHeight="1" x14ac:dyDescent="0.25"/>
    <row r="50" spans="1:8" x14ac:dyDescent="0.25">
      <c r="E50" s="95" t="s">
        <v>97</v>
      </c>
      <c r="F50" s="95"/>
      <c r="G50" s="95"/>
      <c r="H50" s="95"/>
    </row>
    <row r="51" spans="1:8" ht="60" x14ac:dyDescent="0.25">
      <c r="A51" s="27" t="s">
        <v>30</v>
      </c>
      <c r="B51" s="27" t="s">
        <v>31</v>
      </c>
      <c r="C51" s="27" t="s">
        <v>32</v>
      </c>
      <c r="E51" s="75" t="s">
        <v>33</v>
      </c>
      <c r="F51" s="44" t="s">
        <v>98</v>
      </c>
      <c r="G51" s="86" t="s">
        <v>34</v>
      </c>
      <c r="H51" s="75" t="s">
        <v>35</v>
      </c>
    </row>
    <row r="52" spans="1:8" x14ac:dyDescent="0.25">
      <c r="A52" s="24">
        <v>2</v>
      </c>
      <c r="B52" s="40">
        <v>20000</v>
      </c>
      <c r="C52" s="40">
        <v>1000</v>
      </c>
      <c r="E52" s="25">
        <v>0</v>
      </c>
      <c r="F52" s="41">
        <v>18000</v>
      </c>
      <c r="G52" s="41">
        <f>13000+((21251.28-13000)/10)*E52</f>
        <v>13000</v>
      </c>
      <c r="H52" s="41">
        <f>G52-F52</f>
        <v>-5000</v>
      </c>
    </row>
    <row r="53" spans="1:8" x14ac:dyDescent="0.25">
      <c r="A53" s="24">
        <v>3</v>
      </c>
      <c r="B53" s="40">
        <v>30000</v>
      </c>
      <c r="C53" s="40">
        <v>1000</v>
      </c>
      <c r="E53" s="25">
        <v>1</v>
      </c>
      <c r="F53" s="41">
        <v>18000</v>
      </c>
      <c r="G53" s="41">
        <f t="shared" ref="G53:G64" si="14">13000+((21251.28-13000)/10)*E53</f>
        <v>13825.128000000001</v>
      </c>
      <c r="H53" s="41">
        <f t="shared" ref="H53:H64" si="15">G53-F53</f>
        <v>-4174.8719999999994</v>
      </c>
    </row>
    <row r="54" spans="1:8" x14ac:dyDescent="0.25">
      <c r="A54" s="24">
        <v>4</v>
      </c>
      <c r="B54" s="40">
        <v>40000</v>
      </c>
      <c r="C54" s="40">
        <v>1000</v>
      </c>
      <c r="E54" s="25">
        <v>2</v>
      </c>
      <c r="F54" s="41">
        <v>18000</v>
      </c>
      <c r="G54" s="41">
        <f t="shared" si="14"/>
        <v>14650.255999999999</v>
      </c>
      <c r="H54" s="41">
        <f t="shared" si="15"/>
        <v>-3349.7440000000006</v>
      </c>
    </row>
    <row r="55" spans="1:8" x14ac:dyDescent="0.25">
      <c r="A55" s="24">
        <v>5</v>
      </c>
      <c r="B55" s="40">
        <v>50000</v>
      </c>
      <c r="C55" s="40">
        <v>1000</v>
      </c>
      <c r="E55" s="25">
        <v>3</v>
      </c>
      <c r="F55" s="41">
        <v>18000</v>
      </c>
      <c r="G55" s="41">
        <f t="shared" si="14"/>
        <v>15475.384</v>
      </c>
      <c r="H55" s="41">
        <f t="shared" si="15"/>
        <v>-2524.616</v>
      </c>
    </row>
    <row r="56" spans="1:8" x14ac:dyDescent="0.25">
      <c r="A56" s="24">
        <v>6</v>
      </c>
      <c r="B56" s="40">
        <v>60000</v>
      </c>
      <c r="C56" s="40">
        <v>1000</v>
      </c>
      <c r="E56" s="25">
        <v>4</v>
      </c>
      <c r="F56" s="41">
        <v>18000</v>
      </c>
      <c r="G56" s="41">
        <f t="shared" si="14"/>
        <v>16300.511999999999</v>
      </c>
      <c r="H56" s="41">
        <f t="shared" si="15"/>
        <v>-1699.4880000000012</v>
      </c>
    </row>
    <row r="57" spans="1:8" x14ac:dyDescent="0.25">
      <c r="A57" s="24">
        <v>7</v>
      </c>
      <c r="B57" s="40">
        <v>70000</v>
      </c>
      <c r="C57" s="40">
        <v>1000</v>
      </c>
      <c r="E57" s="25">
        <v>5</v>
      </c>
      <c r="F57" s="41">
        <v>18000</v>
      </c>
      <c r="G57" s="41">
        <f t="shared" si="14"/>
        <v>17125.64</v>
      </c>
      <c r="H57" s="41">
        <f t="shared" si="15"/>
        <v>-874.36000000000058</v>
      </c>
    </row>
    <row r="58" spans="1:8" x14ac:dyDescent="0.25">
      <c r="A58" s="24">
        <v>8</v>
      </c>
      <c r="B58" s="40">
        <v>80000</v>
      </c>
      <c r="C58" s="40">
        <v>1000</v>
      </c>
      <c r="E58" s="25">
        <v>6</v>
      </c>
      <c r="F58" s="41">
        <v>18000</v>
      </c>
      <c r="G58" s="41">
        <f t="shared" si="14"/>
        <v>17950.768</v>
      </c>
      <c r="H58" s="41">
        <f t="shared" si="15"/>
        <v>-49.231999999999971</v>
      </c>
    </row>
    <row r="59" spans="1:8" x14ac:dyDescent="0.25">
      <c r="A59" s="24">
        <v>9</v>
      </c>
      <c r="B59" s="40">
        <v>90000</v>
      </c>
      <c r="C59" s="40">
        <v>1000</v>
      </c>
      <c r="E59" s="25">
        <v>7</v>
      </c>
      <c r="F59" s="41">
        <v>18000</v>
      </c>
      <c r="G59" s="41">
        <f t="shared" si="14"/>
        <v>18775.896000000001</v>
      </c>
      <c r="H59" s="41">
        <f t="shared" si="15"/>
        <v>775.89600000000064</v>
      </c>
    </row>
    <row r="60" spans="1:8" x14ac:dyDescent="0.25">
      <c r="A60" s="24">
        <v>10</v>
      </c>
      <c r="B60" s="40">
        <v>100000</v>
      </c>
      <c r="C60" s="40">
        <v>1000</v>
      </c>
      <c r="E60" s="25">
        <v>8</v>
      </c>
      <c r="F60" s="41">
        <v>18000</v>
      </c>
      <c r="G60" s="41">
        <f t="shared" si="14"/>
        <v>19601.023999999998</v>
      </c>
      <c r="H60" s="41">
        <f t="shared" si="15"/>
        <v>1601.0239999999976</v>
      </c>
    </row>
    <row r="61" spans="1:8" x14ac:dyDescent="0.25">
      <c r="A61" s="24" t="s">
        <v>41</v>
      </c>
      <c r="B61" s="40">
        <v>100000</v>
      </c>
      <c r="C61" s="40">
        <v>1000</v>
      </c>
      <c r="E61" s="25">
        <v>9</v>
      </c>
      <c r="F61" s="41">
        <v>18000</v>
      </c>
      <c r="G61" s="41">
        <f t="shared" si="14"/>
        <v>20426.151999999998</v>
      </c>
      <c r="H61" s="41">
        <f t="shared" si="15"/>
        <v>2426.1519999999982</v>
      </c>
    </row>
    <row r="62" spans="1:8" x14ac:dyDescent="0.25">
      <c r="E62" s="25">
        <v>10</v>
      </c>
      <c r="F62" s="41">
        <v>18000</v>
      </c>
      <c r="G62" s="41">
        <f t="shared" si="14"/>
        <v>21251.279999999999</v>
      </c>
      <c r="H62" s="41">
        <f t="shared" si="15"/>
        <v>3251.2799999999988</v>
      </c>
    </row>
    <row r="63" spans="1:8" x14ac:dyDescent="0.25">
      <c r="E63" s="25">
        <v>11</v>
      </c>
      <c r="F63" s="41">
        <v>18000</v>
      </c>
      <c r="G63" s="41">
        <f t="shared" si="14"/>
        <v>22076.407999999999</v>
      </c>
      <c r="H63" s="41">
        <f t="shared" si="15"/>
        <v>4076.4079999999994</v>
      </c>
    </row>
    <row r="64" spans="1:8" x14ac:dyDescent="0.25">
      <c r="E64" s="25">
        <v>12</v>
      </c>
      <c r="F64" s="41">
        <v>18000</v>
      </c>
      <c r="G64" s="41">
        <f t="shared" si="14"/>
        <v>22901.536</v>
      </c>
      <c r="H64" s="41">
        <f t="shared" si="15"/>
        <v>4901.5360000000001</v>
      </c>
    </row>
    <row r="66" spans="2:8" ht="45" x14ac:dyDescent="0.25">
      <c r="B66" s="28" t="s">
        <v>39</v>
      </c>
      <c r="C66" s="42">
        <f>SUM(B33:I33)/SUM(B13:I24)</f>
        <v>6275.8592000000008</v>
      </c>
    </row>
    <row r="67" spans="2:8" ht="30" x14ac:dyDescent="0.25">
      <c r="E67" s="80"/>
      <c r="F67" s="81" t="s">
        <v>108</v>
      </c>
      <c r="G67" s="82" t="s">
        <v>105</v>
      </c>
      <c r="H67" s="83" t="s">
        <v>106</v>
      </c>
    </row>
    <row r="68" spans="2:8" x14ac:dyDescent="0.25">
      <c r="E68" s="82" t="s">
        <v>99</v>
      </c>
      <c r="F68" s="78">
        <f>3231*3</f>
        <v>9693</v>
      </c>
      <c r="G68" s="79">
        <f>B3</f>
        <v>5700</v>
      </c>
      <c r="H68" s="84">
        <f>G68/F68</f>
        <v>0.58805323429278866</v>
      </c>
    </row>
    <row r="69" spans="2:8" x14ac:dyDescent="0.25">
      <c r="E69" s="82" t="s">
        <v>104</v>
      </c>
      <c r="F69" s="78">
        <f>4343*3</f>
        <v>13029</v>
      </c>
      <c r="G69" s="79">
        <f>E3</f>
        <v>8400</v>
      </c>
      <c r="H69" s="84">
        <f t="shared" ref="H69:H73" si="16">G69/F69</f>
        <v>0.64471563435413304</v>
      </c>
    </row>
    <row r="70" spans="2:8" x14ac:dyDescent="0.25">
      <c r="E70" s="82" t="s">
        <v>100</v>
      </c>
      <c r="F70" s="78">
        <f>4038*3</f>
        <v>12114</v>
      </c>
      <c r="G70" s="79">
        <f>B4</f>
        <v>6990</v>
      </c>
      <c r="H70" s="84">
        <f t="shared" si="16"/>
        <v>0.57701832590391278</v>
      </c>
    </row>
    <row r="71" spans="2:8" x14ac:dyDescent="0.25">
      <c r="E71" s="82" t="s">
        <v>101</v>
      </c>
      <c r="F71" s="78">
        <f>6678*3</f>
        <v>20034</v>
      </c>
      <c r="G71" s="79">
        <f>E4</f>
        <v>9690</v>
      </c>
      <c r="H71" s="84">
        <f t="shared" si="16"/>
        <v>0.48367774782869122</v>
      </c>
    </row>
    <row r="72" spans="2:8" x14ac:dyDescent="0.25">
      <c r="E72" s="82" t="s">
        <v>102</v>
      </c>
      <c r="F72" s="78">
        <f>4443*3</f>
        <v>13329</v>
      </c>
      <c r="G72" s="79">
        <f>B5</f>
        <v>7500</v>
      </c>
      <c r="H72" s="84">
        <f t="shared" si="16"/>
        <v>0.5626828719333784</v>
      </c>
    </row>
    <row r="73" spans="2:8" x14ac:dyDescent="0.25">
      <c r="E73" s="82" t="s">
        <v>103</v>
      </c>
      <c r="F73" s="78">
        <f>7177*3</f>
        <v>21531</v>
      </c>
      <c r="G73" s="79">
        <f>E5</f>
        <v>10200</v>
      </c>
      <c r="H73" s="84">
        <f t="shared" si="16"/>
        <v>0.47373554409920582</v>
      </c>
    </row>
  </sheetData>
  <mergeCells count="1">
    <mergeCell ref="E50:H50"/>
  </mergeCells>
  <conditionalFormatting sqref="B36:AK36">
    <cfRule type="colorScale" priority="3">
      <colorScale>
        <cfvo type="num" val="0"/>
        <cfvo type="num" val="1000"/>
        <cfvo type="num" val="2000"/>
        <color rgb="FFF8696B"/>
        <color theme="0"/>
        <color rgb="FF63BE7B"/>
      </colorScale>
    </cfRule>
  </conditionalFormatting>
  <conditionalFormatting sqref="H52:H63">
    <cfRule type="colorScale" priority="2">
      <colorScale>
        <cfvo type="num" val="-5000"/>
        <cfvo type="num" val="0"/>
        <cfvo type="num" val="5000"/>
        <color rgb="FFF8696B"/>
        <color theme="0"/>
        <color rgb="FF63BE7B"/>
      </colorScale>
    </cfRule>
  </conditionalFormatting>
  <conditionalFormatting sqref="H64">
    <cfRule type="colorScale" priority="1">
      <colorScale>
        <cfvo type="num" val="-5000"/>
        <cfvo type="num" val="0"/>
        <cfvo type="num" val="5000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5"/>
  <sheetViews>
    <sheetView zoomScale="70" zoomScaleNormal="70" workbookViewId="0">
      <selection activeCell="C36" sqref="C36"/>
    </sheetView>
  </sheetViews>
  <sheetFormatPr defaultRowHeight="15" x14ac:dyDescent="0.25"/>
  <cols>
    <col min="1" max="1" width="51.28515625" customWidth="1"/>
    <col min="2" max="2" width="18.7109375" customWidth="1"/>
    <col min="3" max="3" width="21.85546875" bestFit="1" customWidth="1"/>
    <col min="4" max="4" width="18.7109375" customWidth="1"/>
    <col min="5" max="5" width="21.85546875" bestFit="1" customWidth="1"/>
    <col min="6" max="6" width="18.7109375" customWidth="1"/>
    <col min="7" max="7" width="21.85546875" bestFit="1" customWidth="1"/>
    <col min="8" max="8" width="18.7109375" customWidth="1"/>
    <col min="9" max="9" width="21.85546875" bestFit="1" customWidth="1"/>
    <col min="10" max="10" width="18.7109375" customWidth="1"/>
    <col min="11" max="11" width="21.85546875" bestFit="1" customWidth="1"/>
    <col min="13" max="13" width="21.85546875" bestFit="1" customWidth="1"/>
    <col min="14" max="14" width="10" bestFit="1" customWidth="1"/>
    <col min="15" max="15" width="21.85546875" bestFit="1" customWidth="1"/>
  </cols>
  <sheetData>
    <row r="1" spans="1:17" ht="16.5" thickBot="1" x14ac:dyDescent="0.3">
      <c r="A1" s="50" t="s">
        <v>96</v>
      </c>
      <c r="B1" s="49"/>
      <c r="C1" s="49"/>
    </row>
    <row r="2" spans="1:17" ht="15.75" thickBot="1" x14ac:dyDescent="0.3">
      <c r="A2" s="48"/>
      <c r="B2" s="96" t="s">
        <v>11</v>
      </c>
      <c r="C2" s="97"/>
      <c r="D2" s="96" t="s">
        <v>11</v>
      </c>
      <c r="E2" s="97"/>
      <c r="F2" s="96" t="s">
        <v>11</v>
      </c>
      <c r="G2" s="97"/>
      <c r="H2" s="96" t="s">
        <v>11</v>
      </c>
      <c r="I2" s="97"/>
      <c r="J2" s="96" t="s">
        <v>11</v>
      </c>
      <c r="K2" s="97"/>
      <c r="L2" s="96" t="s">
        <v>11</v>
      </c>
      <c r="M2" s="97"/>
      <c r="N2" s="96" t="s">
        <v>11</v>
      </c>
      <c r="O2" s="97"/>
      <c r="P2" s="96" t="s">
        <v>11</v>
      </c>
      <c r="Q2" s="97"/>
    </row>
    <row r="3" spans="1:17" ht="45.75" thickBot="1" x14ac:dyDescent="0.3">
      <c r="A3" s="59" t="s">
        <v>88</v>
      </c>
      <c r="B3" s="61" t="s">
        <v>43</v>
      </c>
      <c r="C3" s="62" t="s">
        <v>44</v>
      </c>
      <c r="D3" s="61" t="s">
        <v>43</v>
      </c>
      <c r="E3" s="62" t="s">
        <v>44</v>
      </c>
      <c r="F3" s="61" t="s">
        <v>43</v>
      </c>
      <c r="G3" s="62" t="s">
        <v>44</v>
      </c>
      <c r="H3" s="61" t="s">
        <v>43</v>
      </c>
      <c r="I3" s="62" t="s">
        <v>44</v>
      </c>
      <c r="J3" s="61" t="s">
        <v>43</v>
      </c>
      <c r="K3" s="62" t="s">
        <v>44</v>
      </c>
      <c r="L3" s="61" t="s">
        <v>43</v>
      </c>
      <c r="M3" s="62" t="s">
        <v>44</v>
      </c>
      <c r="N3" s="61" t="s">
        <v>43</v>
      </c>
      <c r="O3" s="62" t="s">
        <v>44</v>
      </c>
      <c r="P3" s="61" t="s">
        <v>43</v>
      </c>
      <c r="Q3" s="62" t="s">
        <v>44</v>
      </c>
    </row>
    <row r="4" spans="1:17" ht="30" x14ac:dyDescent="0.25">
      <c r="A4" s="51" t="s">
        <v>45</v>
      </c>
      <c r="B4" s="67">
        <v>40000</v>
      </c>
      <c r="C4" s="68"/>
      <c r="D4" s="67"/>
      <c r="E4" s="68">
        <v>41075</v>
      </c>
      <c r="F4" s="67"/>
      <c r="G4" s="68">
        <v>110000</v>
      </c>
      <c r="H4" s="67"/>
      <c r="I4" s="67">
        <v>55000</v>
      </c>
      <c r="J4" s="67">
        <v>70000</v>
      </c>
      <c r="K4" s="68"/>
      <c r="L4" s="67">
        <v>35000</v>
      </c>
      <c r="M4" s="68"/>
      <c r="N4" s="67">
        <v>35000</v>
      </c>
      <c r="O4" s="68"/>
      <c r="P4" s="67">
        <v>35000</v>
      </c>
      <c r="Q4" s="68"/>
    </row>
    <row r="5" spans="1:17" x14ac:dyDescent="0.25">
      <c r="A5" s="98" t="s">
        <v>46</v>
      </c>
      <c r="B5" s="67"/>
      <c r="C5" s="68"/>
      <c r="D5" s="67"/>
      <c r="E5" s="68"/>
      <c r="F5" s="67"/>
      <c r="G5" s="68"/>
      <c r="H5" s="67"/>
      <c r="I5" s="68"/>
      <c r="J5" s="67"/>
      <c r="K5" s="68"/>
      <c r="L5" s="67"/>
      <c r="M5" s="68"/>
      <c r="N5" s="67"/>
      <c r="O5" s="68"/>
      <c r="P5" s="67"/>
      <c r="Q5" s="68"/>
    </row>
    <row r="6" spans="1:17" x14ac:dyDescent="0.25">
      <c r="A6" s="99"/>
      <c r="B6" s="67"/>
      <c r="C6" s="68"/>
      <c r="D6" s="67"/>
      <c r="E6" s="68"/>
      <c r="F6" s="67"/>
      <c r="G6" s="68"/>
      <c r="H6" s="67"/>
      <c r="I6" s="68"/>
      <c r="J6" s="67"/>
      <c r="K6" s="68"/>
      <c r="L6" s="67"/>
      <c r="M6" s="68"/>
      <c r="N6" s="67"/>
      <c r="O6" s="68"/>
      <c r="P6" s="67"/>
      <c r="Q6" s="68"/>
    </row>
    <row r="7" spans="1:17" x14ac:dyDescent="0.25">
      <c r="A7" s="52" t="s">
        <v>47</v>
      </c>
      <c r="B7" s="67"/>
      <c r="C7" s="68"/>
      <c r="D7" s="67"/>
      <c r="E7" s="68">
        <v>3</v>
      </c>
      <c r="F7" s="67"/>
      <c r="G7" s="68"/>
      <c r="H7" s="67"/>
      <c r="I7" s="68"/>
      <c r="J7" s="67"/>
      <c r="K7" s="68"/>
      <c r="L7" s="67"/>
      <c r="M7" s="68"/>
      <c r="N7" s="67"/>
      <c r="O7" s="68"/>
      <c r="P7" s="67"/>
      <c r="Q7" s="68"/>
    </row>
    <row r="8" spans="1:17" ht="30" x14ac:dyDescent="0.25">
      <c r="A8" s="52" t="s">
        <v>48</v>
      </c>
      <c r="B8" s="67"/>
      <c r="C8" s="68"/>
      <c r="D8" s="67"/>
      <c r="E8" s="68"/>
      <c r="F8" s="67"/>
      <c r="G8" s="68"/>
      <c r="H8" s="67"/>
      <c r="I8" s="68"/>
      <c r="J8" s="67"/>
      <c r="K8" s="68"/>
      <c r="L8" s="67"/>
      <c r="M8" s="68"/>
      <c r="N8" s="67"/>
      <c r="O8" s="68"/>
      <c r="P8" s="67"/>
      <c r="Q8" s="68"/>
    </row>
    <row r="9" spans="1:17" x14ac:dyDescent="0.25">
      <c r="A9" s="52" t="s">
        <v>49</v>
      </c>
      <c r="B9" s="67"/>
      <c r="C9" s="68"/>
      <c r="D9" s="67"/>
      <c r="E9" s="68"/>
      <c r="F9" s="67"/>
      <c r="G9" s="68"/>
      <c r="H9" s="67"/>
      <c r="I9" s="68"/>
      <c r="J9" s="67"/>
      <c r="K9" s="68"/>
      <c r="L9" s="67"/>
      <c r="M9" s="68"/>
      <c r="N9" s="67"/>
      <c r="O9" s="68"/>
      <c r="P9" s="67"/>
      <c r="Q9" s="68"/>
    </row>
    <row r="10" spans="1:17" x14ac:dyDescent="0.25">
      <c r="A10" s="52" t="s">
        <v>50</v>
      </c>
      <c r="B10" s="67"/>
      <c r="C10" s="68"/>
      <c r="D10" s="67"/>
      <c r="E10" s="68"/>
      <c r="F10" s="67"/>
      <c r="G10" s="68"/>
      <c r="H10" s="67"/>
      <c r="I10" s="68"/>
      <c r="J10" s="67"/>
      <c r="K10" s="68"/>
      <c r="L10" s="67"/>
      <c r="M10" s="68"/>
      <c r="N10" s="67"/>
      <c r="O10" s="68"/>
      <c r="P10" s="67"/>
      <c r="Q10" s="68"/>
    </row>
    <row r="11" spans="1:17" ht="30" x14ac:dyDescent="0.25">
      <c r="A11" s="52" t="s">
        <v>51</v>
      </c>
      <c r="B11" s="67"/>
      <c r="C11" s="68"/>
      <c r="D11" s="67"/>
      <c r="E11" s="68"/>
      <c r="F11" s="67"/>
      <c r="G11" s="68"/>
      <c r="H11" s="67"/>
      <c r="I11" s="68"/>
      <c r="J11" s="67"/>
      <c r="K11" s="68"/>
      <c r="L11" s="67"/>
      <c r="M11" s="68"/>
      <c r="N11" s="67"/>
      <c r="O11" s="68"/>
      <c r="P11" s="67"/>
      <c r="Q11" s="68"/>
    </row>
    <row r="12" spans="1:17" x14ac:dyDescent="0.25">
      <c r="A12" s="52" t="s">
        <v>52</v>
      </c>
      <c r="B12" s="67"/>
      <c r="C12" s="68"/>
      <c r="D12" s="67"/>
      <c r="E12" s="68"/>
      <c r="F12" s="67"/>
      <c r="G12" s="68"/>
      <c r="H12" s="67"/>
      <c r="I12" s="68"/>
      <c r="J12" s="67"/>
      <c r="K12" s="68"/>
      <c r="L12" s="67"/>
      <c r="M12" s="68"/>
      <c r="N12" s="67"/>
      <c r="O12" s="68"/>
      <c r="P12" s="67"/>
      <c r="Q12" s="68"/>
    </row>
    <row r="13" spans="1:17" ht="30" x14ac:dyDescent="0.25">
      <c r="A13" s="52" t="s">
        <v>53</v>
      </c>
      <c r="B13" s="67"/>
      <c r="C13" s="68"/>
      <c r="D13" s="67"/>
      <c r="E13" s="68"/>
      <c r="F13" s="67"/>
      <c r="G13" s="68"/>
      <c r="H13" s="67"/>
      <c r="I13" s="68"/>
      <c r="J13" s="67"/>
      <c r="K13" s="68"/>
      <c r="L13" s="67"/>
      <c r="M13" s="68"/>
      <c r="N13" s="67"/>
      <c r="O13" s="68"/>
      <c r="P13" s="67"/>
      <c r="Q13" s="68"/>
    </row>
    <row r="14" spans="1:17" ht="30" x14ac:dyDescent="0.25">
      <c r="A14" s="52" t="s">
        <v>54</v>
      </c>
      <c r="B14" s="67"/>
      <c r="C14" s="68"/>
      <c r="D14" s="67"/>
      <c r="E14" s="68"/>
      <c r="F14" s="67"/>
      <c r="G14" s="68"/>
      <c r="H14" s="67"/>
      <c r="I14" s="68"/>
      <c r="J14" s="67"/>
      <c r="K14" s="68"/>
      <c r="L14" s="67"/>
      <c r="M14" s="68"/>
      <c r="N14" s="67"/>
      <c r="O14" s="68"/>
      <c r="P14" s="67"/>
      <c r="Q14" s="68"/>
    </row>
    <row r="15" spans="1:17" ht="45" x14ac:dyDescent="0.25">
      <c r="A15" s="52" t="s">
        <v>55</v>
      </c>
      <c r="B15" s="67"/>
      <c r="C15" s="68"/>
      <c r="D15" s="67"/>
      <c r="E15" s="68"/>
      <c r="F15" s="67"/>
      <c r="G15" s="68"/>
      <c r="H15" s="67"/>
      <c r="I15" s="68"/>
      <c r="J15" s="67"/>
      <c r="K15" s="68"/>
      <c r="L15" s="67"/>
      <c r="M15" s="68"/>
      <c r="N15" s="67"/>
      <c r="O15" s="68"/>
      <c r="P15" s="67"/>
      <c r="Q15" s="68"/>
    </row>
    <row r="16" spans="1:17" ht="15.75" thickBot="1" x14ac:dyDescent="0.3">
      <c r="A16" s="53"/>
      <c r="B16" s="63"/>
      <c r="C16" s="64"/>
      <c r="D16" s="63"/>
      <c r="E16" s="64"/>
      <c r="F16" s="63"/>
      <c r="G16" s="64"/>
      <c r="H16" s="63"/>
      <c r="I16" s="64"/>
      <c r="J16" s="63"/>
      <c r="K16" s="64"/>
      <c r="L16" s="63"/>
      <c r="M16" s="64"/>
      <c r="N16" s="63"/>
      <c r="O16" s="64"/>
      <c r="P16" s="63"/>
      <c r="Q16" s="64"/>
    </row>
    <row r="17" spans="1:17" ht="15.75" thickBot="1" x14ac:dyDescent="0.3">
      <c r="A17" s="59" t="s">
        <v>89</v>
      </c>
      <c r="B17" s="61" t="s">
        <v>43</v>
      </c>
      <c r="C17" s="62" t="s">
        <v>44</v>
      </c>
      <c r="D17" s="61" t="s">
        <v>43</v>
      </c>
      <c r="E17" s="62" t="s">
        <v>44</v>
      </c>
      <c r="F17" s="61" t="s">
        <v>43</v>
      </c>
      <c r="G17" s="62" t="s">
        <v>44</v>
      </c>
      <c r="H17" s="61" t="s">
        <v>43</v>
      </c>
      <c r="I17" s="62" t="s">
        <v>44</v>
      </c>
      <c r="J17" s="61" t="s">
        <v>43</v>
      </c>
      <c r="K17" s="62" t="s">
        <v>44</v>
      </c>
      <c r="L17" s="61" t="s">
        <v>43</v>
      </c>
      <c r="M17" s="62" t="s">
        <v>44</v>
      </c>
      <c r="N17" s="61" t="s">
        <v>43</v>
      </c>
      <c r="O17" s="62" t="s">
        <v>44</v>
      </c>
      <c r="P17" s="61" t="s">
        <v>43</v>
      </c>
      <c r="Q17" s="62" t="s">
        <v>44</v>
      </c>
    </row>
    <row r="18" spans="1:17" ht="30" x14ac:dyDescent="0.25">
      <c r="A18" s="51" t="s">
        <v>56</v>
      </c>
      <c r="B18" s="67"/>
      <c r="C18" s="68">
        <v>4943</v>
      </c>
      <c r="D18" s="68">
        <f>IF(AND(D4&gt;19999, D4&lt;29999), D4*11/100, IF(AND(D4&gt;29999, D4&lt;39999), D4*12/100, IF(AND(D4&gt;39999, D4&lt;49999), D4*15/100, IF(AND(D4&gt;49999, D4&lt;59999), D4*19/100, IF(AND(D4&gt;59999, D4&lt;69999), D4*22/100, 0)))))</f>
        <v>0</v>
      </c>
      <c r="E18" s="68">
        <v>24078</v>
      </c>
      <c r="F18" s="68">
        <f>IF(AND(F4&gt;19999, F4&lt;29999), F4*11/100, IF(AND(F4&gt;29999, F4&lt;39999), F4*12/100, IF(AND(F4&gt;39999, F4&lt;49999), F4*15/100, IF(AND(F4&gt;49999, F4&lt;59999), F4*19/100, IF(AND(F4&gt;59999, F4&lt;69999), F4*22/100, 0)))))</f>
        <v>0</v>
      </c>
      <c r="G18" s="68">
        <v>25000</v>
      </c>
      <c r="H18" s="68">
        <f>IF(AND(H4&gt;19999, H4&lt;29999), H4*11/100, IF(AND(H4&gt;29999, H4&lt;39999), H4*12/100, IF(AND(H4&gt;39999, H4&lt;49999), H4*15/100, IF(AND(H4&gt;49999, H4&lt;59999), H4*19/100, IF(AND(H4&gt;59999, H4&lt;69999), H4*22/100, 0)))))</f>
        <v>0</v>
      </c>
      <c r="I18" s="68">
        <f>IF(AND(I4&gt;19999, I4&lt;29999), I4*11/100, IF(AND(I4&gt;29999, I4&lt;39999), I4*12/100, IF(AND(I4&gt;39999, I4&lt;49999), I4*15/100, IF(AND(I4&gt;49999, I4&lt;59999), I4*17/100, IF(AND(I4&gt;59999, I4&lt;69999), I4*22/100, 0)))))</f>
        <v>9350</v>
      </c>
      <c r="J18" s="68">
        <f>IF(AND(J4&gt;19999, J4&lt;29999), J4*11/100, IF(AND(J4&gt;29999, J4&lt;39999), J4*12/100, IF(AND(J4&gt;39999, J4&lt;49999), J4*15/100, IF(AND(J4&gt;49999, J4&lt;59999), J4*19/100, IF(AND(J4&gt;59999, J4&lt;69999), J4*22/100, 0)))))</f>
        <v>0</v>
      </c>
      <c r="K18" s="68">
        <f>IF(AND(K4&gt;19999, K4&lt;29999), K4*11/100, IF(AND(K4&gt;29999, K4&lt;39999), K4*12/100, IF(AND(K4&gt;39999, K4&lt;49999), K4*15/100, IF(AND(K4&gt;49999, K4&lt;59999), K4*19/100, IF(AND(K4&gt;59999, K4&lt;69999), K4*22/100, 0)))))</f>
        <v>0</v>
      </c>
      <c r="L18" s="68">
        <f t="shared" ref="L18:Q18" si="0">IF(AND(L4&gt;19999, L4&lt;29999), L4*11/100, IF(AND(L4&gt;29999, L4&lt;39999), L4*12/100, IF(AND(L4&gt;39999, L4&lt;49999), L4*16/100, IF(AND(L4&gt;49999, L4&lt;59999), L4*19/100, IF(AND(L4&gt;59999, L4&lt;69999), L4*22/100, 0)))))</f>
        <v>4200</v>
      </c>
      <c r="M18" s="68">
        <f t="shared" si="0"/>
        <v>0</v>
      </c>
      <c r="N18" s="68">
        <f t="shared" si="0"/>
        <v>4200</v>
      </c>
      <c r="O18" s="68">
        <f t="shared" si="0"/>
        <v>0</v>
      </c>
      <c r="P18" s="68">
        <f t="shared" si="0"/>
        <v>4200</v>
      </c>
      <c r="Q18" s="68">
        <f t="shared" si="0"/>
        <v>0</v>
      </c>
    </row>
    <row r="19" spans="1:17" x14ac:dyDescent="0.25">
      <c r="A19" s="52" t="s">
        <v>57</v>
      </c>
      <c r="B19" s="67"/>
      <c r="C19" s="68">
        <v>3078.85</v>
      </c>
      <c r="D19" s="67"/>
      <c r="E19" s="68"/>
      <c r="F19" s="67"/>
      <c r="G19" s="68">
        <f>G18/2</f>
        <v>12500</v>
      </c>
      <c r="H19" s="67"/>
      <c r="I19" s="68">
        <v>3500</v>
      </c>
      <c r="J19" s="67"/>
      <c r="K19" s="68">
        <v>2000</v>
      </c>
      <c r="L19" s="67"/>
      <c r="M19" s="68">
        <v>3078.85</v>
      </c>
      <c r="N19" s="67"/>
      <c r="O19" s="68">
        <v>3078.85</v>
      </c>
      <c r="P19" s="67"/>
      <c r="Q19" s="68">
        <v>3078.85</v>
      </c>
    </row>
    <row r="20" spans="1:17" x14ac:dyDescent="0.25">
      <c r="A20" s="52" t="s">
        <v>110</v>
      </c>
      <c r="B20" s="67"/>
      <c r="C20" s="68">
        <v>0</v>
      </c>
      <c r="D20" s="67"/>
      <c r="E20" s="68"/>
      <c r="F20" s="67"/>
      <c r="G20" s="68"/>
      <c r="H20" s="67"/>
      <c r="I20" s="68"/>
      <c r="J20" s="67"/>
      <c r="K20" s="68"/>
      <c r="L20" s="67"/>
      <c r="M20" s="68"/>
      <c r="N20" s="67"/>
      <c r="O20" s="68"/>
      <c r="P20" s="67"/>
      <c r="Q20" s="68"/>
    </row>
    <row r="21" spans="1:17" ht="30" x14ac:dyDescent="0.25">
      <c r="A21" s="52" t="s">
        <v>58</v>
      </c>
      <c r="B21" s="67"/>
      <c r="C21" s="68">
        <v>0</v>
      </c>
      <c r="D21" s="67"/>
      <c r="E21" s="68"/>
      <c r="F21" s="67"/>
      <c r="G21" s="68">
        <v>10000</v>
      </c>
      <c r="H21" s="67"/>
      <c r="I21" s="68">
        <f>7200</f>
        <v>7200</v>
      </c>
      <c r="J21" s="67"/>
      <c r="K21" s="68">
        <f>7200</f>
        <v>7200</v>
      </c>
      <c r="L21" s="67"/>
      <c r="M21" s="68">
        <f>7200</f>
        <v>7200</v>
      </c>
      <c r="N21" s="67"/>
      <c r="O21" s="68">
        <f>7200</f>
        <v>7200</v>
      </c>
      <c r="P21" s="67"/>
      <c r="Q21" s="68">
        <f>7200</f>
        <v>7200</v>
      </c>
    </row>
    <row r="22" spans="1:17" x14ac:dyDescent="0.25">
      <c r="A22" s="52" t="s">
        <v>59</v>
      </c>
      <c r="B22" s="67"/>
      <c r="C22" s="68">
        <v>0</v>
      </c>
      <c r="D22" s="67"/>
      <c r="E22" s="68"/>
      <c r="F22" s="67"/>
      <c r="G22" s="68"/>
      <c r="H22" s="67"/>
      <c r="I22" s="68"/>
      <c r="J22" s="67"/>
      <c r="K22" s="68"/>
      <c r="L22" s="67"/>
      <c r="M22" s="68"/>
      <c r="N22" s="67"/>
      <c r="O22" s="68"/>
      <c r="P22" s="67"/>
      <c r="Q22" s="68"/>
    </row>
    <row r="23" spans="1:17" ht="30" x14ac:dyDescent="0.25">
      <c r="A23" s="52" t="s">
        <v>60</v>
      </c>
      <c r="B23" s="67"/>
      <c r="C23" s="68">
        <v>0</v>
      </c>
      <c r="D23" s="67"/>
      <c r="E23" s="68"/>
      <c r="F23" s="67"/>
      <c r="G23" s="68"/>
      <c r="H23" s="67"/>
      <c r="I23" s="68"/>
      <c r="J23" s="67"/>
      <c r="K23" s="68"/>
      <c r="L23" s="67"/>
      <c r="M23" s="68"/>
      <c r="N23" s="67"/>
      <c r="O23" s="68"/>
      <c r="P23" s="67"/>
      <c r="Q23" s="68"/>
    </row>
    <row r="24" spans="1:17" x14ac:dyDescent="0.25">
      <c r="A24" s="54" t="s">
        <v>61</v>
      </c>
      <c r="B24" s="67"/>
      <c r="C24" s="68">
        <v>0</v>
      </c>
      <c r="D24" s="67"/>
      <c r="E24" s="68"/>
      <c r="F24" s="67"/>
      <c r="G24" s="68"/>
      <c r="H24" s="67"/>
      <c r="I24" s="68"/>
      <c r="J24" s="67"/>
      <c r="K24" s="68"/>
      <c r="L24" s="67"/>
      <c r="M24" s="68"/>
      <c r="N24" s="67"/>
      <c r="O24" s="68"/>
      <c r="P24" s="67"/>
      <c r="Q24" s="68"/>
    </row>
    <row r="25" spans="1:17" x14ac:dyDescent="0.25">
      <c r="A25" s="54" t="s">
        <v>62</v>
      </c>
      <c r="B25" s="67"/>
      <c r="C25" s="68">
        <f>153.6*12</f>
        <v>1843.1999999999998</v>
      </c>
      <c r="D25" s="67"/>
      <c r="E25" s="68"/>
      <c r="F25" s="67"/>
      <c r="G25" s="68">
        <v>1800</v>
      </c>
      <c r="H25" s="67"/>
      <c r="I25" s="68">
        <v>1800</v>
      </c>
      <c r="J25" s="67"/>
      <c r="K25" s="68">
        <f>153.6*12</f>
        <v>1843.1999999999998</v>
      </c>
      <c r="L25" s="67"/>
      <c r="M25" s="68">
        <v>1500</v>
      </c>
      <c r="N25" s="67"/>
      <c r="O25" s="68">
        <v>1500</v>
      </c>
      <c r="P25" s="67"/>
      <c r="Q25" s="68">
        <v>1500</v>
      </c>
    </row>
    <row r="26" spans="1:17" x14ac:dyDescent="0.25">
      <c r="A26" s="54" t="s">
        <v>63</v>
      </c>
      <c r="B26" s="67"/>
      <c r="C26" s="68">
        <f>277.62+(60*12)+(40*12)</f>
        <v>1477.62</v>
      </c>
      <c r="D26" s="67"/>
      <c r="E26" s="68"/>
      <c r="F26" s="67"/>
      <c r="G26" s="68">
        <f>145*12</f>
        <v>1740</v>
      </c>
      <c r="H26" s="67"/>
      <c r="I26" s="68">
        <f>145*12</f>
        <v>1740</v>
      </c>
      <c r="J26" s="67"/>
      <c r="K26" s="68">
        <f>145*12</f>
        <v>1740</v>
      </c>
      <c r="L26" s="67"/>
      <c r="M26" s="68">
        <f>145*12</f>
        <v>1740</v>
      </c>
      <c r="N26" s="67"/>
      <c r="O26" s="68">
        <f>145*12</f>
        <v>1740</v>
      </c>
      <c r="P26" s="67"/>
      <c r="Q26" s="68">
        <f>145*12</f>
        <v>1740</v>
      </c>
    </row>
    <row r="27" spans="1:17" x14ac:dyDescent="0.25">
      <c r="A27" s="54" t="s">
        <v>64</v>
      </c>
      <c r="B27" s="67"/>
      <c r="C27" s="68">
        <f>154*12</f>
        <v>1848</v>
      </c>
      <c r="D27" s="67"/>
      <c r="E27" s="68"/>
      <c r="F27" s="67"/>
      <c r="G27" s="68">
        <f>145*12</f>
        <v>1740</v>
      </c>
      <c r="H27" s="67"/>
      <c r="I27" s="68">
        <f>145*12</f>
        <v>1740</v>
      </c>
      <c r="J27" s="67"/>
      <c r="K27" s="68">
        <f>145*12</f>
        <v>1740</v>
      </c>
      <c r="L27" s="67"/>
      <c r="M27" s="68">
        <f>145*12</f>
        <v>1740</v>
      </c>
      <c r="N27" s="67"/>
      <c r="O27" s="68">
        <f>145*12</f>
        <v>1740</v>
      </c>
      <c r="P27" s="67"/>
      <c r="Q27" s="68">
        <f>145*12</f>
        <v>1740</v>
      </c>
    </row>
    <row r="28" spans="1:17" x14ac:dyDescent="0.25">
      <c r="A28" s="54" t="s">
        <v>65</v>
      </c>
      <c r="B28" s="67"/>
      <c r="C28" s="68">
        <f>360+27*12</f>
        <v>684</v>
      </c>
      <c r="D28" s="67"/>
      <c r="E28" s="68"/>
      <c r="F28" s="67"/>
      <c r="G28" s="68">
        <f>2400</f>
        <v>2400</v>
      </c>
      <c r="H28" s="67"/>
      <c r="I28" s="68">
        <f>2400</f>
        <v>2400</v>
      </c>
      <c r="J28" s="67"/>
      <c r="K28" s="68">
        <f>1200</f>
        <v>1200</v>
      </c>
      <c r="L28" s="67"/>
      <c r="M28" s="68">
        <f>2400</f>
        <v>2400</v>
      </c>
      <c r="N28" s="67"/>
      <c r="O28" s="68">
        <f>2400</f>
        <v>2400</v>
      </c>
      <c r="P28" s="67"/>
      <c r="Q28" s="68">
        <f>2400</f>
        <v>2400</v>
      </c>
    </row>
    <row r="29" spans="1:17" ht="15.75" thickBot="1" x14ac:dyDescent="0.3">
      <c r="A29" s="55"/>
      <c r="B29" s="63"/>
      <c r="C29" s="64"/>
      <c r="D29" s="63"/>
      <c r="E29" s="64"/>
      <c r="F29" s="63"/>
      <c r="G29" s="64"/>
      <c r="H29" s="63"/>
      <c r="I29" s="64"/>
      <c r="J29" s="63"/>
      <c r="K29" s="64"/>
      <c r="L29" s="63"/>
      <c r="M29" s="64"/>
      <c r="N29" s="63"/>
      <c r="O29" s="64"/>
      <c r="P29" s="63"/>
      <c r="Q29" s="64"/>
    </row>
    <row r="30" spans="1:17" ht="15.75" thickBot="1" x14ac:dyDescent="0.3">
      <c r="A30" s="60" t="s">
        <v>90</v>
      </c>
      <c r="B30" s="61" t="s">
        <v>43</v>
      </c>
      <c r="C30" s="62" t="s">
        <v>44</v>
      </c>
      <c r="D30" s="61" t="s">
        <v>43</v>
      </c>
      <c r="E30" s="62" t="s">
        <v>44</v>
      </c>
      <c r="F30" s="61" t="s">
        <v>43</v>
      </c>
      <c r="G30" s="62" t="s">
        <v>44</v>
      </c>
      <c r="H30" s="61" t="s">
        <v>43</v>
      </c>
      <c r="I30" s="62" t="s">
        <v>44</v>
      </c>
      <c r="J30" s="61" t="s">
        <v>43</v>
      </c>
      <c r="K30" s="62" t="s">
        <v>44</v>
      </c>
      <c r="L30" s="61" t="s">
        <v>43</v>
      </c>
      <c r="M30" s="62" t="s">
        <v>44</v>
      </c>
      <c r="N30" s="61" t="s">
        <v>43</v>
      </c>
      <c r="O30" s="62" t="s">
        <v>44</v>
      </c>
      <c r="P30" s="61" t="s">
        <v>43</v>
      </c>
      <c r="Q30" s="62" t="s">
        <v>44</v>
      </c>
    </row>
    <row r="31" spans="1:17" x14ac:dyDescent="0.25">
      <c r="A31" s="56" t="s">
        <v>66</v>
      </c>
      <c r="B31" s="67"/>
      <c r="C31" s="68"/>
      <c r="D31" s="67"/>
      <c r="E31" s="68"/>
      <c r="F31" s="67"/>
      <c r="G31" s="68"/>
      <c r="H31" s="67"/>
      <c r="I31" s="68"/>
      <c r="J31" s="67"/>
      <c r="K31" s="68"/>
      <c r="L31" s="67"/>
      <c r="M31" s="68"/>
      <c r="N31" s="67"/>
      <c r="O31" s="68"/>
      <c r="P31" s="67"/>
      <c r="Q31" s="68"/>
    </row>
    <row r="32" spans="1:17" x14ac:dyDescent="0.25">
      <c r="A32" s="54" t="s">
        <v>67</v>
      </c>
      <c r="B32" s="67"/>
      <c r="C32" s="68"/>
      <c r="D32" s="67"/>
      <c r="E32" s="68"/>
      <c r="F32" s="67"/>
      <c r="G32" s="68"/>
      <c r="H32" s="67"/>
      <c r="I32" s="68"/>
      <c r="J32" s="67"/>
      <c r="K32" s="68"/>
      <c r="L32" s="67"/>
      <c r="M32" s="68"/>
      <c r="N32" s="67"/>
      <c r="O32" s="68"/>
      <c r="P32" s="67"/>
      <c r="Q32" s="68"/>
    </row>
    <row r="33" spans="1:17" ht="30" x14ac:dyDescent="0.25">
      <c r="A33" s="54" t="s">
        <v>68</v>
      </c>
      <c r="B33" s="67">
        <v>1</v>
      </c>
      <c r="C33" s="68">
        <v>2</v>
      </c>
      <c r="D33" s="67">
        <v>1</v>
      </c>
      <c r="E33" s="68">
        <v>2</v>
      </c>
      <c r="F33" s="67">
        <v>1</v>
      </c>
      <c r="G33" s="68">
        <v>2</v>
      </c>
      <c r="H33" s="67">
        <v>1</v>
      </c>
      <c r="I33" s="68">
        <v>2</v>
      </c>
      <c r="J33" s="67">
        <v>1</v>
      </c>
      <c r="K33" s="68">
        <v>2</v>
      </c>
      <c r="L33" s="67">
        <v>1</v>
      </c>
      <c r="M33" s="68">
        <v>2</v>
      </c>
      <c r="N33" s="67">
        <v>1</v>
      </c>
      <c r="O33" s="68">
        <v>2</v>
      </c>
      <c r="P33" s="67">
        <v>1</v>
      </c>
      <c r="Q33" s="68">
        <v>2</v>
      </c>
    </row>
    <row r="34" spans="1:17" x14ac:dyDescent="0.25">
      <c r="A34" s="54" t="s">
        <v>69</v>
      </c>
      <c r="B34" s="67"/>
      <c r="C34" s="68"/>
      <c r="D34" s="67"/>
      <c r="E34" s="68"/>
      <c r="F34" s="67"/>
      <c r="G34" s="68"/>
      <c r="H34" s="67"/>
      <c r="I34" s="68"/>
      <c r="J34" s="67"/>
      <c r="K34" s="68"/>
      <c r="L34" s="67"/>
      <c r="M34" s="68"/>
      <c r="N34" s="67"/>
      <c r="O34" s="68"/>
      <c r="P34" s="67"/>
      <c r="Q34" s="68"/>
    </row>
    <row r="35" spans="1:17" x14ac:dyDescent="0.25">
      <c r="A35" s="54" t="s">
        <v>70</v>
      </c>
      <c r="B35" s="67"/>
      <c r="C35" s="68"/>
      <c r="D35" s="67"/>
      <c r="E35" s="68"/>
      <c r="F35" s="67"/>
      <c r="G35" s="68"/>
      <c r="H35" s="67"/>
      <c r="I35" s="68"/>
      <c r="J35" s="67"/>
      <c r="K35" s="68"/>
      <c r="L35" s="67"/>
      <c r="M35" s="68"/>
      <c r="N35" s="67"/>
      <c r="O35" s="68"/>
      <c r="P35" s="67"/>
      <c r="Q35" s="68"/>
    </row>
    <row r="36" spans="1:17" ht="30" x14ac:dyDescent="0.25">
      <c r="A36" s="54" t="s">
        <v>71</v>
      </c>
      <c r="B36" s="67"/>
      <c r="C36" s="68"/>
      <c r="D36" s="67"/>
      <c r="E36" s="68"/>
      <c r="F36" s="67"/>
      <c r="G36" s="68"/>
      <c r="H36" s="67"/>
      <c r="I36" s="68"/>
      <c r="J36" s="67"/>
      <c r="K36" s="68"/>
      <c r="L36" s="67"/>
      <c r="M36" s="68"/>
      <c r="N36" s="67"/>
      <c r="O36" s="68"/>
      <c r="P36" s="67"/>
      <c r="Q36" s="68"/>
    </row>
    <row r="37" spans="1:17" ht="30" x14ac:dyDescent="0.25">
      <c r="A37" s="54" t="s">
        <v>72</v>
      </c>
      <c r="B37" s="67"/>
      <c r="C37" s="68"/>
      <c r="D37" s="67"/>
      <c r="E37" s="68"/>
      <c r="F37" s="67"/>
      <c r="G37" s="68"/>
      <c r="H37" s="67"/>
      <c r="I37" s="68"/>
      <c r="J37" s="67"/>
      <c r="K37" s="68"/>
      <c r="L37" s="67"/>
      <c r="M37" s="68"/>
      <c r="N37" s="67"/>
      <c r="O37" s="68"/>
      <c r="P37" s="67"/>
      <c r="Q37" s="68"/>
    </row>
    <row r="38" spans="1:17" ht="30" x14ac:dyDescent="0.25">
      <c r="A38" s="54" t="s">
        <v>73</v>
      </c>
      <c r="B38" s="67"/>
      <c r="C38" s="68"/>
      <c r="D38" s="67"/>
      <c r="E38" s="68"/>
      <c r="F38" s="67"/>
      <c r="G38" s="68"/>
      <c r="H38" s="67"/>
      <c r="I38" s="68"/>
      <c r="J38" s="67"/>
      <c r="K38" s="68"/>
      <c r="L38" s="67"/>
      <c r="M38" s="68"/>
      <c r="N38" s="67"/>
      <c r="O38" s="68"/>
      <c r="P38" s="67"/>
      <c r="Q38" s="68"/>
    </row>
    <row r="39" spans="1:17" ht="45" x14ac:dyDescent="0.25">
      <c r="A39" s="57" t="s">
        <v>74</v>
      </c>
      <c r="B39" s="67"/>
      <c r="C39" s="68"/>
      <c r="D39" s="67"/>
      <c r="E39" s="68"/>
      <c r="F39" s="67"/>
      <c r="G39" s="68"/>
      <c r="H39" s="67"/>
      <c r="I39" s="68"/>
      <c r="J39" s="67"/>
      <c r="K39" s="68"/>
      <c r="L39" s="67"/>
      <c r="M39" s="68"/>
      <c r="N39" s="67"/>
      <c r="O39" s="68"/>
      <c r="P39" s="67"/>
      <c r="Q39" s="68"/>
    </row>
    <row r="40" spans="1:17" ht="30" x14ac:dyDescent="0.25">
      <c r="A40" s="54" t="s">
        <v>75</v>
      </c>
      <c r="B40" s="67"/>
      <c r="C40" s="68"/>
      <c r="D40" s="67"/>
      <c r="E40" s="68"/>
      <c r="F40" s="67"/>
      <c r="G40" s="68"/>
      <c r="H40" s="67"/>
      <c r="I40" s="68"/>
      <c r="J40" s="67"/>
      <c r="K40" s="68"/>
      <c r="L40" s="67"/>
      <c r="M40" s="68"/>
      <c r="N40" s="67"/>
      <c r="O40" s="68"/>
      <c r="P40" s="67"/>
      <c r="Q40" s="68"/>
    </row>
    <row r="41" spans="1:17" ht="30" x14ac:dyDescent="0.25">
      <c r="A41" s="54" t="s">
        <v>76</v>
      </c>
      <c r="B41" s="67"/>
      <c r="C41" s="68"/>
      <c r="D41" s="67"/>
      <c r="E41" s="68"/>
      <c r="F41" s="67"/>
      <c r="G41" s="68"/>
      <c r="H41" s="67"/>
      <c r="I41" s="68"/>
      <c r="J41" s="67"/>
      <c r="K41" s="68"/>
      <c r="L41" s="67"/>
      <c r="M41" s="68"/>
      <c r="N41" s="67"/>
      <c r="O41" s="68"/>
      <c r="P41" s="67"/>
      <c r="Q41" s="68"/>
    </row>
    <row r="42" spans="1:17" ht="30" x14ac:dyDescent="0.25">
      <c r="A42" s="54" t="s">
        <v>77</v>
      </c>
      <c r="B42" s="67"/>
      <c r="C42" s="68"/>
      <c r="D42" s="67"/>
      <c r="E42" s="68"/>
      <c r="F42" s="67"/>
      <c r="G42" s="68"/>
      <c r="H42" s="67"/>
      <c r="I42" s="68"/>
      <c r="J42" s="67"/>
      <c r="K42" s="68"/>
      <c r="L42" s="67"/>
      <c r="M42" s="68"/>
      <c r="N42" s="67"/>
      <c r="O42" s="68"/>
      <c r="P42" s="67"/>
      <c r="Q42" s="68"/>
    </row>
    <row r="43" spans="1:17" x14ac:dyDescent="0.25">
      <c r="A43" s="54" t="s">
        <v>78</v>
      </c>
      <c r="B43" s="67"/>
      <c r="C43" s="68"/>
      <c r="D43" s="67"/>
      <c r="E43" s="68"/>
      <c r="F43" s="67"/>
      <c r="G43" s="68"/>
      <c r="H43" s="67"/>
      <c r="I43" s="68"/>
      <c r="J43" s="67"/>
      <c r="K43" s="68"/>
      <c r="L43" s="67"/>
      <c r="M43" s="68"/>
      <c r="N43" s="67"/>
      <c r="O43" s="68"/>
      <c r="P43" s="67"/>
      <c r="Q43" s="68"/>
    </row>
    <row r="44" spans="1:17" ht="45" x14ac:dyDescent="0.25">
      <c r="A44" s="54" t="s">
        <v>79</v>
      </c>
      <c r="B44" s="67"/>
      <c r="C44" s="68"/>
      <c r="D44" s="67"/>
      <c r="E44" s="68"/>
      <c r="F44" s="67"/>
      <c r="G44" s="68"/>
      <c r="H44" s="67"/>
      <c r="I44" s="68"/>
      <c r="J44" s="67"/>
      <c r="K44" s="68"/>
      <c r="L44" s="67"/>
      <c r="M44" s="68"/>
      <c r="N44" s="67"/>
      <c r="O44" s="68"/>
      <c r="P44" s="67"/>
      <c r="Q44" s="68"/>
    </row>
    <row r="45" spans="1:17" ht="15.75" thickBot="1" x14ac:dyDescent="0.3">
      <c r="A45" s="55"/>
      <c r="B45" s="63"/>
      <c r="C45" s="64"/>
      <c r="D45" s="63"/>
      <c r="E45" s="64"/>
      <c r="F45" s="63"/>
      <c r="G45" s="64"/>
      <c r="H45" s="63"/>
      <c r="I45" s="64"/>
      <c r="J45" s="63"/>
      <c r="K45" s="64"/>
      <c r="L45" s="63"/>
      <c r="M45" s="64"/>
      <c r="N45" s="63"/>
      <c r="O45" s="64"/>
      <c r="P45" s="63"/>
      <c r="Q45" s="64"/>
    </row>
    <row r="46" spans="1:17" ht="15.75" thickBot="1" x14ac:dyDescent="0.3">
      <c r="A46" s="60" t="s">
        <v>91</v>
      </c>
      <c r="B46" s="61" t="s">
        <v>43</v>
      </c>
      <c r="C46" s="62" t="s">
        <v>44</v>
      </c>
      <c r="D46" s="61" t="s">
        <v>43</v>
      </c>
      <c r="E46" s="62" t="s">
        <v>44</v>
      </c>
      <c r="F46" s="61" t="s">
        <v>43</v>
      </c>
      <c r="G46" s="62" t="s">
        <v>44</v>
      </c>
      <c r="H46" s="61" t="s">
        <v>43</v>
      </c>
      <c r="I46" s="62" t="s">
        <v>44</v>
      </c>
      <c r="J46" s="61" t="s">
        <v>43</v>
      </c>
      <c r="K46" s="62" t="s">
        <v>44</v>
      </c>
      <c r="L46" s="61" t="s">
        <v>43</v>
      </c>
      <c r="M46" s="62" t="s">
        <v>44</v>
      </c>
      <c r="N46" s="61" t="s">
        <v>43</v>
      </c>
      <c r="O46" s="62" t="s">
        <v>44</v>
      </c>
      <c r="P46" s="61" t="s">
        <v>43</v>
      </c>
      <c r="Q46" s="62" t="s">
        <v>44</v>
      </c>
    </row>
    <row r="47" spans="1:17" x14ac:dyDescent="0.25">
      <c r="A47" s="54" t="s">
        <v>80</v>
      </c>
      <c r="B47" s="69"/>
      <c r="C47" s="70"/>
      <c r="D47" s="69"/>
      <c r="E47" s="70"/>
      <c r="F47" s="69"/>
      <c r="G47" s="70"/>
      <c r="H47" s="69"/>
      <c r="I47" s="70"/>
      <c r="J47" s="69"/>
      <c r="K47" s="70"/>
      <c r="L47" s="69"/>
      <c r="M47" s="70"/>
      <c r="N47" s="69"/>
      <c r="O47" s="70"/>
      <c r="P47" s="69"/>
      <c r="Q47" s="70"/>
    </row>
    <row r="48" spans="1:17" x14ac:dyDescent="0.25">
      <c r="A48" s="54" t="s">
        <v>81</v>
      </c>
      <c r="B48" s="67"/>
      <c r="C48" s="68"/>
      <c r="D48" s="67"/>
      <c r="E48" s="68"/>
      <c r="F48" s="67"/>
      <c r="G48" s="68"/>
      <c r="H48" s="67"/>
      <c r="I48" s="68"/>
      <c r="J48" s="67"/>
      <c r="K48" s="68"/>
      <c r="L48" s="67"/>
      <c r="M48" s="68"/>
      <c r="N48" s="67"/>
      <c r="O48" s="68"/>
      <c r="P48" s="67"/>
      <c r="Q48" s="68"/>
    </row>
    <row r="49" spans="1:17" ht="30" x14ac:dyDescent="0.25">
      <c r="A49" s="54" t="s">
        <v>82</v>
      </c>
      <c r="B49" s="67"/>
      <c r="C49" s="68"/>
      <c r="D49" s="67"/>
      <c r="E49" s="68"/>
      <c r="F49" s="67"/>
      <c r="G49" s="68"/>
      <c r="H49" s="67"/>
      <c r="I49" s="68"/>
      <c r="J49" s="67"/>
      <c r="K49" s="68"/>
      <c r="L49" s="67"/>
      <c r="M49" s="68"/>
      <c r="N49" s="67"/>
      <c r="O49" s="68"/>
      <c r="P49" s="67"/>
      <c r="Q49" s="68"/>
    </row>
    <row r="50" spans="1:17" ht="15.75" thickBot="1" x14ac:dyDescent="0.3">
      <c r="A50" s="55"/>
      <c r="B50" s="63"/>
      <c r="C50" s="64"/>
      <c r="D50" s="63"/>
      <c r="E50" s="64"/>
      <c r="F50" s="63"/>
      <c r="G50" s="64"/>
      <c r="H50" s="63"/>
      <c r="I50" s="64"/>
      <c r="J50" s="63"/>
      <c r="K50" s="64"/>
      <c r="L50" s="63"/>
      <c r="M50" s="64"/>
      <c r="N50" s="63"/>
      <c r="O50" s="64"/>
      <c r="P50" s="63"/>
      <c r="Q50" s="64"/>
    </row>
    <row r="51" spans="1:17" ht="15.75" thickBot="1" x14ac:dyDescent="0.3">
      <c r="A51" s="60" t="s">
        <v>92</v>
      </c>
      <c r="B51" s="61" t="s">
        <v>43</v>
      </c>
      <c r="C51" s="62" t="s">
        <v>44</v>
      </c>
      <c r="D51" s="61" t="s">
        <v>43</v>
      </c>
      <c r="E51" s="62" t="s">
        <v>44</v>
      </c>
      <c r="F51" s="61" t="s">
        <v>43</v>
      </c>
      <c r="G51" s="62" t="s">
        <v>44</v>
      </c>
      <c r="H51" s="61" t="s">
        <v>43</v>
      </c>
      <c r="I51" s="62" t="s">
        <v>44</v>
      </c>
      <c r="J51" s="61" t="s">
        <v>43</v>
      </c>
      <c r="K51" s="62" t="s">
        <v>44</v>
      </c>
      <c r="L51" s="61" t="s">
        <v>43</v>
      </c>
      <c r="M51" s="62" t="s">
        <v>44</v>
      </c>
      <c r="N51" s="61" t="s">
        <v>43</v>
      </c>
      <c r="O51" s="62" t="s">
        <v>44</v>
      </c>
      <c r="P51" s="61" t="s">
        <v>43</v>
      </c>
      <c r="Q51" s="62" t="s">
        <v>44</v>
      </c>
    </row>
    <row r="52" spans="1:17" x14ac:dyDescent="0.25">
      <c r="A52" s="56" t="s">
        <v>93</v>
      </c>
      <c r="B52" s="71"/>
      <c r="C52" s="72"/>
      <c r="D52" s="71"/>
      <c r="E52" s="72"/>
      <c r="F52" s="71"/>
      <c r="G52" s="72"/>
      <c r="H52" s="71"/>
      <c r="I52" s="72"/>
      <c r="J52" s="71"/>
      <c r="K52" s="72"/>
      <c r="L52" s="71"/>
      <c r="M52" s="72"/>
      <c r="N52" s="71"/>
      <c r="O52" s="72"/>
      <c r="P52" s="71"/>
      <c r="Q52" s="72"/>
    </row>
    <row r="53" spans="1:17" x14ac:dyDescent="0.25">
      <c r="A53" s="54" t="s">
        <v>94</v>
      </c>
      <c r="B53" s="71"/>
      <c r="C53" s="72"/>
      <c r="D53" s="71"/>
      <c r="E53" s="72"/>
      <c r="F53" s="71"/>
      <c r="G53" s="72"/>
      <c r="H53" s="71"/>
      <c r="I53" s="72"/>
      <c r="J53" s="71"/>
      <c r="K53" s="72"/>
      <c r="L53" s="71"/>
      <c r="M53" s="72"/>
      <c r="N53" s="71"/>
      <c r="O53" s="72"/>
      <c r="P53" s="71"/>
      <c r="Q53" s="72"/>
    </row>
    <row r="54" spans="1:17" ht="15.75" thickBot="1" x14ac:dyDescent="0.3">
      <c r="A54" s="54" t="s">
        <v>95</v>
      </c>
      <c r="B54" s="73"/>
      <c r="C54" s="74"/>
      <c r="D54" s="73"/>
      <c r="E54" s="74"/>
      <c r="F54" s="73"/>
      <c r="G54" s="74"/>
      <c r="H54" s="73"/>
      <c r="I54" s="74"/>
      <c r="J54" s="73"/>
      <c r="K54" s="74"/>
      <c r="L54" s="73"/>
      <c r="M54" s="74"/>
      <c r="N54" s="73"/>
      <c r="O54" s="74"/>
      <c r="P54" s="73"/>
      <c r="Q54" s="74"/>
    </row>
    <row r="60" spans="1:17" x14ac:dyDescent="0.25">
      <c r="A60" s="58" t="s">
        <v>83</v>
      </c>
      <c r="B60" s="66">
        <f>((B5+B6)/2)+((C5+C6)/2)+SUM(B4:C4)+SUM(B7:C14)</f>
        <v>40000</v>
      </c>
      <c r="C60" s="58" t="s">
        <v>83</v>
      </c>
      <c r="D60" s="66">
        <f>SUM(D4:E15)</f>
        <v>41078</v>
      </c>
      <c r="E60" s="58" t="s">
        <v>83</v>
      </c>
      <c r="F60" s="66">
        <f>SUM(F4:G15)</f>
        <v>110000</v>
      </c>
      <c r="G60" s="58" t="s">
        <v>83</v>
      </c>
      <c r="H60" s="66">
        <f>SUM(H4:I15)</f>
        <v>55000</v>
      </c>
      <c r="I60" s="58" t="s">
        <v>83</v>
      </c>
      <c r="J60" s="66">
        <f>SUM(J4:K15)</f>
        <v>70000</v>
      </c>
      <c r="K60" s="58" t="s">
        <v>83</v>
      </c>
      <c r="L60" s="66">
        <f>SUM(L4:M15)</f>
        <v>35000</v>
      </c>
      <c r="M60" s="58" t="s">
        <v>83</v>
      </c>
      <c r="N60" s="66">
        <f>SUM(N4:O15)</f>
        <v>35000</v>
      </c>
      <c r="O60" s="58" t="s">
        <v>83</v>
      </c>
      <c r="P60" s="66">
        <f>SUM(P4:Q15)</f>
        <v>35000</v>
      </c>
    </row>
    <row r="61" spans="1:17" x14ac:dyDescent="0.25">
      <c r="A61" s="58" t="s">
        <v>84</v>
      </c>
      <c r="B61" s="66">
        <f>SUM(B18:C28)</f>
        <v>13874.669999999998</v>
      </c>
      <c r="C61" s="58" t="s">
        <v>84</v>
      </c>
      <c r="D61" s="66">
        <f>SUM(D18:E28)</f>
        <v>24078</v>
      </c>
      <c r="E61" s="58" t="s">
        <v>84</v>
      </c>
      <c r="F61" s="66">
        <f>SUM(F18:G28)</f>
        <v>55180</v>
      </c>
      <c r="G61" s="58" t="s">
        <v>84</v>
      </c>
      <c r="H61" s="66">
        <f>SUM(H18:I28)</f>
        <v>27730</v>
      </c>
      <c r="I61" s="58" t="s">
        <v>84</v>
      </c>
      <c r="J61" s="66">
        <f>SUM(J18:K28)</f>
        <v>15723.2</v>
      </c>
      <c r="K61" s="58" t="s">
        <v>84</v>
      </c>
      <c r="L61" s="66">
        <f>SUM(L18:M28)</f>
        <v>21858.85</v>
      </c>
      <c r="M61" s="58" t="s">
        <v>84</v>
      </c>
      <c r="N61" s="66">
        <f>SUM(N18:O28)</f>
        <v>21858.85</v>
      </c>
      <c r="O61" s="58" t="s">
        <v>84</v>
      </c>
      <c r="P61" s="66">
        <f>SUM(P18:Q28)</f>
        <v>21858.85</v>
      </c>
    </row>
    <row r="62" spans="1:17" x14ac:dyDescent="0.25">
      <c r="A62" s="58" t="s">
        <v>85</v>
      </c>
      <c r="B62" s="66">
        <f>SUM(B52:C52)</f>
        <v>0</v>
      </c>
      <c r="C62" s="58" t="s">
        <v>85</v>
      </c>
      <c r="D62" s="66">
        <f>SUM(D52:E52)</f>
        <v>0</v>
      </c>
      <c r="E62" s="58" t="s">
        <v>85</v>
      </c>
      <c r="F62" s="66">
        <f>SUM(F52:G52)</f>
        <v>0</v>
      </c>
      <c r="G62" s="58" t="s">
        <v>85</v>
      </c>
      <c r="H62" s="66">
        <f>SUM(H52:I52)</f>
        <v>0</v>
      </c>
      <c r="I62" s="58" t="s">
        <v>85</v>
      </c>
      <c r="J62" s="66">
        <f>SUM(J52:K52)</f>
        <v>0</v>
      </c>
      <c r="K62" s="58" t="s">
        <v>85</v>
      </c>
      <c r="L62" s="66">
        <f>SUM(L52:M52)</f>
        <v>0</v>
      </c>
      <c r="M62" s="58" t="s">
        <v>85</v>
      </c>
      <c r="N62" s="66">
        <f>SUM(N52:O52)</f>
        <v>0</v>
      </c>
      <c r="O62" s="58" t="s">
        <v>85</v>
      </c>
      <c r="P62" s="66">
        <f>SUM(P52:Q52)</f>
        <v>0</v>
      </c>
    </row>
    <row r="63" spans="1:17" x14ac:dyDescent="0.25">
      <c r="A63" s="58" t="s">
        <v>86</v>
      </c>
      <c r="B63" s="66">
        <f>SUM(B53:C53)</f>
        <v>0</v>
      </c>
      <c r="C63" s="58" t="s">
        <v>86</v>
      </c>
      <c r="D63" s="66">
        <f>SUM(D53:E53)</f>
        <v>0</v>
      </c>
      <c r="E63" s="58" t="s">
        <v>86</v>
      </c>
      <c r="F63" s="66">
        <f>SUM(F53:G53)</f>
        <v>0</v>
      </c>
      <c r="G63" s="58" t="s">
        <v>86</v>
      </c>
      <c r="H63" s="66">
        <f>SUM(H53:I53)</f>
        <v>0</v>
      </c>
      <c r="I63" s="58" t="s">
        <v>86</v>
      </c>
      <c r="J63" s="66">
        <f>SUM(J53:K53)</f>
        <v>0</v>
      </c>
      <c r="K63" s="58" t="s">
        <v>86</v>
      </c>
      <c r="L63" s="66">
        <f>SUM(L53:M53)</f>
        <v>0</v>
      </c>
      <c r="M63" s="58" t="s">
        <v>86</v>
      </c>
      <c r="N63" s="66">
        <f>SUM(N53:O53)</f>
        <v>0</v>
      </c>
      <c r="O63" s="58" t="s">
        <v>86</v>
      </c>
      <c r="P63" s="66">
        <f>SUM(P53:Q53)</f>
        <v>0</v>
      </c>
    </row>
    <row r="64" spans="1:17" x14ac:dyDescent="0.25">
      <c r="A64" s="58" t="s">
        <v>87</v>
      </c>
      <c r="B64" s="66">
        <f>SUM(B54:C54)</f>
        <v>0</v>
      </c>
      <c r="C64" s="58" t="s">
        <v>87</v>
      </c>
      <c r="D64" s="66">
        <f>SUM(D54:E54)</f>
        <v>0</v>
      </c>
      <c r="E64" s="58" t="s">
        <v>87</v>
      </c>
      <c r="F64" s="66">
        <f>SUM(F54:G54)</f>
        <v>0</v>
      </c>
      <c r="G64" s="58" t="s">
        <v>87</v>
      </c>
      <c r="H64" s="66">
        <f>SUM(H54:I54)</f>
        <v>0</v>
      </c>
      <c r="I64" s="58" t="s">
        <v>87</v>
      </c>
      <c r="J64" s="66">
        <f>SUM(J54:K54)</f>
        <v>0</v>
      </c>
      <c r="K64" s="58" t="s">
        <v>87</v>
      </c>
      <c r="L64" s="66">
        <f>SUM(L54:M54)</f>
        <v>0</v>
      </c>
      <c r="M64" s="58" t="s">
        <v>87</v>
      </c>
      <c r="N64" s="66">
        <f>SUM(N54:O54)</f>
        <v>0</v>
      </c>
      <c r="O64" s="58" t="s">
        <v>87</v>
      </c>
      <c r="P64" s="66">
        <f>SUM(P54:Q54)</f>
        <v>0</v>
      </c>
    </row>
    <row r="69" spans="2:9" x14ac:dyDescent="0.25">
      <c r="B69" s="66"/>
      <c r="C69" s="66"/>
      <c r="D69" s="66"/>
    </row>
    <row r="70" spans="2:9" x14ac:dyDescent="0.25">
      <c r="B70" s="66"/>
      <c r="C70" s="66"/>
      <c r="D70" s="66"/>
    </row>
    <row r="71" spans="2:9" x14ac:dyDescent="0.25">
      <c r="B71" s="66"/>
      <c r="C71" s="66"/>
      <c r="D71" s="66"/>
    </row>
    <row r="73" spans="2:9" x14ac:dyDescent="0.25">
      <c r="B73" s="66"/>
      <c r="C73" s="66"/>
      <c r="D73" s="66"/>
      <c r="E73" s="66"/>
      <c r="F73" s="66"/>
      <c r="G73" s="66"/>
      <c r="H73" s="66"/>
      <c r="I73" s="66"/>
    </row>
    <row r="74" spans="2:9" x14ac:dyDescent="0.25">
      <c r="B74" s="66"/>
      <c r="C74" s="66"/>
      <c r="D74" s="66"/>
      <c r="E74" s="66"/>
      <c r="F74" s="66"/>
      <c r="G74" s="66"/>
      <c r="H74" s="66"/>
      <c r="I74" s="66"/>
    </row>
    <row r="75" spans="2:9" x14ac:dyDescent="0.25">
      <c r="B75" s="66"/>
      <c r="C75" s="66"/>
      <c r="D75" s="66"/>
      <c r="E75" s="66"/>
    </row>
  </sheetData>
  <mergeCells count="9">
    <mergeCell ref="L2:M2"/>
    <mergeCell ref="N2:O2"/>
    <mergeCell ref="P2:Q2"/>
    <mergeCell ref="B2:C2"/>
    <mergeCell ref="A5:A6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2917-B3D3-4426-A43A-FDBC7742B687}">
  <dimension ref="A1:AR39"/>
  <sheetViews>
    <sheetView zoomScale="85" zoomScaleNormal="85" workbookViewId="0">
      <selection activeCell="F3" sqref="F3"/>
    </sheetView>
  </sheetViews>
  <sheetFormatPr defaultRowHeight="15" x14ac:dyDescent="0.25"/>
  <cols>
    <col min="1" max="1" width="38.7109375" customWidth="1"/>
    <col min="2" max="2" width="16.5703125" bestFit="1" customWidth="1"/>
    <col min="3" max="4" width="16.42578125" bestFit="1" customWidth="1"/>
    <col min="5" max="5" width="11.85546875" bestFit="1" customWidth="1"/>
    <col min="6" max="6" width="10.7109375" bestFit="1" customWidth="1"/>
    <col min="7" max="8" width="10.28515625" bestFit="1" customWidth="1"/>
    <col min="9" max="9" width="14.5703125" customWidth="1"/>
    <col min="10" max="21" width="10.28515625" bestFit="1" customWidth="1"/>
    <col min="22" max="22" width="9.85546875" bestFit="1" customWidth="1"/>
    <col min="23" max="23" width="10.28515625" bestFit="1" customWidth="1"/>
    <col min="24" max="24" width="9.85546875" bestFit="1" customWidth="1"/>
    <col min="25" max="26" width="10.28515625" bestFit="1" customWidth="1"/>
    <col min="27" max="28" width="9.85546875" bestFit="1" customWidth="1"/>
    <col min="29" max="31" width="10.28515625" bestFit="1" customWidth="1"/>
    <col min="32" max="32" width="9.85546875" bestFit="1" customWidth="1"/>
    <col min="33" max="33" width="10.28515625" bestFit="1" customWidth="1"/>
    <col min="34" max="35" width="9.85546875" bestFit="1" customWidth="1"/>
    <col min="36" max="38" width="10.28515625" bestFit="1" customWidth="1"/>
    <col min="39" max="39" width="9.85546875" bestFit="1" customWidth="1"/>
    <col min="40" max="40" width="10.28515625" bestFit="1" customWidth="1"/>
    <col min="41" max="42" width="9.85546875" bestFit="1" customWidth="1"/>
    <col min="43" max="44" width="10.28515625" bestFit="1" customWidth="1"/>
  </cols>
  <sheetData>
    <row r="1" spans="1:44" ht="19.5" thickBot="1" x14ac:dyDescent="0.35">
      <c r="A1" s="21" t="s">
        <v>28</v>
      </c>
      <c r="C1" s="30" t="s">
        <v>40</v>
      </c>
    </row>
    <row r="2" spans="1:44" x14ac:dyDescent="0.25">
      <c r="A2" s="1" t="s">
        <v>12</v>
      </c>
      <c r="B2" s="19" t="s">
        <v>1</v>
      </c>
      <c r="C2" s="19" t="s">
        <v>6</v>
      </c>
      <c r="D2" s="19" t="s">
        <v>4</v>
      </c>
      <c r="E2" s="20" t="s">
        <v>5</v>
      </c>
    </row>
    <row r="3" spans="1:44" x14ac:dyDescent="0.25">
      <c r="A3" s="2" t="s">
        <v>2</v>
      </c>
      <c r="B3" s="36">
        <v>5700</v>
      </c>
      <c r="C3" s="36">
        <f>B3+600</f>
        <v>6300</v>
      </c>
      <c r="D3" s="36">
        <f>B3+(800*3)</f>
        <v>8100</v>
      </c>
      <c r="E3" s="37">
        <f>B3+(900*3)</f>
        <v>8400</v>
      </c>
    </row>
    <row r="4" spans="1:44" x14ac:dyDescent="0.25">
      <c r="A4" s="2" t="s">
        <v>3</v>
      </c>
      <c r="B4" s="36">
        <v>6990</v>
      </c>
      <c r="C4" s="36">
        <f>B4+600</f>
        <v>7590</v>
      </c>
      <c r="D4" s="36">
        <f>B4+(800*3)</f>
        <v>9390</v>
      </c>
      <c r="E4" s="37">
        <f>B4+(900*3)</f>
        <v>9690</v>
      </c>
    </row>
    <row r="5" spans="1:44" ht="15.75" thickBot="1" x14ac:dyDescent="0.3">
      <c r="A5" s="3" t="s">
        <v>0</v>
      </c>
      <c r="B5" s="38">
        <v>7500</v>
      </c>
      <c r="C5" s="38">
        <f>B5+600</f>
        <v>8100</v>
      </c>
      <c r="D5" s="38">
        <f>B5+(800*3)</f>
        <v>9900</v>
      </c>
      <c r="E5" s="39">
        <f>B5+(900*3)</f>
        <v>10200</v>
      </c>
    </row>
    <row r="7" spans="1:44" x14ac:dyDescent="0.25">
      <c r="A7" s="7" t="s">
        <v>10</v>
      </c>
      <c r="B7" s="65" t="s">
        <v>11</v>
      </c>
      <c r="C7" s="65" t="s">
        <v>11</v>
      </c>
      <c r="D7" s="65" t="s">
        <v>11</v>
      </c>
      <c r="E7" s="65" t="s">
        <v>11</v>
      </c>
      <c r="F7" s="65" t="s">
        <v>11</v>
      </c>
      <c r="G7" s="65" t="s">
        <v>11</v>
      </c>
      <c r="H7" s="65" t="s">
        <v>11</v>
      </c>
      <c r="I7" s="65" t="s">
        <v>11</v>
      </c>
      <c r="J7" s="65" t="s">
        <v>11</v>
      </c>
      <c r="K7" s="65" t="s">
        <v>11</v>
      </c>
      <c r="L7" s="65" t="s">
        <v>11</v>
      </c>
      <c r="M7" s="65" t="s">
        <v>11</v>
      </c>
      <c r="N7" s="65" t="s">
        <v>11</v>
      </c>
      <c r="O7" s="65" t="s">
        <v>11</v>
      </c>
      <c r="P7" s="65" t="s">
        <v>11</v>
      </c>
      <c r="Q7" s="65" t="s">
        <v>11</v>
      </c>
      <c r="R7" s="65" t="s">
        <v>11</v>
      </c>
      <c r="S7" s="65" t="s">
        <v>11</v>
      </c>
      <c r="T7" s="65" t="s">
        <v>11</v>
      </c>
      <c r="U7" s="65" t="s">
        <v>11</v>
      </c>
      <c r="V7" s="65" t="s">
        <v>11</v>
      </c>
      <c r="W7" s="65" t="s">
        <v>11</v>
      </c>
      <c r="X7" s="65" t="s">
        <v>11</v>
      </c>
      <c r="Y7" s="65" t="s">
        <v>11</v>
      </c>
      <c r="Z7" s="65" t="s">
        <v>11</v>
      </c>
      <c r="AA7" s="65" t="s">
        <v>11</v>
      </c>
      <c r="AB7" s="65" t="s">
        <v>11</v>
      </c>
      <c r="AC7" s="65" t="s">
        <v>11</v>
      </c>
      <c r="AD7" s="65" t="s">
        <v>11</v>
      </c>
      <c r="AE7" s="65" t="s">
        <v>11</v>
      </c>
      <c r="AF7" s="65" t="s">
        <v>11</v>
      </c>
      <c r="AG7" s="65" t="s">
        <v>11</v>
      </c>
      <c r="AH7" s="65" t="s">
        <v>11</v>
      </c>
      <c r="AI7" s="65" t="s">
        <v>11</v>
      </c>
      <c r="AJ7" s="65" t="s">
        <v>11</v>
      </c>
      <c r="AK7" s="65" t="s">
        <v>11</v>
      </c>
      <c r="AL7" s="65" t="s">
        <v>11</v>
      </c>
      <c r="AM7" s="65" t="s">
        <v>11</v>
      </c>
      <c r="AN7" s="65" t="s">
        <v>11</v>
      </c>
      <c r="AO7" s="65" t="s">
        <v>11</v>
      </c>
      <c r="AP7" s="65" t="s">
        <v>11</v>
      </c>
      <c r="AQ7" s="65" t="s">
        <v>11</v>
      </c>
      <c r="AR7" s="65" t="s">
        <v>11</v>
      </c>
    </row>
    <row r="8" spans="1:44" x14ac:dyDescent="0.25">
      <c r="A8" s="9" t="s">
        <v>9</v>
      </c>
      <c r="B8" s="10">
        <v>2</v>
      </c>
      <c r="C8" s="10">
        <v>2</v>
      </c>
      <c r="D8" s="10">
        <v>2</v>
      </c>
      <c r="E8" s="10">
        <v>2</v>
      </c>
      <c r="F8" s="10"/>
      <c r="G8" s="10"/>
      <c r="H8" s="10">
        <v>1</v>
      </c>
      <c r="I8" s="10"/>
      <c r="J8" s="10">
        <v>2</v>
      </c>
      <c r="K8" s="10">
        <v>2</v>
      </c>
      <c r="L8" s="10"/>
      <c r="M8" s="10"/>
      <c r="N8" s="10"/>
      <c r="O8" s="10">
        <v>2</v>
      </c>
      <c r="P8" s="10"/>
      <c r="Q8" s="10"/>
      <c r="R8" s="10">
        <v>1</v>
      </c>
      <c r="S8" s="10"/>
      <c r="T8" s="10">
        <v>1</v>
      </c>
      <c r="U8" s="10">
        <v>1</v>
      </c>
      <c r="V8" s="10">
        <v>1</v>
      </c>
      <c r="W8" s="10">
        <v>2</v>
      </c>
      <c r="X8" s="10">
        <v>1</v>
      </c>
      <c r="Y8" s="10">
        <v>1</v>
      </c>
      <c r="Z8" s="10"/>
      <c r="AA8" s="10">
        <v>1</v>
      </c>
      <c r="AB8" s="10"/>
      <c r="AC8" s="10"/>
      <c r="AD8" s="10">
        <v>1</v>
      </c>
      <c r="AE8" s="10">
        <v>1</v>
      </c>
      <c r="AF8" s="10"/>
      <c r="AG8" s="10">
        <v>2</v>
      </c>
      <c r="AH8" s="10"/>
      <c r="AI8" s="10"/>
      <c r="AJ8" s="10"/>
      <c r="AK8" s="10">
        <v>2</v>
      </c>
      <c r="AL8" s="10"/>
      <c r="AM8" s="10"/>
      <c r="AN8" s="10"/>
      <c r="AO8" s="10"/>
      <c r="AP8" s="10"/>
      <c r="AQ8" s="10">
        <v>1</v>
      </c>
      <c r="AR8" s="10"/>
    </row>
    <row r="9" spans="1:44" x14ac:dyDescent="0.25">
      <c r="A9" s="5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5" t="s">
        <v>14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15.75" thickBot="1" x14ac:dyDescent="0.3">
      <c r="A11" s="11" t="s">
        <v>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15.75" thickTop="1" x14ac:dyDescent="0.25">
      <c r="A12" s="9" t="s">
        <v>16</v>
      </c>
      <c r="B12" s="12">
        <v>1</v>
      </c>
      <c r="C12" s="12">
        <v>2</v>
      </c>
      <c r="D12" s="12">
        <v>2</v>
      </c>
      <c r="E12" s="12">
        <v>2</v>
      </c>
      <c r="F12" s="12"/>
      <c r="G12" s="12">
        <v>2</v>
      </c>
      <c r="H12" s="12"/>
      <c r="I12" s="12"/>
      <c r="J12" s="12">
        <v>1</v>
      </c>
      <c r="K12" s="12"/>
      <c r="L12" s="12"/>
      <c r="M12" s="12">
        <v>3</v>
      </c>
      <c r="N12" s="12">
        <v>1</v>
      </c>
      <c r="O12" s="12">
        <v>1</v>
      </c>
      <c r="P12" s="12"/>
      <c r="Q12" s="12"/>
      <c r="R12" s="12">
        <v>2</v>
      </c>
      <c r="S12" s="12"/>
      <c r="T12" s="12">
        <v>1</v>
      </c>
      <c r="U12" s="12">
        <v>2</v>
      </c>
      <c r="V12" s="12"/>
      <c r="W12" s="12"/>
      <c r="X12" s="12"/>
      <c r="Y12" s="12">
        <v>1</v>
      </c>
      <c r="Z12" s="12"/>
      <c r="AA12" s="12"/>
      <c r="AB12" s="12">
        <v>1</v>
      </c>
      <c r="AC12" s="12"/>
      <c r="AD12" s="12">
        <v>2</v>
      </c>
      <c r="AE12" s="12">
        <v>2</v>
      </c>
      <c r="AF12" s="12">
        <v>1</v>
      </c>
      <c r="AG12" s="12">
        <v>1</v>
      </c>
      <c r="AH12" s="12"/>
      <c r="AI12" s="12"/>
      <c r="AJ12" s="12"/>
      <c r="AK12" s="12">
        <v>2</v>
      </c>
      <c r="AL12" s="12"/>
      <c r="AM12" s="12"/>
      <c r="AN12" s="12">
        <v>2</v>
      </c>
      <c r="AO12" s="12">
        <v>1</v>
      </c>
      <c r="AP12" s="12"/>
      <c r="AQ12" s="12">
        <v>1</v>
      </c>
      <c r="AR12" s="12">
        <v>2</v>
      </c>
    </row>
    <row r="13" spans="1:44" x14ac:dyDescent="0.25">
      <c r="A13" s="5" t="s">
        <v>17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x14ac:dyDescent="0.25">
      <c r="A14" s="5" t="s">
        <v>18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15.75" thickBot="1" x14ac:dyDescent="0.3">
      <c r="A15" s="11" t="s">
        <v>19</v>
      </c>
      <c r="B15" s="13"/>
      <c r="C15" s="13"/>
      <c r="D15" s="13"/>
      <c r="E15" s="13"/>
      <c r="F15" s="13">
        <v>1</v>
      </c>
      <c r="G15" s="13"/>
      <c r="H15" s="13"/>
      <c r="I15" s="13">
        <v>1</v>
      </c>
      <c r="J15" s="13"/>
      <c r="K15" s="13"/>
      <c r="L15" s="13">
        <v>1</v>
      </c>
      <c r="M15" s="13"/>
      <c r="N15" s="13">
        <v>1</v>
      </c>
      <c r="O15" s="13"/>
      <c r="P15" s="13">
        <v>1</v>
      </c>
      <c r="Q15" s="13">
        <v>1</v>
      </c>
      <c r="R15" s="13"/>
      <c r="S15" s="13"/>
      <c r="T15" s="13"/>
      <c r="U15" s="13"/>
      <c r="V15" s="13"/>
      <c r="W15" s="13"/>
      <c r="X15" s="13"/>
      <c r="Y15" s="13"/>
      <c r="Z15" s="13">
        <v>1</v>
      </c>
      <c r="AA15" s="13"/>
      <c r="AB15" s="13"/>
      <c r="AC15" s="13">
        <v>4</v>
      </c>
      <c r="AD15" s="13"/>
      <c r="AE15" s="13"/>
      <c r="AF15" s="13"/>
      <c r="AG15" s="13"/>
      <c r="AH15" s="13">
        <v>1</v>
      </c>
      <c r="AI15" s="13">
        <v>1</v>
      </c>
      <c r="AJ15" s="13"/>
      <c r="AK15" s="13"/>
      <c r="AL15" s="13">
        <v>1</v>
      </c>
      <c r="AM15" s="13">
        <v>1</v>
      </c>
      <c r="AN15" s="13"/>
      <c r="AO15" s="13"/>
      <c r="AP15" s="13">
        <v>1</v>
      </c>
      <c r="AQ15" s="13"/>
      <c r="AR15" s="13"/>
    </row>
    <row r="16" spans="1:44" ht="15.75" thickTop="1" x14ac:dyDescent="0.25">
      <c r="A16" s="9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x14ac:dyDescent="0.25">
      <c r="A17" s="5" t="s">
        <v>21</v>
      </c>
      <c r="B17" s="8"/>
      <c r="C17" s="8"/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x14ac:dyDescent="0.25">
      <c r="A18" s="5" t="s">
        <v>22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x14ac:dyDescent="0.25">
      <c r="A19" s="5" t="s">
        <v>23</v>
      </c>
      <c r="B19" s="8"/>
      <c r="C19" s="8">
        <v>1</v>
      </c>
      <c r="D19" s="8"/>
      <c r="E19" s="8"/>
      <c r="F19" s="8"/>
      <c r="G19" s="8"/>
      <c r="H19" s="8"/>
      <c r="I19" s="8"/>
      <c r="J19" s="8"/>
      <c r="K19" s="8"/>
      <c r="L19" s="8">
        <v>1</v>
      </c>
      <c r="M19" s="8"/>
      <c r="N19" s="8"/>
      <c r="O19" s="8"/>
      <c r="P19" s="8"/>
      <c r="Q19" s="8"/>
      <c r="R19" s="8"/>
      <c r="S19" s="8">
        <v>1</v>
      </c>
      <c r="T19" s="8"/>
      <c r="U19" s="8"/>
      <c r="V19" s="8"/>
      <c r="W19" s="8"/>
      <c r="X19" s="8"/>
      <c r="Y19" s="8"/>
      <c r="Z19" s="8">
        <v>1</v>
      </c>
      <c r="AA19" s="8"/>
      <c r="AB19" s="8"/>
      <c r="AC19" s="8"/>
      <c r="AD19" s="8"/>
      <c r="AE19" s="8"/>
      <c r="AF19" s="8"/>
      <c r="AG19" s="8"/>
      <c r="AH19" s="8"/>
      <c r="AI19" s="8"/>
      <c r="AJ19" s="8">
        <v>1</v>
      </c>
      <c r="AK19" s="8"/>
      <c r="AL19" s="8">
        <v>1</v>
      </c>
      <c r="AM19" s="8"/>
      <c r="AN19" s="8"/>
      <c r="AO19" s="8"/>
      <c r="AP19" s="8"/>
      <c r="AQ19" s="8"/>
      <c r="AR19" s="8"/>
    </row>
    <row r="20" spans="1:44" x14ac:dyDescent="0.25">
      <c r="A20" s="6" t="s">
        <v>113</v>
      </c>
      <c r="B20" s="34">
        <f>(B8*$B$3)+(B9*$C$3)+(B10*$D$3)+(B11*$E$3)+(B12*$B$4)+(B13*$C$4)+(B14*$D$4)+(B15*$E$4)+(B16*$B$5)+(B17*$C$5)+(B18*$D$5)+(B19*$E$5)</f>
        <v>18390</v>
      </c>
      <c r="C20" s="34">
        <f>(C8*$B$3)+(C9*$C$3)+(C10*$D$3)+(C11*$E$3)+(C12*$B$4)+(C13*$C$4)+(C14*$D$4)+(C15*$E$4)+(C16*$B$5)+(C17*$C$5)+(C18*$D$5)+(C19*$E$5)</f>
        <v>35580</v>
      </c>
      <c r="D20" s="34">
        <f>(D8*$B$3)+(D9*$C$3)+(D10*$D$3)+(D11*$E$3)+(D12*$B$4)+(D13*$C$4)+(D14*$D$4)+(D15*$E$4)+(D16*$B$5)+(D17*$C$5)+(D18*$D$5)+(D19*$E$5)</f>
        <v>33480</v>
      </c>
      <c r="E20" s="34">
        <f>(E8*$B$3)+(E9*$C$3)+(E10*$D$3)+(E11*$E$3)+(E12*$B$4)+(E13*$C$4)+(E14*$D$4)+(E15*$E$4)+(E16*$B$5)+(E17*$C$5)+(E18*$D$5)+(E19*$E$5)</f>
        <v>25380</v>
      </c>
      <c r="F20" s="34">
        <f>(F8*$B$3)+(F9*$C$3)+(F10*$D$3)+(F11*$E$3)+(F12*$B$4)+(F13*$C$4)+(F14*$D$4)+(F15*$E$4)+(F16*$B$5)+(F17*$C$5)+(F18*$D$5)+(F19*$E$5)</f>
        <v>9690</v>
      </c>
      <c r="G20" s="34">
        <f t="shared" ref="G20:I20" si="0">(G8*$B$3)+(G9*$C$3)+(G10*$D$3)+(G11*$E$3)+(G12*$B$4)+(G13*$C$4)+(G14*$D$4)+(G15*$E$4)+(G16*$B$5)+(G17*$C$5)+(G18*$D$5)+(G19*$E$5)</f>
        <v>13980</v>
      </c>
      <c r="H20" s="34">
        <f t="shared" si="0"/>
        <v>5700</v>
      </c>
      <c r="I20" s="34">
        <f t="shared" si="0"/>
        <v>9690</v>
      </c>
      <c r="J20" s="34">
        <f t="shared" ref="J20:Z20" si="1">(J8*$B$3)+(J9*$C$3)+(J10*$D$3)+(J11*$E$3)+(J12*$B$4)+(J13*$C$4)+(J14*$D$4)+(J15*$E$4)+(J16*$B$5)+(J17*$C$5)+(J18*$D$5)+(J19*$E$5)</f>
        <v>18390</v>
      </c>
      <c r="K20" s="34">
        <f t="shared" si="1"/>
        <v>11400</v>
      </c>
      <c r="L20" s="34">
        <f t="shared" si="1"/>
        <v>19890</v>
      </c>
      <c r="M20" s="34">
        <f t="shared" si="1"/>
        <v>20970</v>
      </c>
      <c r="N20" s="34">
        <f t="shared" si="1"/>
        <v>16680</v>
      </c>
      <c r="O20" s="34">
        <f t="shared" si="1"/>
        <v>18390</v>
      </c>
      <c r="P20" s="34">
        <f t="shared" si="1"/>
        <v>9690</v>
      </c>
      <c r="Q20" s="34">
        <f t="shared" si="1"/>
        <v>9690</v>
      </c>
      <c r="R20" s="34">
        <f t="shared" si="1"/>
        <v>19680</v>
      </c>
      <c r="S20" s="34">
        <f t="shared" si="1"/>
        <v>10200</v>
      </c>
      <c r="T20" s="34">
        <f t="shared" si="1"/>
        <v>12690</v>
      </c>
      <c r="U20" s="34">
        <f t="shared" si="1"/>
        <v>19680</v>
      </c>
      <c r="V20" s="34">
        <f t="shared" si="1"/>
        <v>5700</v>
      </c>
      <c r="W20" s="34">
        <f t="shared" si="1"/>
        <v>11400</v>
      </c>
      <c r="X20" s="34">
        <f t="shared" si="1"/>
        <v>5700</v>
      </c>
      <c r="Y20" s="34">
        <f t="shared" si="1"/>
        <v>12690</v>
      </c>
      <c r="Z20" s="34">
        <f t="shared" si="1"/>
        <v>19890</v>
      </c>
      <c r="AA20" s="34">
        <f t="shared" ref="AA20:AP20" si="2">(AA8*$B$3)+(AA9*$C$3)+(AA10*$D$3)+(AA11*$E$3)+(AA12*$B$4)+(AA13*$C$4)+(AA14*$D$4)+(AA15*$E$4)+(AA16*$B$5)+(AA17*$C$5)+(AA18*$D$5)+(AA19*$E$5)</f>
        <v>5700</v>
      </c>
      <c r="AB20" s="34">
        <f t="shared" si="2"/>
        <v>6990</v>
      </c>
      <c r="AC20" s="34">
        <f t="shared" si="2"/>
        <v>38760</v>
      </c>
      <c r="AD20" s="34">
        <f t="shared" si="2"/>
        <v>19680</v>
      </c>
      <c r="AE20" s="34">
        <f t="shared" si="2"/>
        <v>19680</v>
      </c>
      <c r="AF20" s="34">
        <f t="shared" si="2"/>
        <v>6990</v>
      </c>
      <c r="AG20" s="34">
        <f t="shared" si="2"/>
        <v>18390</v>
      </c>
      <c r="AH20" s="34">
        <f t="shared" si="2"/>
        <v>9690</v>
      </c>
      <c r="AI20" s="34">
        <f t="shared" si="2"/>
        <v>9690</v>
      </c>
      <c r="AJ20" s="34">
        <f t="shared" si="2"/>
        <v>10200</v>
      </c>
      <c r="AK20" s="34">
        <f t="shared" si="2"/>
        <v>25380</v>
      </c>
      <c r="AL20" s="34">
        <f t="shared" si="2"/>
        <v>19890</v>
      </c>
      <c r="AM20" s="34">
        <f t="shared" si="2"/>
        <v>9690</v>
      </c>
      <c r="AN20" s="34">
        <f t="shared" si="2"/>
        <v>13980</v>
      </c>
      <c r="AO20" s="34">
        <f t="shared" si="2"/>
        <v>6990</v>
      </c>
      <c r="AP20" s="34">
        <f t="shared" si="2"/>
        <v>9690</v>
      </c>
      <c r="AQ20" s="34">
        <f t="shared" ref="AQ20:AR20" si="3">(AQ8*$B$3)+(AQ9*$C$3)+(AQ10*$D$3)+(AQ11*$E$3)+(AQ12*$B$4)+(AQ13*$C$4)+(AQ14*$D$4)+(AQ15*$E$4)+(AQ16*$B$5)+(AQ17*$C$5)+(AQ18*$D$5)+(AQ19*$E$5)</f>
        <v>12690</v>
      </c>
      <c r="AR20" s="34">
        <f t="shared" si="3"/>
        <v>13980</v>
      </c>
    </row>
    <row r="21" spans="1:44" x14ac:dyDescent="0.25">
      <c r="A21" s="6" t="s">
        <v>116</v>
      </c>
      <c r="B21" s="34">
        <f>B20-(B10+B14+B18)*2400-(B11+B15+B19)*2700</f>
        <v>18390</v>
      </c>
      <c r="C21" s="34">
        <f t="shared" ref="C21:F21" si="4">C20-(C10+C14+C18)*2400-(C11+C15+C19)*2700</f>
        <v>32880</v>
      </c>
      <c r="D21" s="34">
        <f t="shared" si="4"/>
        <v>33480</v>
      </c>
      <c r="E21" s="34">
        <f t="shared" si="4"/>
        <v>25380</v>
      </c>
      <c r="F21" s="34">
        <f t="shared" si="4"/>
        <v>6990</v>
      </c>
      <c r="G21" s="34">
        <f t="shared" ref="G21" si="5">G20-(G10+G14+G18)*2400-(G11+G15+G19)*2700</f>
        <v>13980</v>
      </c>
      <c r="H21" s="34">
        <f t="shared" ref="H21" si="6">H20-(H10+H14+H18)*2400-(H11+H15+H19)*2700</f>
        <v>5700</v>
      </c>
      <c r="I21" s="34">
        <f t="shared" ref="I21" si="7">I20-(I10+I14+I18)*2400-(I11+I15+I19)*2700</f>
        <v>6990</v>
      </c>
      <c r="J21" s="34">
        <f t="shared" ref="J21:Z21" si="8">J20-(J10+J14+J18)*2400-(J11+J15+J19)*2700</f>
        <v>18390</v>
      </c>
      <c r="K21" s="34">
        <f t="shared" si="8"/>
        <v>11400</v>
      </c>
      <c r="L21" s="34">
        <f t="shared" si="8"/>
        <v>14490</v>
      </c>
      <c r="M21" s="34">
        <f t="shared" si="8"/>
        <v>20970</v>
      </c>
      <c r="N21" s="34">
        <f t="shared" si="8"/>
        <v>13980</v>
      </c>
      <c r="O21" s="34">
        <f t="shared" si="8"/>
        <v>18390</v>
      </c>
      <c r="P21" s="34">
        <f t="shared" si="8"/>
        <v>6990</v>
      </c>
      <c r="Q21" s="34">
        <f t="shared" si="8"/>
        <v>6990</v>
      </c>
      <c r="R21" s="34">
        <f t="shared" si="8"/>
        <v>19680</v>
      </c>
      <c r="S21" s="34">
        <f t="shared" si="8"/>
        <v>7500</v>
      </c>
      <c r="T21" s="34">
        <f t="shared" si="8"/>
        <v>12690</v>
      </c>
      <c r="U21" s="34">
        <f t="shared" si="8"/>
        <v>19680</v>
      </c>
      <c r="V21" s="34">
        <f t="shared" si="8"/>
        <v>5700</v>
      </c>
      <c r="W21" s="34">
        <f t="shared" si="8"/>
        <v>11400</v>
      </c>
      <c r="X21" s="34">
        <f t="shared" si="8"/>
        <v>5700</v>
      </c>
      <c r="Y21" s="34">
        <f t="shared" si="8"/>
        <v>12690</v>
      </c>
      <c r="Z21" s="34">
        <f t="shared" si="8"/>
        <v>14490</v>
      </c>
      <c r="AA21" s="34">
        <f t="shared" ref="AA21:AP21" si="9">AA20-(AA10+AA14+AA18)*2400-(AA11+AA15+AA19)*2700</f>
        <v>5700</v>
      </c>
      <c r="AB21" s="34">
        <f t="shared" si="9"/>
        <v>6990</v>
      </c>
      <c r="AC21" s="34">
        <f t="shared" si="9"/>
        <v>27960</v>
      </c>
      <c r="AD21" s="34">
        <f t="shared" si="9"/>
        <v>19680</v>
      </c>
      <c r="AE21" s="34">
        <f t="shared" si="9"/>
        <v>19680</v>
      </c>
      <c r="AF21" s="34">
        <f t="shared" si="9"/>
        <v>6990</v>
      </c>
      <c r="AG21" s="34">
        <f t="shared" si="9"/>
        <v>18390</v>
      </c>
      <c r="AH21" s="34">
        <f t="shared" si="9"/>
        <v>6990</v>
      </c>
      <c r="AI21" s="34">
        <f t="shared" si="9"/>
        <v>6990</v>
      </c>
      <c r="AJ21" s="34">
        <f t="shared" si="9"/>
        <v>7500</v>
      </c>
      <c r="AK21" s="34">
        <f t="shared" si="9"/>
        <v>25380</v>
      </c>
      <c r="AL21" s="34">
        <f t="shared" si="9"/>
        <v>14490</v>
      </c>
      <c r="AM21" s="34">
        <f t="shared" si="9"/>
        <v>6990</v>
      </c>
      <c r="AN21" s="34">
        <f t="shared" si="9"/>
        <v>13980</v>
      </c>
      <c r="AO21" s="34">
        <f t="shared" si="9"/>
        <v>6990</v>
      </c>
      <c r="AP21" s="34">
        <f t="shared" si="9"/>
        <v>6990</v>
      </c>
      <c r="AQ21" s="34">
        <f t="shared" ref="AQ21:AR21" si="10">AQ20-(AQ10+AQ14+AQ18)*2400-(AQ11+AQ15+AQ19)*2700</f>
        <v>12690</v>
      </c>
      <c r="AR21" s="34">
        <f t="shared" si="10"/>
        <v>13980</v>
      </c>
    </row>
    <row r="23" spans="1:44" ht="30" x14ac:dyDescent="0.25">
      <c r="A23" s="22" t="s">
        <v>111</v>
      </c>
      <c r="B23" s="43">
        <f>IF(SUM(B8:B19)=1, 0, IF(SUM(B8:B19)&lt;6, B21*(0.05+(SUM(B8:B19)-1)*0.05), B21*0.25))</f>
        <v>2758.5000000000005</v>
      </c>
      <c r="C23" s="43">
        <f t="shared" ref="C23:F23" si="11">IF(SUM(C8:C19)=1, 0, IF(SUM(C8:C19)&lt;6, C21*(0.05+(SUM(C8:C19)-1)*0.05), C21*0.25))</f>
        <v>8220</v>
      </c>
      <c r="D23" s="43">
        <f t="shared" si="11"/>
        <v>8370</v>
      </c>
      <c r="E23" s="43">
        <f t="shared" si="11"/>
        <v>5076</v>
      </c>
      <c r="F23" s="43">
        <f t="shared" si="11"/>
        <v>0</v>
      </c>
      <c r="G23" s="43">
        <f t="shared" ref="G23:I23" si="12">IF(SUM(G8:G19)=1, 0, IF(SUM(G8:G19)&lt;6, G21*(0.05+(SUM(G8:G19)-1)*0.05), G21*0.25))</f>
        <v>1398</v>
      </c>
      <c r="H23" s="43">
        <f t="shared" si="12"/>
        <v>0</v>
      </c>
      <c r="I23" s="43">
        <f t="shared" si="12"/>
        <v>0</v>
      </c>
      <c r="J23" s="43">
        <f t="shared" ref="J23:Z23" si="13">IF(SUM(J8:J19)=1, 0, IF(SUM(J8:J19)&lt;6, J21*(0.05+(SUM(J8:J19)-1)*0.05), J21*0.25))</f>
        <v>2758.5000000000005</v>
      </c>
      <c r="K23" s="43">
        <f t="shared" si="13"/>
        <v>1140</v>
      </c>
      <c r="L23" s="43">
        <f t="shared" si="13"/>
        <v>1449</v>
      </c>
      <c r="M23" s="43">
        <f t="shared" si="13"/>
        <v>3145.5000000000005</v>
      </c>
      <c r="N23" s="43">
        <f t="shared" si="13"/>
        <v>1398</v>
      </c>
      <c r="O23" s="43">
        <f t="shared" si="13"/>
        <v>2758.5000000000005</v>
      </c>
      <c r="P23" s="43">
        <f t="shared" si="13"/>
        <v>0</v>
      </c>
      <c r="Q23" s="43">
        <f t="shared" si="13"/>
        <v>0</v>
      </c>
      <c r="R23" s="43">
        <f t="shared" si="13"/>
        <v>2952.0000000000005</v>
      </c>
      <c r="S23" s="43">
        <f t="shared" si="13"/>
        <v>0</v>
      </c>
      <c r="T23" s="43">
        <f t="shared" si="13"/>
        <v>1269</v>
      </c>
      <c r="U23" s="43">
        <f t="shared" si="13"/>
        <v>2952.0000000000005</v>
      </c>
      <c r="V23" s="43">
        <f t="shared" si="13"/>
        <v>0</v>
      </c>
      <c r="W23" s="43">
        <f t="shared" si="13"/>
        <v>1140</v>
      </c>
      <c r="X23" s="43">
        <f t="shared" si="13"/>
        <v>0</v>
      </c>
      <c r="Y23" s="43">
        <f t="shared" si="13"/>
        <v>1269</v>
      </c>
      <c r="Z23" s="43">
        <f t="shared" si="13"/>
        <v>1449</v>
      </c>
      <c r="AA23" s="43">
        <f t="shared" ref="AA23:AP23" si="14">IF(SUM(AA8:AA19)=1, 0, IF(SUM(AA8:AA19)&lt;6, AA21*(0.05+(SUM(AA8:AA19)-1)*0.05), AA21*0.25))</f>
        <v>0</v>
      </c>
      <c r="AB23" s="43">
        <f t="shared" si="14"/>
        <v>0</v>
      </c>
      <c r="AC23" s="43">
        <f t="shared" si="14"/>
        <v>5592</v>
      </c>
      <c r="AD23" s="43">
        <f t="shared" si="14"/>
        <v>2952.0000000000005</v>
      </c>
      <c r="AE23" s="43">
        <f t="shared" si="14"/>
        <v>2952.0000000000005</v>
      </c>
      <c r="AF23" s="43">
        <f t="shared" si="14"/>
        <v>0</v>
      </c>
      <c r="AG23" s="43">
        <f t="shared" si="14"/>
        <v>2758.5000000000005</v>
      </c>
      <c r="AH23" s="43">
        <f t="shared" si="14"/>
        <v>0</v>
      </c>
      <c r="AI23" s="43">
        <f t="shared" si="14"/>
        <v>0</v>
      </c>
      <c r="AJ23" s="43">
        <f t="shared" si="14"/>
        <v>0</v>
      </c>
      <c r="AK23" s="43">
        <f t="shared" si="14"/>
        <v>5076</v>
      </c>
      <c r="AL23" s="43">
        <f t="shared" si="14"/>
        <v>1449</v>
      </c>
      <c r="AM23" s="43">
        <f t="shared" si="14"/>
        <v>0</v>
      </c>
      <c r="AN23" s="43">
        <f t="shared" si="14"/>
        <v>1398</v>
      </c>
      <c r="AO23" s="43">
        <f t="shared" si="14"/>
        <v>0</v>
      </c>
      <c r="AP23" s="43">
        <f t="shared" si="14"/>
        <v>0</v>
      </c>
      <c r="AQ23" s="43">
        <f t="shared" ref="AQ23:AR23" si="15">IF(SUM(AQ8:AQ19)=1, 0, IF(SUM(AQ8:AQ19)&lt;6, AQ21*(0.05+(SUM(AQ8:AQ19)-1)*0.05), AQ21*0.25))</f>
        <v>1269</v>
      </c>
      <c r="AR23" s="43">
        <f t="shared" si="15"/>
        <v>1398</v>
      </c>
    </row>
    <row r="24" spans="1:44" x14ac:dyDescent="0.25">
      <c r="A24" s="22" t="s">
        <v>25</v>
      </c>
      <c r="B24" s="43">
        <f>B20-B23</f>
        <v>15631.5</v>
      </c>
      <c r="C24" s="43">
        <f t="shared" ref="C24:F24" si="16">C20-C23</f>
        <v>27360</v>
      </c>
      <c r="D24" s="43">
        <f t="shared" si="16"/>
        <v>25110</v>
      </c>
      <c r="E24" s="43">
        <f t="shared" si="16"/>
        <v>20304</v>
      </c>
      <c r="F24" s="43">
        <f t="shared" si="16"/>
        <v>9690</v>
      </c>
      <c r="G24" s="43">
        <f t="shared" ref="G24" si="17">G20-G23</f>
        <v>12582</v>
      </c>
      <c r="H24" s="43">
        <f t="shared" ref="H24" si="18">H20-H23</f>
        <v>5700</v>
      </c>
      <c r="I24" s="43">
        <f t="shared" ref="I24" si="19">I20-I23</f>
        <v>9690</v>
      </c>
      <c r="J24" s="43">
        <f t="shared" ref="J24:Z24" si="20">J20-J23</f>
        <v>15631.5</v>
      </c>
      <c r="K24" s="43">
        <f t="shared" si="20"/>
        <v>10260</v>
      </c>
      <c r="L24" s="43">
        <f t="shared" si="20"/>
        <v>18441</v>
      </c>
      <c r="M24" s="43">
        <f t="shared" si="20"/>
        <v>17824.5</v>
      </c>
      <c r="N24" s="43">
        <f t="shared" si="20"/>
        <v>15282</v>
      </c>
      <c r="O24" s="43">
        <f t="shared" si="20"/>
        <v>15631.5</v>
      </c>
      <c r="P24" s="43">
        <f t="shared" si="20"/>
        <v>9690</v>
      </c>
      <c r="Q24" s="43">
        <f t="shared" si="20"/>
        <v>9690</v>
      </c>
      <c r="R24" s="43">
        <f t="shared" si="20"/>
        <v>16728</v>
      </c>
      <c r="S24" s="43">
        <f t="shared" si="20"/>
        <v>10200</v>
      </c>
      <c r="T24" s="43">
        <f t="shared" si="20"/>
        <v>11421</v>
      </c>
      <c r="U24" s="43">
        <f t="shared" si="20"/>
        <v>16728</v>
      </c>
      <c r="V24" s="43">
        <f t="shared" si="20"/>
        <v>5700</v>
      </c>
      <c r="W24" s="43">
        <f t="shared" si="20"/>
        <v>10260</v>
      </c>
      <c r="X24" s="43">
        <f t="shared" si="20"/>
        <v>5700</v>
      </c>
      <c r="Y24" s="43">
        <f t="shared" si="20"/>
        <v>11421</v>
      </c>
      <c r="Z24" s="43">
        <f t="shared" si="20"/>
        <v>18441</v>
      </c>
      <c r="AA24" s="43">
        <f t="shared" ref="AA24:AP24" si="21">AA20-AA23</f>
        <v>5700</v>
      </c>
      <c r="AB24" s="43">
        <f t="shared" si="21"/>
        <v>6990</v>
      </c>
      <c r="AC24" s="43">
        <f t="shared" si="21"/>
        <v>33168</v>
      </c>
      <c r="AD24" s="43">
        <f t="shared" si="21"/>
        <v>16728</v>
      </c>
      <c r="AE24" s="43">
        <f t="shared" si="21"/>
        <v>16728</v>
      </c>
      <c r="AF24" s="43">
        <f t="shared" si="21"/>
        <v>6990</v>
      </c>
      <c r="AG24" s="43">
        <f t="shared" si="21"/>
        <v>15631.5</v>
      </c>
      <c r="AH24" s="43">
        <f t="shared" si="21"/>
        <v>9690</v>
      </c>
      <c r="AI24" s="43">
        <f t="shared" si="21"/>
        <v>9690</v>
      </c>
      <c r="AJ24" s="43">
        <f t="shared" si="21"/>
        <v>10200</v>
      </c>
      <c r="AK24" s="43">
        <f t="shared" si="21"/>
        <v>20304</v>
      </c>
      <c r="AL24" s="43">
        <f t="shared" si="21"/>
        <v>18441</v>
      </c>
      <c r="AM24" s="43">
        <f t="shared" si="21"/>
        <v>9690</v>
      </c>
      <c r="AN24" s="43">
        <f t="shared" si="21"/>
        <v>12582</v>
      </c>
      <c r="AO24" s="43">
        <f t="shared" si="21"/>
        <v>6990</v>
      </c>
      <c r="AP24" s="43">
        <f t="shared" si="21"/>
        <v>9690</v>
      </c>
      <c r="AQ24" s="43">
        <f t="shared" ref="AQ24:AR24" si="22">AQ20-AQ23</f>
        <v>11421</v>
      </c>
      <c r="AR24" s="43">
        <f t="shared" si="22"/>
        <v>12582</v>
      </c>
    </row>
    <row r="25" spans="1:44" x14ac:dyDescent="0.25">
      <c r="A25" s="23" t="s">
        <v>26</v>
      </c>
      <c r="B25" s="43">
        <f>B24/SUM(B8:B19)</f>
        <v>5210.5</v>
      </c>
      <c r="C25" s="43">
        <f t="shared" ref="C25:F25" si="23">C24/SUM(C8:C19)</f>
        <v>5472</v>
      </c>
      <c r="D25" s="43">
        <f t="shared" si="23"/>
        <v>5022</v>
      </c>
      <c r="E25" s="43">
        <f t="shared" si="23"/>
        <v>5076</v>
      </c>
      <c r="F25" s="43">
        <f t="shared" si="23"/>
        <v>9690</v>
      </c>
      <c r="G25" s="43">
        <f t="shared" ref="G25" si="24">G24/SUM(G8:G19)</f>
        <v>6291</v>
      </c>
      <c r="H25" s="43">
        <f t="shared" ref="H25" si="25">H24/SUM(H8:H19)</f>
        <v>5700</v>
      </c>
      <c r="I25" s="43">
        <f>I24/SUM(I8:I19)</f>
        <v>9690</v>
      </c>
      <c r="J25" s="43">
        <f t="shared" ref="J25:Z25" si="26">J24/SUM(J8:J19)</f>
        <v>5210.5</v>
      </c>
      <c r="K25" s="43">
        <f t="shared" si="26"/>
        <v>5130</v>
      </c>
      <c r="L25" s="43">
        <f t="shared" si="26"/>
        <v>9220.5</v>
      </c>
      <c r="M25" s="43">
        <f t="shared" si="26"/>
        <v>5941.5</v>
      </c>
      <c r="N25" s="43">
        <f t="shared" si="26"/>
        <v>7641</v>
      </c>
      <c r="O25" s="43">
        <f t="shared" si="26"/>
        <v>5210.5</v>
      </c>
      <c r="P25" s="43">
        <f t="shared" si="26"/>
        <v>9690</v>
      </c>
      <c r="Q25" s="43">
        <f t="shared" si="26"/>
        <v>9690</v>
      </c>
      <c r="R25" s="43">
        <f t="shared" si="26"/>
        <v>5576</v>
      </c>
      <c r="S25" s="43">
        <f t="shared" si="26"/>
        <v>10200</v>
      </c>
      <c r="T25" s="43">
        <f t="shared" si="26"/>
        <v>5710.5</v>
      </c>
      <c r="U25" s="43">
        <f t="shared" si="26"/>
        <v>5576</v>
      </c>
      <c r="V25" s="43">
        <f t="shared" si="26"/>
        <v>5700</v>
      </c>
      <c r="W25" s="43">
        <f t="shared" si="26"/>
        <v>5130</v>
      </c>
      <c r="X25" s="43">
        <f t="shared" si="26"/>
        <v>5700</v>
      </c>
      <c r="Y25" s="43">
        <f t="shared" si="26"/>
        <v>5710.5</v>
      </c>
      <c r="Z25" s="43">
        <f t="shared" si="26"/>
        <v>9220.5</v>
      </c>
      <c r="AA25" s="43">
        <f t="shared" ref="AA25" si="27">AA24/SUM(AA8:AA19)</f>
        <v>5700</v>
      </c>
      <c r="AB25" s="43">
        <f t="shared" ref="AB25" si="28">AB24/SUM(AB8:AB19)</f>
        <v>6990</v>
      </c>
      <c r="AC25" s="43">
        <f t="shared" ref="AC25" si="29">AC24/SUM(AC8:AC19)</f>
        <v>8292</v>
      </c>
      <c r="AD25" s="43">
        <f t="shared" ref="AD25" si="30">AD24/SUM(AD8:AD19)</f>
        <v>5576</v>
      </c>
      <c r="AE25" s="43">
        <f t="shared" ref="AE25" si="31">AE24/SUM(AE8:AE19)</f>
        <v>5576</v>
      </c>
      <c r="AF25" s="43">
        <f t="shared" ref="AF25" si="32">AF24/SUM(AF8:AF19)</f>
        <v>6990</v>
      </c>
      <c r="AG25" s="43">
        <f t="shared" ref="AG25" si="33">AG24/SUM(AG8:AG19)</f>
        <v>5210.5</v>
      </c>
      <c r="AH25" s="43">
        <f t="shared" ref="AH25" si="34">AH24/SUM(AH8:AH19)</f>
        <v>9690</v>
      </c>
      <c r="AI25" s="43">
        <f t="shared" ref="AI25" si="35">AI24/SUM(AI8:AI19)</f>
        <v>9690</v>
      </c>
      <c r="AJ25" s="43">
        <f t="shared" ref="AJ25" si="36">AJ24/SUM(AJ8:AJ19)</f>
        <v>10200</v>
      </c>
      <c r="AK25" s="43">
        <f t="shared" ref="AK25" si="37">AK24/SUM(AK8:AK19)</f>
        <v>5076</v>
      </c>
      <c r="AL25" s="43">
        <f t="shared" ref="AL25" si="38">AL24/SUM(AL8:AL19)</f>
        <v>9220.5</v>
      </c>
      <c r="AM25" s="43">
        <f t="shared" ref="AM25" si="39">AM24/SUM(AM8:AM19)</f>
        <v>9690</v>
      </c>
      <c r="AN25" s="43">
        <f t="shared" ref="AN25" si="40">AN24/SUM(AN8:AN19)</f>
        <v>6291</v>
      </c>
      <c r="AO25" s="43">
        <f t="shared" ref="AO25" si="41">AO24/SUM(AO8:AO19)</f>
        <v>6990</v>
      </c>
      <c r="AP25" s="43">
        <f t="shared" ref="AP25" si="42">AP24/SUM(AP8:AP19)</f>
        <v>9690</v>
      </c>
      <c r="AQ25" s="43">
        <f t="shared" ref="AQ25" si="43">AQ24/SUM(AQ8:AQ19)</f>
        <v>5710.5</v>
      </c>
      <c r="AR25" s="43">
        <f t="shared" ref="AR25" si="44">AR24/SUM(AR8:AR19)</f>
        <v>6291</v>
      </c>
    </row>
    <row r="27" spans="1:44" x14ac:dyDescent="0.25">
      <c r="A27" s="76" t="s">
        <v>107</v>
      </c>
      <c r="B27" s="87">
        <f>B24/(SUM(B8:B9)*$C$34+SUM(B10:B11)*$C$35+SUM(B12:B13)*$C$36+SUM(B14:B15)*$C$37+SUM(B16:B17)*$C$38+SUM(B18:B19)*$C$39)</f>
        <v>0.49623809523809526</v>
      </c>
      <c r="C27" s="87">
        <f t="shared" ref="C27:I27" si="45">C24/(SUM(C8:C9)*$C$34+SUM(C10:C11)*$C$35+SUM(C12:C13)*$C$36+SUM(C14:C15)*$C$37+SUM(C16:C17)*$C$38+SUM(C18:C19)*$C$39)</f>
        <v>0.41998618466497811</v>
      </c>
      <c r="D27" s="87">
        <f t="shared" si="45"/>
        <v>0.44096728307254623</v>
      </c>
      <c r="E27" s="87">
        <f t="shared" si="45"/>
        <v>0.46553858852661989</v>
      </c>
      <c r="F27" s="87">
        <f t="shared" si="45"/>
        <v>0.48367774782869122</v>
      </c>
      <c r="G27" s="87">
        <f t="shared" si="45"/>
        <v>0.51931649331352159</v>
      </c>
      <c r="H27" s="87">
        <f t="shared" si="45"/>
        <v>0.58805323429278866</v>
      </c>
      <c r="I27" s="87">
        <f t="shared" si="45"/>
        <v>0.48367774782869122</v>
      </c>
      <c r="J27" s="87">
        <f t="shared" ref="J27:Z27" si="46">J24/(SUM(J8:J9)*$C$34+SUM(J10:J11)*$C$35+SUM(J12:J13)*$C$36+SUM(J14:J15)*$C$37+SUM(J16:J17)*$C$38+SUM(J18:J19)*$C$39)</f>
        <v>0.49623809523809526</v>
      </c>
      <c r="K27" s="87">
        <f t="shared" si="46"/>
        <v>0.52924791086350975</v>
      </c>
      <c r="L27" s="87">
        <f t="shared" si="46"/>
        <v>0.44366654637315051</v>
      </c>
      <c r="M27" s="87">
        <f t="shared" si="46"/>
        <v>0.49046557701832588</v>
      </c>
      <c r="N27" s="87">
        <f t="shared" si="46"/>
        <v>0.4753639417693169</v>
      </c>
      <c r="O27" s="87">
        <f t="shared" si="46"/>
        <v>0.49623809523809526</v>
      </c>
      <c r="P27" s="87">
        <f t="shared" si="46"/>
        <v>0.48367774782869122</v>
      </c>
      <c r="Q27" s="87">
        <f t="shared" si="46"/>
        <v>0.48367774782869122</v>
      </c>
      <c r="R27" s="87">
        <f t="shared" si="46"/>
        <v>0.49314583886088265</v>
      </c>
      <c r="S27" s="87">
        <f t="shared" si="46"/>
        <v>0.47373554409920582</v>
      </c>
      <c r="T27" s="87">
        <f t="shared" si="46"/>
        <v>0.52373091209244738</v>
      </c>
      <c r="U27" s="87">
        <f t="shared" si="46"/>
        <v>0.49314583886088265</v>
      </c>
      <c r="V27" s="87">
        <f t="shared" si="46"/>
        <v>0.58805323429278866</v>
      </c>
      <c r="W27" s="87">
        <f t="shared" si="46"/>
        <v>0.52924791086350975</v>
      </c>
      <c r="X27" s="87">
        <f t="shared" si="46"/>
        <v>0.58805323429278866</v>
      </c>
      <c r="Y27" s="87">
        <f t="shared" si="46"/>
        <v>0.52373091209244738</v>
      </c>
      <c r="Z27" s="87">
        <f t="shared" si="46"/>
        <v>0.44366654637315051</v>
      </c>
      <c r="AA27" s="87">
        <f t="shared" ref="AA27:AP27" si="47">AA24/(SUM(AA8:AA9)*$C$34+SUM(AA10:AA11)*$C$35+SUM(AA12:AA13)*$C$36+SUM(AA14:AA15)*$C$37+SUM(AA16:AA17)*$C$38+SUM(AA18:AA19)*$C$39)</f>
        <v>0.58805323429278866</v>
      </c>
      <c r="AB27" s="87">
        <f t="shared" si="47"/>
        <v>0.57701832590391278</v>
      </c>
      <c r="AC27" s="87">
        <f t="shared" si="47"/>
        <v>0.4138963761605271</v>
      </c>
      <c r="AD27" s="87">
        <f t="shared" si="47"/>
        <v>0.49314583886088265</v>
      </c>
      <c r="AE27" s="87">
        <f t="shared" si="47"/>
        <v>0.49314583886088265</v>
      </c>
      <c r="AF27" s="87">
        <f t="shared" si="47"/>
        <v>0.57701832590391278</v>
      </c>
      <c r="AG27" s="87">
        <f t="shared" si="47"/>
        <v>0.49623809523809526</v>
      </c>
      <c r="AH27" s="87">
        <f t="shared" si="47"/>
        <v>0.48367774782869122</v>
      </c>
      <c r="AI27" s="87">
        <f t="shared" si="47"/>
        <v>0.48367774782869122</v>
      </c>
      <c r="AJ27" s="87">
        <f t="shared" si="47"/>
        <v>0.47373554409920582</v>
      </c>
      <c r="AK27" s="87">
        <f t="shared" si="47"/>
        <v>0.46553858852661989</v>
      </c>
      <c r="AL27" s="87">
        <f t="shared" si="47"/>
        <v>0.44366654637315051</v>
      </c>
      <c r="AM27" s="87">
        <f t="shared" si="47"/>
        <v>0.48367774782869122</v>
      </c>
      <c r="AN27" s="87">
        <f t="shared" si="47"/>
        <v>0.51931649331352159</v>
      </c>
      <c r="AO27" s="87">
        <f t="shared" si="47"/>
        <v>0.57701832590391278</v>
      </c>
      <c r="AP27" s="87">
        <f t="shared" si="47"/>
        <v>0.48367774782869122</v>
      </c>
      <c r="AQ27" s="87">
        <f t="shared" ref="AQ27:AR27" si="48">AQ24/(SUM(AQ8:AQ9)*$C$34+SUM(AQ10:AQ11)*$C$35+SUM(AQ12:AQ13)*$C$36+SUM(AQ14:AQ15)*$C$37+SUM(AQ16:AQ17)*$C$38+SUM(AQ18:AQ19)*$C$39)</f>
        <v>0.52373091209244738</v>
      </c>
      <c r="AR27" s="87">
        <f t="shared" si="48"/>
        <v>0.51931649331352159</v>
      </c>
    </row>
    <row r="33" spans="2:10" ht="40.9" customHeight="1" x14ac:dyDescent="0.25">
      <c r="B33" s="80"/>
      <c r="C33" s="81" t="s">
        <v>108</v>
      </c>
      <c r="D33" s="82" t="s">
        <v>105</v>
      </c>
      <c r="E33" s="83" t="s">
        <v>106</v>
      </c>
      <c r="I33" s="28" t="s">
        <v>39</v>
      </c>
      <c r="J33" s="42">
        <f>SUM(B24:AR24)/SUM(B8:AR19)</f>
        <v>6425.916666666667</v>
      </c>
    </row>
    <row r="34" spans="2:10" x14ac:dyDescent="0.25">
      <c r="B34" s="82" t="s">
        <v>99</v>
      </c>
      <c r="C34" s="78">
        <f>3231*3</f>
        <v>9693</v>
      </c>
      <c r="D34" s="79">
        <f>B3</f>
        <v>5700</v>
      </c>
      <c r="E34" s="84">
        <f>D34/C34</f>
        <v>0.58805323429278866</v>
      </c>
    </row>
    <row r="35" spans="2:10" x14ac:dyDescent="0.25">
      <c r="B35" s="82" t="s">
        <v>104</v>
      </c>
      <c r="C35" s="78">
        <f>4343*3</f>
        <v>13029</v>
      </c>
      <c r="D35" s="79">
        <f>E3</f>
        <v>8400</v>
      </c>
      <c r="E35" s="84">
        <f t="shared" ref="E35:E39" si="49">D35/C35</f>
        <v>0.64471563435413304</v>
      </c>
    </row>
    <row r="36" spans="2:10" x14ac:dyDescent="0.25">
      <c r="B36" s="82" t="s">
        <v>100</v>
      </c>
      <c r="C36" s="78">
        <f>4038*3</f>
        <v>12114</v>
      </c>
      <c r="D36" s="79">
        <f>B4</f>
        <v>6990</v>
      </c>
      <c r="E36" s="84">
        <f t="shared" si="49"/>
        <v>0.57701832590391278</v>
      </c>
    </row>
    <row r="37" spans="2:10" x14ac:dyDescent="0.25">
      <c r="B37" s="82" t="s">
        <v>101</v>
      </c>
      <c r="C37" s="78">
        <f>6678*3</f>
        <v>20034</v>
      </c>
      <c r="D37" s="79">
        <f>E4</f>
        <v>9690</v>
      </c>
      <c r="E37" s="84">
        <f t="shared" si="49"/>
        <v>0.48367774782869122</v>
      </c>
    </row>
    <row r="38" spans="2:10" x14ac:dyDescent="0.25">
      <c r="B38" s="82" t="s">
        <v>102</v>
      </c>
      <c r="C38" s="78">
        <f>4443*3</f>
        <v>13329</v>
      </c>
      <c r="D38" s="79">
        <f>B5</f>
        <v>7500</v>
      </c>
      <c r="E38" s="84">
        <f t="shared" si="49"/>
        <v>0.5626828719333784</v>
      </c>
    </row>
    <row r="39" spans="2:10" x14ac:dyDescent="0.25">
      <c r="B39" s="82" t="s">
        <v>103</v>
      </c>
      <c r="C39" s="78">
        <f>7177*3</f>
        <v>21531</v>
      </c>
      <c r="D39" s="79">
        <f>E5</f>
        <v>10200</v>
      </c>
      <c r="E39" s="84">
        <f t="shared" si="49"/>
        <v>0.47373554409920582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Bursary</vt:lpstr>
      <vt:lpstr>Bursary+</vt:lpstr>
      <vt:lpstr>Statement of Financial Circs.</vt:lpstr>
      <vt:lpstr>Extra Child 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cp:lastPrinted>2021-01-11T15:11:21Z</cp:lastPrinted>
  <dcterms:created xsi:type="dcterms:W3CDTF">2018-03-02T15:29:04Z</dcterms:created>
  <dcterms:modified xsi:type="dcterms:W3CDTF">2021-01-11T15:15:25Z</dcterms:modified>
</cp:coreProperties>
</file>