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H6">
      <text>
        <t xml:space="preserve">Entry - 56 - entry -  14
	-Steven B</t>
      </text>
    </comment>
    <comment authorId="0" ref="G6">
      <text>
        <t xml:space="preserve">Launch + 36 - Launch + 42
	-Steven B</t>
      </text>
    </comment>
    <comment authorId="0" ref="P6">
      <text>
        <t xml:space="preserve">other times
	-Steven B</t>
      </text>
    </comment>
    <comment authorId="0" ref="Y6">
      <text>
        <t xml:space="preserve">Entry -14 - entry
	-Steven B</t>
      </text>
    </comment>
    <comment authorId="0" ref="P5">
      <text>
        <t xml:space="preserve">intermediate transit period
	-Steven B</t>
      </text>
    </comment>
    <comment authorId="0" ref="Y5">
      <text>
        <t xml:space="preserve">1 week after each of 5 TCMs
	-Steven B</t>
      </text>
    </comment>
    <comment authorId="0" ref="G5">
      <text>
        <t xml:space="preserve">2 weeks after launch + 8 weeks before entry
	-Steven B</t>
      </text>
    </comment>
  </commentList>
</comments>
</file>

<file path=xl/sharedStrings.xml><?xml version="1.0" encoding="utf-8"?>
<sst xmlns="http://schemas.openxmlformats.org/spreadsheetml/2006/main" count="83" uniqueCount="44">
  <si>
    <t>Hourly rate (FY10)</t>
  </si>
  <si>
    <t>Hourly rate (FY19)</t>
  </si>
  <si>
    <t>Period 1</t>
  </si>
  <si>
    <t>Period 2</t>
  </si>
  <si>
    <t>Period 3</t>
  </si>
  <si>
    <t>Period 4</t>
  </si>
  <si>
    <t>Antennas required</t>
  </si>
  <si>
    <t>Antenna Factor</t>
  </si>
  <si>
    <t>Uplink rate from DSN (bps)</t>
  </si>
  <si>
    <t>Downlink rate to DSN (bps)</t>
  </si>
  <si>
    <t>Period length (wks)</t>
  </si>
  <si>
    <t>Contact frequency (/wk)</t>
  </si>
  <si>
    <t>Contact Duration (hrs)</t>
  </si>
  <si>
    <t>Contact hrs/wk</t>
  </si>
  <si>
    <t>Total period hrs</t>
  </si>
  <si>
    <t>UL/DL ratio</t>
  </si>
  <si>
    <t>Weekly Uplink (bits/wk)</t>
  </si>
  <si>
    <t xml:space="preserve">Weekly Downlink (bits/wk)
</t>
  </si>
  <si>
    <t>Period cost</t>
  </si>
  <si>
    <t xml:space="preserve">Period cost
</t>
  </si>
  <si>
    <t>Total Hours</t>
  </si>
  <si>
    <t>Total Cost</t>
  </si>
  <si>
    <t>Cruise stage</t>
  </si>
  <si>
    <t>Doppler Traking</t>
  </si>
  <si>
    <t>1 34 m</t>
  </si>
  <si>
    <t>Detla DOR tracking</t>
  </si>
  <si>
    <t>2 34 m</t>
  </si>
  <si>
    <t>Command uplink</t>
  </si>
  <si>
    <t>Critical event</t>
  </si>
  <si>
    <t>1 70 m</t>
  </si>
  <si>
    <t>Lander Stage to orbiters</t>
  </si>
  <si>
    <t>Link to DSN</t>
  </si>
  <si>
    <t>1 34m</t>
  </si>
  <si>
    <t>MRO link</t>
  </si>
  <si>
    <t>TGO link</t>
  </si>
  <si>
    <t>MAVEN link</t>
  </si>
  <si>
    <t>Odyssey</t>
  </si>
  <si>
    <t>Critcal Event</t>
  </si>
  <si>
    <t>1 70m</t>
  </si>
  <si>
    <t>Totals</t>
  </si>
  <si>
    <t>Desired</t>
  </si>
  <si>
    <t>Deficit</t>
  </si>
  <si>
    <t>Orbiters to Earth</t>
  </si>
  <si>
    <t>Total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</si>
</sst>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/>
    <font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8E7CC3"/>
        <bgColor rgb="FF8E7CC3"/>
      </patternFill>
    </fill>
    <fill>
      <patternFill patternType="solid">
        <fgColor rgb="FFFFD965"/>
        <bgColor rgb="FFFFD965"/>
      </patternFill>
    </fill>
    <fill>
      <patternFill patternType="solid">
        <fgColor rgb="FFF6B26B"/>
        <bgColor rgb="FFF6B26B"/>
      </patternFill>
    </fill>
  </fills>
  <borders count="6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1" fillId="3" fontId="2" numFmtId="0" xfId="0" applyAlignment="1" applyBorder="1" applyFill="1" applyFont="1">
      <alignment horizontal="center"/>
    </xf>
    <xf borderId="1" fillId="4" fontId="2" numFmtId="0" xfId="0" applyAlignment="1" applyBorder="1" applyFill="1" applyFont="1">
      <alignment horizontal="center"/>
    </xf>
    <xf borderId="1" fillId="5" fontId="4" numFmtId="0" xfId="0" applyAlignment="1" applyBorder="1" applyFill="1" applyFont="1">
      <alignment horizontal="center" readingOrder="0"/>
    </xf>
    <xf borderId="4" fillId="6" fontId="2" numFmtId="0" xfId="0" applyBorder="1" applyFill="1" applyFont="1"/>
    <xf borderId="4" fillId="6" fontId="4" numFmtId="0" xfId="0" applyAlignment="1" applyBorder="1" applyFont="1">
      <alignment readingOrder="0"/>
    </xf>
    <xf borderId="4" fillId="2" fontId="2" numFmtId="0" xfId="0" applyBorder="1" applyFont="1"/>
    <xf borderId="4" fillId="2" fontId="4" numFmtId="0" xfId="0" applyAlignment="1" applyBorder="1" applyFont="1">
      <alignment readingOrder="0"/>
    </xf>
    <xf borderId="4" fillId="2" fontId="4" numFmtId="0" xfId="0" applyAlignment="1" applyBorder="1" applyFont="1">
      <alignment readingOrder="0" vertical="bottom"/>
    </xf>
    <xf borderId="4" fillId="7" fontId="4" numFmtId="0" xfId="0" applyAlignment="1" applyBorder="1" applyFill="1" applyFont="1">
      <alignment readingOrder="0"/>
    </xf>
    <xf borderId="4" fillId="3" fontId="2" numFmtId="0" xfId="0" applyBorder="1" applyFont="1"/>
    <xf borderId="4" fillId="3" fontId="4" numFmtId="0" xfId="0" applyAlignment="1" applyBorder="1" applyFont="1">
      <alignment readingOrder="0"/>
    </xf>
    <xf borderId="4" fillId="3" fontId="4" numFmtId="0" xfId="0" applyAlignment="1" applyBorder="1" applyFont="1">
      <alignment readingOrder="0" vertical="bottom"/>
    </xf>
    <xf borderId="4" fillId="4" fontId="2" numFmtId="0" xfId="0" applyBorder="1" applyFont="1"/>
    <xf borderId="4" fillId="4" fontId="4" numFmtId="0" xfId="0" applyAlignment="1" applyBorder="1" applyFont="1">
      <alignment readingOrder="0"/>
    </xf>
    <xf borderId="4" fillId="4" fontId="4" numFmtId="0" xfId="0" applyAlignment="1" applyBorder="1" applyFont="1">
      <alignment readingOrder="0" vertical="bottom"/>
    </xf>
    <xf borderId="4" fillId="5" fontId="2" numFmtId="0" xfId="0" applyBorder="1" applyFont="1"/>
    <xf borderId="4" fillId="5" fontId="4" numFmtId="0" xfId="0" applyAlignment="1" applyBorder="1" applyFont="1">
      <alignment readingOrder="0"/>
    </xf>
    <xf borderId="4" fillId="5" fontId="4" numFmtId="0" xfId="0" applyAlignment="1" applyBorder="1" applyFont="1">
      <alignment readingOrder="0" vertical="bottom"/>
    </xf>
    <xf borderId="5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18.5"/>
    <col customWidth="1" min="2" max="2" width="15.63"/>
    <col customWidth="1" min="3" max="3" width="15.88"/>
    <col customWidth="1" min="4" max="4" width="12.75"/>
    <col customWidth="1" min="5" max="5" width="21.38"/>
    <col customWidth="1" min="6" max="6" width="20.5"/>
    <col customWidth="1" min="7" max="7" width="14.88"/>
    <col customWidth="1" min="8" max="8" width="21.38"/>
    <col customWidth="1" min="9" max="9" width="17.13"/>
    <col customWidth="1" min="10" max="11" width="15.88"/>
    <col customWidth="1" min="12" max="14" width="25.5"/>
    <col customWidth="1" min="15" max="16" width="17.5"/>
    <col customWidth="1" min="17" max="17" width="18.38"/>
    <col customWidth="1" min="18" max="18" width="19.13"/>
    <col customWidth="1" min="19" max="20" width="18.5"/>
    <col customWidth="1" min="21" max="22" width="22.38"/>
    <col customWidth="1" min="23" max="23" width="21.38"/>
    <col customWidth="1" min="24" max="25" width="16.38"/>
    <col customWidth="1" min="26" max="26" width="20.25"/>
    <col customWidth="1" min="27" max="27" width="20.38"/>
    <col customWidth="1" min="28" max="29" width="13.5"/>
    <col customWidth="1" min="30" max="31" width="22.0"/>
    <col customWidth="1" min="32" max="32" width="20.38"/>
    <col customWidth="1" min="33" max="33" width="12.88"/>
    <col customWidth="1" min="34" max="34" width="16.38"/>
    <col customWidth="1" min="35" max="35" width="20.25"/>
    <col customWidth="1" min="36" max="36" width="20.38"/>
    <col customWidth="1" min="37" max="38" width="13.5"/>
    <col customWidth="1" min="39" max="40" width="22.0"/>
    <col customWidth="1" min="41" max="41" width="20.38"/>
    <col customWidth="1" min="42" max="43" width="12.88"/>
    <col customWidth="1" min="44" max="44" width="18.25"/>
    <col customWidth="1" min="45" max="49" width="7.63"/>
  </cols>
  <sheetData>
    <row r="1" ht="14.25" customHeight="1">
      <c r="A1" s="1" t="s">
        <v>0</v>
      </c>
      <c r="C1" s="2">
        <v>1057.0</v>
      </c>
    </row>
    <row r="2" ht="14.25" customHeight="1">
      <c r="A2" s="1" t="s">
        <v>1</v>
      </c>
      <c r="C2" s="1">
        <f>1.16*C1</f>
        <v>1226.12</v>
      </c>
      <c r="G2" s="3" t="s">
        <v>2</v>
      </c>
      <c r="H2" s="4"/>
      <c r="I2" s="4"/>
      <c r="J2" s="4"/>
      <c r="K2" s="4"/>
      <c r="L2" s="4"/>
      <c r="M2" s="4"/>
      <c r="N2" s="4"/>
      <c r="O2" s="5"/>
      <c r="P2" s="6" t="s">
        <v>3</v>
      </c>
      <c r="Q2" s="4"/>
      <c r="R2" s="4"/>
      <c r="S2" s="4"/>
      <c r="T2" s="4"/>
      <c r="U2" s="4"/>
      <c r="V2" s="4"/>
      <c r="W2" s="4"/>
      <c r="X2" s="5"/>
      <c r="Y2" s="7" t="s">
        <v>4</v>
      </c>
      <c r="Z2" s="4"/>
      <c r="AA2" s="4"/>
      <c r="AB2" s="4"/>
      <c r="AC2" s="4"/>
      <c r="AD2" s="4"/>
      <c r="AE2" s="4"/>
      <c r="AF2" s="4"/>
      <c r="AG2" s="5"/>
      <c r="AH2" s="8" t="s">
        <v>5</v>
      </c>
      <c r="AI2" s="4"/>
      <c r="AJ2" s="4"/>
      <c r="AK2" s="4"/>
      <c r="AL2" s="4"/>
      <c r="AM2" s="4"/>
      <c r="AN2" s="4"/>
      <c r="AO2" s="4"/>
      <c r="AP2" s="5"/>
    </row>
    <row r="3" ht="14.25" customHeight="1">
      <c r="C3" s="9" t="s">
        <v>6</v>
      </c>
      <c r="D3" s="9" t="s">
        <v>7</v>
      </c>
      <c r="E3" s="10" t="s">
        <v>8</v>
      </c>
      <c r="F3" s="10" t="s">
        <v>9</v>
      </c>
      <c r="G3" s="11" t="s">
        <v>10</v>
      </c>
      <c r="H3" s="11" t="s">
        <v>11</v>
      </c>
      <c r="I3" s="11" t="s">
        <v>12</v>
      </c>
      <c r="J3" s="12" t="s">
        <v>13</v>
      </c>
      <c r="K3" s="11" t="s">
        <v>14</v>
      </c>
      <c r="L3" s="12" t="s">
        <v>15</v>
      </c>
      <c r="M3" s="12" t="s">
        <v>16</v>
      </c>
      <c r="N3" s="13" t="s">
        <v>17</v>
      </c>
      <c r="O3" s="14" t="s">
        <v>18</v>
      </c>
      <c r="P3" s="15" t="s">
        <v>10</v>
      </c>
      <c r="Q3" s="15" t="s">
        <v>11</v>
      </c>
      <c r="R3" s="15" t="s">
        <v>12</v>
      </c>
      <c r="S3" s="16" t="s">
        <v>13</v>
      </c>
      <c r="T3" s="16" t="s">
        <v>14</v>
      </c>
      <c r="U3" s="16" t="s">
        <v>15</v>
      </c>
      <c r="V3" s="16" t="s">
        <v>16</v>
      </c>
      <c r="W3" s="17" t="s">
        <v>17</v>
      </c>
      <c r="X3" s="16" t="s">
        <v>18</v>
      </c>
      <c r="Y3" s="18" t="s">
        <v>10</v>
      </c>
      <c r="Z3" s="18" t="s">
        <v>11</v>
      </c>
      <c r="AA3" s="18" t="s">
        <v>12</v>
      </c>
      <c r="AB3" s="19" t="s">
        <v>13</v>
      </c>
      <c r="AC3" s="18" t="s">
        <v>14</v>
      </c>
      <c r="AD3" s="19" t="s">
        <v>15</v>
      </c>
      <c r="AE3" s="19" t="s">
        <v>16</v>
      </c>
      <c r="AF3" s="20" t="s">
        <v>17</v>
      </c>
      <c r="AG3" s="19" t="s">
        <v>19</v>
      </c>
      <c r="AH3" s="21" t="s">
        <v>10</v>
      </c>
      <c r="AI3" s="21" t="s">
        <v>11</v>
      </c>
      <c r="AJ3" s="21" t="s">
        <v>12</v>
      </c>
      <c r="AK3" s="22" t="s">
        <v>13</v>
      </c>
      <c r="AL3" s="21" t="s">
        <v>14</v>
      </c>
      <c r="AM3" s="22" t="s">
        <v>15</v>
      </c>
      <c r="AN3" s="22" t="s">
        <v>16</v>
      </c>
      <c r="AO3" s="23" t="s">
        <v>17</v>
      </c>
      <c r="AP3" s="22" t="s">
        <v>19</v>
      </c>
      <c r="AQ3" s="9" t="s">
        <v>20</v>
      </c>
      <c r="AR3" s="10" t="s">
        <v>21</v>
      </c>
    </row>
    <row r="4" ht="14.25" customHeight="1">
      <c r="A4" s="1" t="s">
        <v>22</v>
      </c>
    </row>
    <row r="5" ht="14.25" customHeight="1">
      <c r="B5" s="1" t="s">
        <v>23</v>
      </c>
      <c r="C5" s="1" t="s">
        <v>24</v>
      </c>
      <c r="D5" s="2">
        <v>1.0</v>
      </c>
      <c r="E5" s="2">
        <v>0.0</v>
      </c>
      <c r="F5" s="2">
        <v>0.0</v>
      </c>
      <c r="G5" s="2">
        <v>10.0</v>
      </c>
      <c r="H5" s="2">
        <v>14.0</v>
      </c>
      <c r="I5" s="2">
        <v>12.0</v>
      </c>
      <c r="J5" s="1">
        <f>H5*CEILING(I5)</f>
        <v>168</v>
      </c>
      <c r="K5" s="1">
        <f t="shared" ref="K5:K26" si="1">(H5*CEILING(I5))*G5</f>
        <v>1680</v>
      </c>
      <c r="L5" s="2">
        <v>1.0</v>
      </c>
      <c r="M5" s="1">
        <f t="shared" ref="M5:M8" si="2">L5*J5*E5*3600</f>
        <v>0</v>
      </c>
      <c r="N5" s="1">
        <f t="shared" ref="N5:N8" si="3">M5*K5*F5</f>
        <v>0</v>
      </c>
      <c r="O5" s="1">
        <f>C2*(D5*(0.9+H5/10))*(K5+H5*G5)</f>
        <v>5132538.32</v>
      </c>
      <c r="P5" s="1">
        <f>229/7-G5-Y5</f>
        <v>17.71428571</v>
      </c>
      <c r="Q5" s="2">
        <v>3.0</v>
      </c>
      <c r="R5" s="2">
        <v>8.0</v>
      </c>
      <c r="S5" s="1">
        <f t="shared" ref="S5:S6" si="4">Q5*R5</f>
        <v>24</v>
      </c>
      <c r="T5" s="1">
        <f t="shared" ref="T5:T6" si="5">S5*P5</f>
        <v>425.1428571</v>
      </c>
      <c r="X5" s="1">
        <f>C2*(D5*(0.9+Q5/10))*(T5+Q5*P5)</f>
        <v>703722.816</v>
      </c>
      <c r="Y5" s="2">
        <v>5.0</v>
      </c>
      <c r="Z5" s="2">
        <v>14.0</v>
      </c>
      <c r="AA5" s="2">
        <v>12.0</v>
      </c>
      <c r="AB5" s="1">
        <f>Z5*AA5</f>
        <v>168</v>
      </c>
      <c r="AC5" s="1">
        <f t="shared" ref="AC5:AC6" si="6">(Z5*CEILING(AA5))*Y5</f>
        <v>840</v>
      </c>
      <c r="AG5" s="1">
        <f>C2*(D5*(0.9+Z5/10))*(AC5+Z5*Y5)</f>
        <v>2566269.16</v>
      </c>
      <c r="AL5" s="1">
        <f t="shared" ref="AL5:AL6" si="7">(AI5*CEILING(AJ5))*AH5</f>
        <v>0</v>
      </c>
      <c r="AP5" s="1">
        <f t="shared" ref="AP5:AP6" si="8">C1*(D5*(0.9+AI5/10))*(AL5+AI5*AH5)</f>
        <v>0</v>
      </c>
      <c r="AQ5" s="1">
        <f t="shared" ref="AQ5:AQ25" si="9">AC5+T5+AL5+K5</f>
        <v>2945.142857</v>
      </c>
      <c r="AR5" s="1">
        <f t="shared" ref="AR5:AR10" si="10">AG5+X5+O5+AP5</f>
        <v>8402530.296</v>
      </c>
    </row>
    <row r="6" ht="14.25" customHeight="1">
      <c r="B6" s="1" t="s">
        <v>25</v>
      </c>
      <c r="C6" s="1" t="s">
        <v>26</v>
      </c>
      <c r="D6" s="2">
        <v>2.0</v>
      </c>
      <c r="E6" s="2">
        <v>0.0</v>
      </c>
      <c r="F6" s="2">
        <v>0.0</v>
      </c>
      <c r="G6" s="2">
        <v>1.0</v>
      </c>
      <c r="H6" s="2">
        <v>7.0</v>
      </c>
      <c r="I6" s="2">
        <v>2.0</v>
      </c>
      <c r="J6" s="1">
        <f t="shared" ref="J6:J8" si="11">H6*I6</f>
        <v>14</v>
      </c>
      <c r="K6" s="1">
        <f t="shared" si="1"/>
        <v>14</v>
      </c>
      <c r="L6" s="2">
        <v>1.0</v>
      </c>
      <c r="M6" s="1">
        <f t="shared" si="2"/>
        <v>0</v>
      </c>
      <c r="N6" s="1">
        <f t="shared" si="3"/>
        <v>0</v>
      </c>
      <c r="O6" s="1">
        <f>C2*(D6*(0.9+H6/10))*(K6+H6*G6)</f>
        <v>82395.264</v>
      </c>
      <c r="P6" s="1">
        <f>229/7-G6-Y6-AH6</f>
        <v>23.71428571</v>
      </c>
      <c r="Q6" s="2">
        <v>1.0</v>
      </c>
      <c r="R6" s="2">
        <v>2.0</v>
      </c>
      <c r="S6" s="1">
        <f t="shared" si="4"/>
        <v>2</v>
      </c>
      <c r="T6" s="1">
        <f t="shared" si="5"/>
        <v>47.42857143</v>
      </c>
      <c r="X6" s="1">
        <f>C2*(D6*(0.9+Q6/10))*(T6+Q6*P6)</f>
        <v>174459.36</v>
      </c>
      <c r="Y6" s="2">
        <v>2.0</v>
      </c>
      <c r="Z6" s="2">
        <v>21.0</v>
      </c>
      <c r="AA6" s="2">
        <v>2.0</v>
      </c>
      <c r="AB6" s="1">
        <f>AA6*Z6</f>
        <v>42</v>
      </c>
      <c r="AC6" s="1">
        <f t="shared" si="6"/>
        <v>84</v>
      </c>
      <c r="AG6" s="1">
        <f>C2*(D6*(0.9+Z6/10))*(AC6+Z6*Y6)</f>
        <v>926946.72</v>
      </c>
      <c r="AH6" s="2">
        <v>6.0</v>
      </c>
      <c r="AI6" s="2">
        <v>3.0</v>
      </c>
      <c r="AJ6" s="2">
        <v>2.0</v>
      </c>
      <c r="AK6" s="1">
        <f>AJ6*AI6</f>
        <v>6</v>
      </c>
      <c r="AL6" s="1">
        <f t="shared" si="7"/>
        <v>36</v>
      </c>
      <c r="AP6" s="1">
        <f t="shared" si="8"/>
        <v>158905.152</v>
      </c>
      <c r="AQ6" s="1">
        <f t="shared" si="9"/>
        <v>181.4285714</v>
      </c>
      <c r="AR6" s="1">
        <f t="shared" si="10"/>
        <v>1342706.496</v>
      </c>
    </row>
    <row r="7" ht="14.25" customHeight="1">
      <c r="B7" s="1" t="s">
        <v>27</v>
      </c>
      <c r="C7" s="1" t="s">
        <v>24</v>
      </c>
      <c r="D7" s="2">
        <v>1.0</v>
      </c>
      <c r="E7" s="2">
        <v>32.0</v>
      </c>
      <c r="F7" s="2">
        <v>0.0</v>
      </c>
      <c r="G7" s="2">
        <f t="shared" ref="G7:G8" si="12">229/7</f>
        <v>32.71428571</v>
      </c>
      <c r="H7" s="2">
        <v>1.0</v>
      </c>
      <c r="I7" s="2">
        <v>3.0</v>
      </c>
      <c r="J7" s="1">
        <f t="shared" si="11"/>
        <v>3</v>
      </c>
      <c r="K7" s="1">
        <f t="shared" si="1"/>
        <v>98.14285714</v>
      </c>
      <c r="L7" s="2">
        <v>1.0</v>
      </c>
      <c r="M7" s="1">
        <f t="shared" si="2"/>
        <v>345600</v>
      </c>
      <c r="N7" s="1">
        <f t="shared" si="3"/>
        <v>0</v>
      </c>
      <c r="O7" s="1">
        <f>C2*(D7*(0.9+H7/10))*(K7+H7*G7)</f>
        <v>160446.56</v>
      </c>
      <c r="AQ7" s="1">
        <f t="shared" si="9"/>
        <v>98.14285714</v>
      </c>
      <c r="AR7" s="1">
        <f t="shared" si="10"/>
        <v>160446.56</v>
      </c>
    </row>
    <row r="8" ht="14.25" customHeight="1">
      <c r="B8" s="2" t="s">
        <v>28</v>
      </c>
      <c r="C8" s="2" t="s">
        <v>29</v>
      </c>
      <c r="D8" s="2">
        <v>4.0</v>
      </c>
      <c r="E8" s="2">
        <v>128.0</v>
      </c>
      <c r="F8" s="2">
        <v>0.0</v>
      </c>
      <c r="G8" s="2">
        <f t="shared" si="12"/>
        <v>32.71428571</v>
      </c>
      <c r="J8" s="1">
        <f t="shared" si="11"/>
        <v>0</v>
      </c>
      <c r="K8" s="1">
        <f t="shared" si="1"/>
        <v>0</v>
      </c>
      <c r="L8" s="2">
        <v>1.0</v>
      </c>
      <c r="M8" s="1">
        <f t="shared" si="2"/>
        <v>0</v>
      </c>
      <c r="N8" s="1">
        <f t="shared" si="3"/>
        <v>0</v>
      </c>
      <c r="O8" s="1">
        <f>C2*(D8*(0.9+H8/10))*(K8+H8*G8)</f>
        <v>0</v>
      </c>
      <c r="AQ8" s="1">
        <f t="shared" si="9"/>
        <v>0</v>
      </c>
      <c r="AR8" s="1">
        <f t="shared" si="10"/>
        <v>0</v>
      </c>
    </row>
    <row r="9" ht="14.25" customHeight="1">
      <c r="A9" s="2" t="s">
        <v>30</v>
      </c>
      <c r="K9" s="1">
        <f t="shared" si="1"/>
        <v>0</v>
      </c>
      <c r="L9" s="2"/>
      <c r="AQ9" s="1">
        <f t="shared" si="9"/>
        <v>0</v>
      </c>
      <c r="AR9" s="1">
        <f t="shared" si="10"/>
        <v>0</v>
      </c>
    </row>
    <row r="10" ht="14.25" customHeight="1">
      <c r="B10" s="1" t="s">
        <v>31</v>
      </c>
      <c r="C10" s="1" t="s">
        <v>32</v>
      </c>
      <c r="D10" s="2">
        <v>1.0</v>
      </c>
      <c r="E10" s="2">
        <v>0.0</v>
      </c>
      <c r="G10" s="2">
        <v>104.0</v>
      </c>
      <c r="H10" s="2">
        <v>0.0</v>
      </c>
      <c r="K10" s="1">
        <f t="shared" si="1"/>
        <v>0</v>
      </c>
      <c r="AQ10" s="1">
        <f t="shared" si="9"/>
        <v>0</v>
      </c>
      <c r="AR10" s="1">
        <f t="shared" si="10"/>
        <v>0</v>
      </c>
    </row>
    <row r="11" ht="14.25" customHeight="1">
      <c r="B11" s="1" t="s">
        <v>33</v>
      </c>
      <c r="C11" s="2">
        <v>0.0</v>
      </c>
      <c r="D11" s="2">
        <v>0.0</v>
      </c>
      <c r="E11" s="2">
        <v>256000.0</v>
      </c>
      <c r="F11" s="2">
        <v>128000.0</v>
      </c>
      <c r="G11" s="2">
        <v>104.0</v>
      </c>
      <c r="H11" s="2">
        <v>14.0</v>
      </c>
      <c r="I11" s="2">
        <f>12/60</f>
        <v>0.2</v>
      </c>
      <c r="J11" s="1">
        <f t="shared" ref="J11:J14" si="13">H11*I11</f>
        <v>2.8</v>
      </c>
      <c r="K11" s="1">
        <f t="shared" si="1"/>
        <v>1456</v>
      </c>
      <c r="L11" s="2">
        <v>0.2</v>
      </c>
      <c r="M11" s="1">
        <f t="shared" ref="M11:M14" si="14">L11*J11*E11*3600</f>
        <v>516096000</v>
      </c>
      <c r="N11" s="1">
        <f t="shared" ref="N11:N14" si="15">(1-L11)*J11*F11*3600</f>
        <v>1032192000</v>
      </c>
      <c r="AQ11" s="1">
        <f t="shared" si="9"/>
        <v>1456</v>
      </c>
      <c r="AR11" s="1">
        <f t="shared" ref="AR11:AR15" si="16">AG11+X11+O11</f>
        <v>0</v>
      </c>
    </row>
    <row r="12" ht="14.25" customHeight="1">
      <c r="B12" s="1" t="s">
        <v>34</v>
      </c>
      <c r="C12" s="2">
        <v>0.0</v>
      </c>
      <c r="D12" s="2">
        <v>0.0</v>
      </c>
      <c r="E12" s="2">
        <v>128000.0</v>
      </c>
      <c r="F12" s="2">
        <v>512000.0</v>
      </c>
      <c r="G12" s="2">
        <v>104.0</v>
      </c>
      <c r="H12" s="2">
        <v>7.0</v>
      </c>
      <c r="I12" s="2">
        <v>0.25</v>
      </c>
      <c r="J12" s="1">
        <f t="shared" si="13"/>
        <v>1.75</v>
      </c>
      <c r="K12" s="1">
        <f t="shared" si="1"/>
        <v>728</v>
      </c>
      <c r="L12" s="2">
        <v>0.0</v>
      </c>
      <c r="M12" s="1">
        <f t="shared" si="14"/>
        <v>0</v>
      </c>
      <c r="N12" s="1">
        <f t="shared" si="15"/>
        <v>3225600000</v>
      </c>
      <c r="AQ12" s="1">
        <f t="shared" si="9"/>
        <v>728</v>
      </c>
      <c r="AR12" s="1">
        <f t="shared" si="16"/>
        <v>0</v>
      </c>
    </row>
    <row r="13" ht="14.25" customHeight="1">
      <c r="B13" s="1" t="s">
        <v>35</v>
      </c>
      <c r="C13" s="2">
        <v>0.0</v>
      </c>
      <c r="D13" s="2">
        <v>0.0</v>
      </c>
      <c r="E13" s="2">
        <v>128000.0</v>
      </c>
      <c r="F13" s="2">
        <v>64000.0</v>
      </c>
      <c r="G13" s="2">
        <v>104.0</v>
      </c>
      <c r="H13" s="2">
        <v>0.0</v>
      </c>
      <c r="I13" s="2">
        <v>1.0</v>
      </c>
      <c r="J13" s="1">
        <f t="shared" si="13"/>
        <v>0</v>
      </c>
      <c r="K13" s="1">
        <f t="shared" si="1"/>
        <v>0</v>
      </c>
      <c r="L13" s="2">
        <v>0.7</v>
      </c>
      <c r="M13" s="1">
        <f t="shared" si="14"/>
        <v>0</v>
      </c>
      <c r="N13" s="1">
        <f t="shared" si="15"/>
        <v>0</v>
      </c>
      <c r="AQ13" s="1">
        <f t="shared" si="9"/>
        <v>0</v>
      </c>
      <c r="AR13" s="1">
        <f t="shared" si="16"/>
        <v>0</v>
      </c>
    </row>
    <row r="14" ht="14.25" customHeight="1">
      <c r="B14" s="1" t="s">
        <v>36</v>
      </c>
      <c r="C14" s="2">
        <v>0.0</v>
      </c>
      <c r="D14" s="2">
        <v>0.0</v>
      </c>
      <c r="E14" s="2">
        <v>256000.0</v>
      </c>
      <c r="F14" s="2">
        <v>128000.0</v>
      </c>
      <c r="G14" s="2">
        <v>104.0</v>
      </c>
      <c r="H14" s="2">
        <v>0.0</v>
      </c>
      <c r="I14" s="2">
        <f>8/60</f>
        <v>0.1333333333</v>
      </c>
      <c r="J14" s="1">
        <f t="shared" si="13"/>
        <v>0</v>
      </c>
      <c r="K14" s="1">
        <f t="shared" si="1"/>
        <v>0</v>
      </c>
      <c r="L14" s="2">
        <v>0.7</v>
      </c>
      <c r="M14" s="1">
        <f t="shared" si="14"/>
        <v>0</v>
      </c>
      <c r="N14" s="1">
        <f t="shared" si="15"/>
        <v>0</v>
      </c>
      <c r="AQ14" s="1">
        <f t="shared" si="9"/>
        <v>0</v>
      </c>
      <c r="AR14" s="1">
        <f t="shared" si="16"/>
        <v>0</v>
      </c>
    </row>
    <row r="15" ht="14.25" customHeight="1">
      <c r="B15" s="2" t="s">
        <v>37</v>
      </c>
      <c r="C15" s="2" t="s">
        <v>38</v>
      </c>
      <c r="D15" s="2">
        <v>4.0</v>
      </c>
      <c r="E15" s="2">
        <v>2048.0</v>
      </c>
      <c r="F15" s="2">
        <v>128.0</v>
      </c>
      <c r="G15" s="2">
        <v>104.0</v>
      </c>
      <c r="H15" s="2">
        <v>0.0</v>
      </c>
      <c r="K15" s="1">
        <f t="shared" si="1"/>
        <v>0</v>
      </c>
      <c r="AQ15" s="1">
        <f t="shared" si="9"/>
        <v>0</v>
      </c>
      <c r="AR15" s="1">
        <f t="shared" si="16"/>
        <v>0</v>
      </c>
    </row>
    <row r="16" ht="14.25" customHeight="1">
      <c r="A16" s="2"/>
      <c r="B16" s="2" t="s">
        <v>39</v>
      </c>
      <c r="K16" s="1">
        <f t="shared" si="1"/>
        <v>0</v>
      </c>
      <c r="M16" s="1">
        <f t="shared" ref="M16:N16" si="17">SUM(M10:M15)</f>
        <v>516096000</v>
      </c>
      <c r="N16" s="1">
        <f t="shared" si="17"/>
        <v>4257792000</v>
      </c>
      <c r="AQ16" s="1">
        <f t="shared" si="9"/>
        <v>0</v>
      </c>
      <c r="AR16" s="1">
        <f t="shared" ref="AR16:AR25" si="18">AG16+X16+O16+AP16</f>
        <v>0</v>
      </c>
    </row>
    <row r="17" ht="14.25" customHeight="1">
      <c r="A17" s="2"/>
      <c r="B17" s="2" t="s">
        <v>40</v>
      </c>
      <c r="K17" s="1">
        <f t="shared" si="1"/>
        <v>0</v>
      </c>
      <c r="N17" s="24">
        <v>1.92E9</v>
      </c>
      <c r="AQ17" s="1">
        <f t="shared" si="9"/>
        <v>0</v>
      </c>
      <c r="AR17" s="1">
        <f t="shared" si="18"/>
        <v>0</v>
      </c>
    </row>
    <row r="18" ht="14.25" customHeight="1">
      <c r="A18" s="2"/>
      <c r="B18" s="2" t="s">
        <v>41</v>
      </c>
      <c r="K18" s="1">
        <f t="shared" si="1"/>
        <v>0</v>
      </c>
      <c r="N18" s="1">
        <f>N17-N16</f>
        <v>-2337792000</v>
      </c>
      <c r="AQ18" s="1">
        <f t="shared" si="9"/>
        <v>0</v>
      </c>
      <c r="AR18" s="1">
        <f t="shared" si="18"/>
        <v>0</v>
      </c>
    </row>
    <row r="19" ht="14.25" customHeight="1">
      <c r="A19" s="2" t="s">
        <v>42</v>
      </c>
      <c r="K19" s="1">
        <f t="shared" si="1"/>
        <v>0</v>
      </c>
      <c r="AQ19" s="1">
        <f t="shared" si="9"/>
        <v>0</v>
      </c>
      <c r="AR19" s="1">
        <f t="shared" si="18"/>
        <v>0</v>
      </c>
    </row>
    <row r="20" ht="14.25" customHeight="1">
      <c r="B20" s="1" t="s">
        <v>33</v>
      </c>
      <c r="C20" s="1" t="s">
        <v>32</v>
      </c>
      <c r="D20" s="2">
        <v>1.0</v>
      </c>
      <c r="E20" s="2">
        <v>2000.0</v>
      </c>
      <c r="F20" s="2">
        <v>500000.0</v>
      </c>
      <c r="G20" s="2">
        <v>104.0</v>
      </c>
      <c r="H20" s="2">
        <v>3.0</v>
      </c>
      <c r="I20" s="2">
        <v>1.0</v>
      </c>
      <c r="J20" s="1">
        <f t="shared" ref="J20:J23" si="19">H20*I20</f>
        <v>3</v>
      </c>
      <c r="K20" s="1">
        <f t="shared" si="1"/>
        <v>312</v>
      </c>
      <c r="L20" s="2">
        <v>1.0</v>
      </c>
      <c r="M20" s="1">
        <f t="shared" ref="M20:M23" si="20">L20*J20*E20*3600</f>
        <v>21600000</v>
      </c>
      <c r="N20" s="1">
        <f t="shared" ref="N20:N23" si="21">(1-L20)*J20*F20*3600</f>
        <v>0</v>
      </c>
      <c r="O20" s="1">
        <f>C2*(D20*(0.9+H20/10))*(K20+H20*G20)</f>
        <v>918118.656</v>
      </c>
      <c r="AQ20" s="1">
        <f t="shared" si="9"/>
        <v>312</v>
      </c>
      <c r="AR20" s="1">
        <f t="shared" si="18"/>
        <v>918118.656</v>
      </c>
    </row>
    <row r="21" ht="14.25" customHeight="1">
      <c r="B21" s="1" t="s">
        <v>34</v>
      </c>
      <c r="C21" s="1" t="s">
        <v>32</v>
      </c>
      <c r="D21" s="2">
        <v>1.0</v>
      </c>
      <c r="E21" s="2">
        <v>0.0</v>
      </c>
      <c r="F21" s="2">
        <v>150000.0</v>
      </c>
      <c r="G21" s="2">
        <v>104.0</v>
      </c>
      <c r="H21" s="2">
        <v>8.0</v>
      </c>
      <c r="I21" s="2">
        <v>1.0</v>
      </c>
      <c r="J21" s="1">
        <f t="shared" si="19"/>
        <v>8</v>
      </c>
      <c r="K21" s="1">
        <f t="shared" si="1"/>
        <v>832</v>
      </c>
      <c r="L21" s="2">
        <v>0.0</v>
      </c>
      <c r="M21" s="1">
        <f t="shared" si="20"/>
        <v>0</v>
      </c>
      <c r="N21" s="1">
        <f t="shared" si="21"/>
        <v>4320000000</v>
      </c>
      <c r="O21" s="1">
        <f>C2*(D21*(0.9+H21/10))*(K21+H21*G21)</f>
        <v>3468448.256</v>
      </c>
      <c r="AQ21" s="1">
        <f t="shared" si="9"/>
        <v>832</v>
      </c>
      <c r="AR21" s="1">
        <f t="shared" si="18"/>
        <v>3468448.256</v>
      </c>
    </row>
    <row r="22" ht="14.25" customHeight="1">
      <c r="B22" s="1" t="s">
        <v>35</v>
      </c>
      <c r="C22" s="1" t="s">
        <v>32</v>
      </c>
      <c r="D22" s="2">
        <v>1.0</v>
      </c>
      <c r="E22" s="2">
        <v>2000.0</v>
      </c>
      <c r="F22" s="2">
        <v>271000.0</v>
      </c>
      <c r="G22" s="2">
        <v>104.0</v>
      </c>
      <c r="H22" s="2">
        <v>0.0</v>
      </c>
      <c r="I22" s="2">
        <v>1.0</v>
      </c>
      <c r="J22" s="1">
        <f t="shared" si="19"/>
        <v>0</v>
      </c>
      <c r="K22" s="1">
        <f t="shared" si="1"/>
        <v>0</v>
      </c>
      <c r="L22" s="2">
        <v>0.7</v>
      </c>
      <c r="M22" s="1">
        <f t="shared" si="20"/>
        <v>0</v>
      </c>
      <c r="N22" s="1">
        <f t="shared" si="21"/>
        <v>0</v>
      </c>
      <c r="O22" s="1">
        <f>C2*(D22*(0.9+H22/10))*(K22+H22*G22)</f>
        <v>0</v>
      </c>
      <c r="AQ22" s="1">
        <f t="shared" si="9"/>
        <v>0</v>
      </c>
      <c r="AR22" s="1">
        <f t="shared" si="18"/>
        <v>0</v>
      </c>
    </row>
    <row r="23" ht="14.25" customHeight="1">
      <c r="B23" s="1" t="s">
        <v>36</v>
      </c>
      <c r="C23" s="1" t="s">
        <v>32</v>
      </c>
      <c r="D23" s="2">
        <v>1.0</v>
      </c>
      <c r="E23" s="2">
        <v>1000.0</v>
      </c>
      <c r="F23" s="2">
        <v>14220.0</v>
      </c>
      <c r="G23" s="2">
        <v>104.0</v>
      </c>
      <c r="H23" s="2">
        <v>0.0</v>
      </c>
      <c r="I23" s="2">
        <v>1.0</v>
      </c>
      <c r="J23" s="1">
        <f t="shared" si="19"/>
        <v>0</v>
      </c>
      <c r="K23" s="1">
        <f t="shared" si="1"/>
        <v>0</v>
      </c>
      <c r="L23" s="2">
        <v>0.7</v>
      </c>
      <c r="M23" s="1">
        <f t="shared" si="20"/>
        <v>0</v>
      </c>
      <c r="N23" s="1">
        <f t="shared" si="21"/>
        <v>0</v>
      </c>
      <c r="O23" s="1">
        <f>C2*(D23*(0.9+H23/10))*(K23+H23*G23)</f>
        <v>0</v>
      </c>
      <c r="AQ23" s="1">
        <f t="shared" si="9"/>
        <v>0</v>
      </c>
      <c r="AR23" s="1">
        <f t="shared" si="18"/>
        <v>0</v>
      </c>
    </row>
    <row r="24" ht="14.25" customHeight="1">
      <c r="B24" s="2" t="s">
        <v>39</v>
      </c>
      <c r="K24" s="1">
        <f t="shared" si="1"/>
        <v>0</v>
      </c>
      <c r="M24" s="1">
        <f t="shared" ref="M24:N24" si="22">SUM(M20:M23)</f>
        <v>21600000</v>
      </c>
      <c r="N24" s="1">
        <f t="shared" si="22"/>
        <v>4320000000</v>
      </c>
      <c r="AQ24" s="1">
        <f t="shared" si="9"/>
        <v>0</v>
      </c>
      <c r="AR24" s="1">
        <f t="shared" si="18"/>
        <v>0</v>
      </c>
    </row>
    <row r="25" ht="14.25" customHeight="1">
      <c r="B25" s="2" t="s">
        <v>40</v>
      </c>
      <c r="K25" s="1">
        <f t="shared" si="1"/>
        <v>0</v>
      </c>
      <c r="N25" s="24">
        <v>1.92E9</v>
      </c>
      <c r="AQ25" s="1">
        <f t="shared" si="9"/>
        <v>0</v>
      </c>
      <c r="AR25" s="1">
        <f t="shared" si="18"/>
        <v>0</v>
      </c>
    </row>
    <row r="26" ht="14.25" customHeight="1">
      <c r="B26" s="2" t="s">
        <v>41</v>
      </c>
      <c r="K26" s="1">
        <f t="shared" si="1"/>
        <v>0</v>
      </c>
      <c r="N26" s="1">
        <f>N25-N24</f>
        <v>-2400000000</v>
      </c>
    </row>
    <row r="27" ht="14.25" customHeight="1"/>
    <row r="28" ht="14.25" customHeight="1">
      <c r="AG28" s="2" t="s">
        <v>43</v>
      </c>
      <c r="AP28" s="2" t="s">
        <v>43</v>
      </c>
      <c r="AR28" s="1">
        <f>SUM(AR4:AR25)</f>
        <v>14292250.26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mergeCells count="4">
    <mergeCell ref="G2:O2"/>
    <mergeCell ref="P2:X2"/>
    <mergeCell ref="Y2:AG2"/>
    <mergeCell ref="AH2:AP2"/>
  </mergeCells>
  <printOptions/>
  <pageMargins bottom="0.75" footer="0.0" header="0.0" left="0.7" right="0.7" top="0.75"/>
  <pageSetup orientation="landscape"/>
  <drawing r:id="rId2"/>
  <legacyDrawing r:id="rId3"/>
</worksheet>
</file>