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o\Desktop\Modelling\"/>
    </mc:Choice>
  </mc:AlternateContent>
  <xr:revisionPtr revIDLastSave="0" documentId="13_ncr:1_{D4DD5E35-DE6E-473B-8209-213D794399E6}" xr6:coauthVersionLast="47" xr6:coauthVersionMax="47" xr10:uidLastSave="{00000000-0000-0000-0000-000000000000}"/>
  <bookViews>
    <workbookView xWindow="-96" yWindow="-96" windowWidth="19392" windowHeight="10992" activeTab="1" xr2:uid="{00000000-000D-0000-FFFF-FFFF00000000}"/>
  </bookViews>
  <sheets>
    <sheet name="D47" sheetId="1" r:id="rId1"/>
    <sheet name="D48" sheetId="2" r:id="rId2"/>
    <sheet name="Sheet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E11" i="2"/>
  <c r="C62" i="2"/>
  <c r="S32" i="2"/>
  <c r="S33" i="2"/>
  <c r="S34" i="2"/>
  <c r="S35" i="2"/>
  <c r="S36" i="2"/>
  <c r="S37" i="2"/>
  <c r="S38" i="2"/>
  <c r="S39" i="2"/>
  <c r="S40" i="2"/>
  <c r="S41" i="2"/>
  <c r="S31" i="2"/>
  <c r="Q41" i="2"/>
  <c r="Q32" i="2"/>
  <c r="Q33" i="2"/>
  <c r="Q34" i="2"/>
  <c r="Q35" i="2"/>
  <c r="Q36" i="2"/>
  <c r="Q37" i="2"/>
  <c r="Q38" i="2"/>
  <c r="Q39" i="2"/>
  <c r="Q40" i="2"/>
  <c r="Q31" i="2"/>
  <c r="C19" i="2"/>
  <c r="C20" i="2" s="1"/>
  <c r="U13" i="2" l="1"/>
  <c r="U12" i="2"/>
  <c r="E78" i="2"/>
  <c r="E79" i="2" s="1"/>
  <c r="D78" i="2"/>
  <c r="D79" i="2" s="1"/>
  <c r="D5" i="2"/>
  <c r="D85" i="2"/>
  <c r="B28" i="2"/>
  <c r="B27" i="2" s="1"/>
  <c r="B32" i="2" s="1"/>
  <c r="E26" i="2"/>
  <c r="D26" i="2"/>
  <c r="B26" i="2"/>
  <c r="D21" i="2"/>
  <c r="C21" i="2"/>
  <c r="D18" i="2"/>
  <c r="T13" i="2"/>
  <c r="O13" i="2"/>
  <c r="N13" i="2"/>
  <c r="T12" i="2"/>
  <c r="O12" i="2"/>
  <c r="N12" i="2"/>
  <c r="D11" i="2"/>
  <c r="C7" i="2"/>
  <c r="E85" i="2" s="1"/>
  <c r="N2" i="2"/>
  <c r="O2" i="2" l="1"/>
  <c r="H10" i="2"/>
  <c r="S2" i="2" s="1"/>
  <c r="H11" i="2"/>
  <c r="U2" i="2" s="1"/>
  <c r="C22" i="2"/>
  <c r="D28" i="2" s="1"/>
  <c r="D27" i="2" s="1"/>
  <c r="D32" i="2" s="1"/>
  <c r="D34" i="2" s="1"/>
  <c r="D22" i="2"/>
  <c r="E28" i="2" s="1"/>
  <c r="E27" i="2" s="1"/>
  <c r="E32" i="2" s="1"/>
  <c r="E34" i="2" s="1"/>
  <c r="B34" i="2"/>
  <c r="B33" i="2"/>
  <c r="E69" i="2"/>
  <c r="E70" i="2" s="1"/>
  <c r="D69" i="2"/>
  <c r="D70" i="2" s="1"/>
  <c r="E30" i="2"/>
  <c r="E31" i="2" s="1"/>
  <c r="B30" i="2"/>
  <c r="H9" i="2"/>
  <c r="H8" i="2"/>
  <c r="D19" i="2"/>
  <c r="D20" i="2" s="1"/>
  <c r="D30" i="2"/>
  <c r="D31" i="2" s="1"/>
  <c r="D33" i="2" l="1"/>
  <c r="D47" i="2" s="1"/>
  <c r="E33" i="2"/>
  <c r="E45" i="2" s="1"/>
  <c r="B46" i="2"/>
  <c r="B43" i="2"/>
  <c r="B41" i="2"/>
  <c r="B40" i="2"/>
  <c r="B38" i="2"/>
  <c r="B37" i="2"/>
  <c r="B51" i="2" s="1"/>
  <c r="D48" i="2"/>
  <c r="D56" i="2" s="1"/>
  <c r="D44" i="2"/>
  <c r="D39" i="2"/>
  <c r="E48" i="2"/>
  <c r="E56" i="2" s="1"/>
  <c r="E44" i="2"/>
  <c r="E39" i="2"/>
  <c r="B22" i="2"/>
  <c r="C24" i="2" s="1"/>
  <c r="C28" i="2" s="1"/>
  <c r="C27" i="2" s="1"/>
  <c r="C32" i="2" s="1"/>
  <c r="P2" i="2"/>
  <c r="B31" i="2"/>
  <c r="D46" i="2"/>
  <c r="D41" i="2"/>
  <c r="D40" i="2"/>
  <c r="D37" i="2"/>
  <c r="D51" i="2" s="1"/>
  <c r="C23" i="2"/>
  <c r="C26" i="2" s="1"/>
  <c r="Q2" i="2"/>
  <c r="E46" i="2"/>
  <c r="E40" i="2"/>
  <c r="E37" i="2"/>
  <c r="E51" i="2" s="1"/>
  <c r="B23" i="1"/>
  <c r="D43" i="2" l="1"/>
  <c r="D42" i="2"/>
  <c r="D53" i="2" s="1"/>
  <c r="D60" i="2" s="1"/>
  <c r="D38" i="2"/>
  <c r="D45" i="2"/>
  <c r="D54" i="2" s="1"/>
  <c r="D61" i="2" s="1"/>
  <c r="E43" i="2"/>
  <c r="E54" i="2" s="1"/>
  <c r="E61" i="2" s="1"/>
  <c r="E41" i="2"/>
  <c r="E47" i="2"/>
  <c r="E55" i="2" s="1"/>
  <c r="E62" i="2" s="1"/>
  <c r="E38" i="2"/>
  <c r="E52" i="2" s="1"/>
  <c r="E59" i="2" s="1"/>
  <c r="E42" i="2"/>
  <c r="D55" i="2"/>
  <c r="D62" i="2" s="1"/>
  <c r="D52" i="2"/>
  <c r="D59" i="2" s="1"/>
  <c r="C34" i="2"/>
  <c r="C33" i="2"/>
  <c r="D63" i="2"/>
  <c r="B48" i="2"/>
  <c r="B56" i="2" s="1"/>
  <c r="B63" i="2" s="1"/>
  <c r="B47" i="2"/>
  <c r="B55" i="2" s="1"/>
  <c r="B62" i="2" s="1"/>
  <c r="B45" i="2"/>
  <c r="B44" i="2"/>
  <c r="B42" i="2"/>
  <c r="B53" i="2" s="1"/>
  <c r="B60" i="2" s="1"/>
  <c r="B39" i="2"/>
  <c r="B52" i="2" s="1"/>
  <c r="B59" i="2" s="1"/>
  <c r="C30" i="2"/>
  <c r="C31" i="2" s="1"/>
  <c r="E63" i="2"/>
  <c r="E10" i="1"/>
  <c r="D10" i="1" s="1"/>
  <c r="E53" i="2" l="1"/>
  <c r="E60" i="2" s="1"/>
  <c r="B54" i="2"/>
  <c r="B61" i="2" s="1"/>
  <c r="D74" i="2" s="1"/>
  <c r="D65" i="2"/>
  <c r="D72" i="2" s="1"/>
  <c r="E81" i="2"/>
  <c r="E80" i="2"/>
  <c r="D81" i="2"/>
  <c r="D80" i="2"/>
  <c r="C48" i="2"/>
  <c r="C56" i="2" s="1"/>
  <c r="C47" i="2"/>
  <c r="C45" i="2"/>
  <c r="C44" i="2"/>
  <c r="C42" i="2"/>
  <c r="C39" i="2"/>
  <c r="D64" i="2"/>
  <c r="D71" i="2" s="1"/>
  <c r="E73" i="2"/>
  <c r="E64" i="2"/>
  <c r="C46" i="2"/>
  <c r="C43" i="2"/>
  <c r="C41" i="2"/>
  <c r="C40" i="2"/>
  <c r="C38" i="2"/>
  <c r="C37" i="2"/>
  <c r="C51" i="2" s="1"/>
  <c r="E65" i="2"/>
  <c r="D23" i="1"/>
  <c r="D73" i="2" l="1"/>
  <c r="D75" i="2" s="1"/>
  <c r="B8" i="2" s="1"/>
  <c r="R12" i="2" s="1"/>
  <c r="E74" i="2"/>
  <c r="E75" i="2" s="1"/>
  <c r="C8" i="2" s="1"/>
  <c r="Q13" i="2"/>
  <c r="E72" i="2"/>
  <c r="C53" i="2"/>
  <c r="C60" i="2" s="1"/>
  <c r="D82" i="2"/>
  <c r="E82" i="2"/>
  <c r="S13" i="2" s="1"/>
  <c r="C52" i="2"/>
  <c r="C59" i="2" s="1"/>
  <c r="C55" i="2"/>
  <c r="E71" i="2"/>
  <c r="P13" i="2"/>
  <c r="Q12" i="2"/>
  <c r="C87" i="2"/>
  <c r="P12" i="2"/>
  <c r="C86" i="2"/>
  <c r="C54" i="2"/>
  <c r="C61" i="2" s="1"/>
  <c r="C63" i="2"/>
  <c r="D4" i="1"/>
  <c r="C89" i="2" l="1"/>
  <c r="C94" i="2" s="1"/>
  <c r="C99" i="2" s="1"/>
  <c r="S12" i="2"/>
  <c r="R13" i="2"/>
  <c r="C92" i="2"/>
  <c r="C97" i="2" s="1"/>
  <c r="H3" i="2"/>
  <c r="W2" i="2" s="1"/>
  <c r="C88" i="2"/>
  <c r="C93" i="2" s="1"/>
  <c r="C98" i="2" s="1"/>
  <c r="C91" i="2"/>
  <c r="C96" i="2" s="1"/>
  <c r="H2" i="2"/>
  <c r="V2" i="2" s="1"/>
  <c r="S13" i="1"/>
  <c r="O13" i="1"/>
  <c r="N13" i="1"/>
  <c r="O12" i="1"/>
  <c r="N12" i="1"/>
  <c r="S12" i="1"/>
  <c r="N2" i="1"/>
  <c r="H5" i="2" l="1"/>
  <c r="C102" i="2"/>
  <c r="C106" i="2" s="1"/>
  <c r="C107" i="2" s="1"/>
  <c r="C108" i="2" s="1"/>
  <c r="H7" i="2" s="1"/>
  <c r="T2" i="2" s="1"/>
  <c r="C101" i="2"/>
  <c r="C103" i="2" s="1"/>
  <c r="C104" i="2" s="1"/>
  <c r="C105" i="2" s="1"/>
  <c r="H6" i="2" s="1"/>
  <c r="H4" i="2"/>
  <c r="X2" i="2" s="1"/>
  <c r="D66" i="1"/>
  <c r="R2" i="2" l="1"/>
  <c r="Y2" i="2" s="1"/>
  <c r="C6" i="1"/>
  <c r="O2" i="1" s="1"/>
  <c r="E74" i="1" l="1"/>
  <c r="D74" i="1"/>
  <c r="B25" i="1" l="1"/>
  <c r="B24" i="1" s="1"/>
  <c r="B29" i="1" s="1"/>
  <c r="B27" i="1" l="1"/>
  <c r="B28" i="1" s="1"/>
  <c r="B31" i="1"/>
  <c r="B37" i="1" s="1"/>
  <c r="B30" i="1"/>
  <c r="B38" i="1" s="1"/>
  <c r="B34" i="1"/>
  <c r="B48" i="1" s="1"/>
  <c r="B44" i="1" l="1"/>
  <c r="B41" i="1"/>
  <c r="B36" i="1"/>
  <c r="B45" i="1"/>
  <c r="B53" i="1" s="1"/>
  <c r="B60" i="1" s="1"/>
  <c r="B42" i="1"/>
  <c r="B43" i="1"/>
  <c r="B52" i="1" s="1"/>
  <c r="B59" i="1" s="1"/>
  <c r="B35" i="1"/>
  <c r="B49" i="1" s="1"/>
  <c r="B56" i="1" s="1"/>
  <c r="B40" i="1"/>
  <c r="B51" i="1" s="1"/>
  <c r="B58" i="1" s="1"/>
  <c r="B39" i="1"/>
  <c r="B50" i="1" s="1"/>
  <c r="B57" i="1" s="1"/>
  <c r="E23" i="1"/>
  <c r="E27" i="1" s="1"/>
  <c r="D27" i="1"/>
  <c r="D18" i="1"/>
  <c r="C18" i="1"/>
  <c r="D19" i="1" l="1"/>
  <c r="E25" i="1" s="1"/>
  <c r="E24" i="1" s="1"/>
  <c r="E29" i="1" s="1"/>
  <c r="C19" i="1"/>
  <c r="D25" i="1" s="1"/>
  <c r="D24" i="1" s="1"/>
  <c r="D29" i="1" s="1"/>
  <c r="E28" i="1"/>
  <c r="D28" i="1"/>
  <c r="C16" i="1"/>
  <c r="C17" i="1" s="1"/>
  <c r="D15" i="1"/>
  <c r="E31" i="1" l="1"/>
  <c r="E43" i="1" s="1"/>
  <c r="E34" i="1"/>
  <c r="E48" i="1" s="1"/>
  <c r="E37" i="1"/>
  <c r="E30" i="1"/>
  <c r="D31" i="1"/>
  <c r="D43" i="1" s="1"/>
  <c r="D30" i="1"/>
  <c r="D35" i="1" s="1"/>
  <c r="D34" i="1"/>
  <c r="D48" i="1" s="1"/>
  <c r="E36" i="1"/>
  <c r="E45" i="1"/>
  <c r="E53" i="1" s="1"/>
  <c r="E41" i="1"/>
  <c r="D36" i="1"/>
  <c r="D16" i="1"/>
  <c r="D17" i="1" s="1"/>
  <c r="D41" i="1" l="1"/>
  <c r="D37" i="1"/>
  <c r="D45" i="1"/>
  <c r="D53" i="1" s="1"/>
  <c r="D60" i="1" s="1"/>
  <c r="E40" i="1"/>
  <c r="D38" i="1"/>
  <c r="E39" i="1"/>
  <c r="E60" i="1"/>
  <c r="E42" i="1"/>
  <c r="E38" i="1"/>
  <c r="D42" i="1"/>
  <c r="D44" i="1"/>
  <c r="D52" i="1" s="1"/>
  <c r="D59" i="1" s="1"/>
  <c r="D39" i="1"/>
  <c r="E44" i="1"/>
  <c r="E52" i="1" s="1"/>
  <c r="E59" i="1" s="1"/>
  <c r="E35" i="1"/>
  <c r="E49" i="1" s="1"/>
  <c r="E56" i="1" s="1"/>
  <c r="E61" i="1" s="1"/>
  <c r="D40" i="1"/>
  <c r="D49" i="1"/>
  <c r="D56" i="1" s="1"/>
  <c r="D61" i="1" s="1"/>
  <c r="H7" i="1"/>
  <c r="H6" i="1"/>
  <c r="P2" i="1" s="1"/>
  <c r="E66" i="1"/>
  <c r="Q2" i="1" l="1"/>
  <c r="C20" i="1"/>
  <c r="C75" i="1"/>
  <c r="C79" i="1" s="1"/>
  <c r="E51" i="1"/>
  <c r="E58" i="1" s="1"/>
  <c r="E71" i="1" s="1"/>
  <c r="D51" i="1"/>
  <c r="D58" i="1" s="1"/>
  <c r="E50" i="1"/>
  <c r="E57" i="1" s="1"/>
  <c r="E62" i="1" s="1"/>
  <c r="Q13" i="1" s="1"/>
  <c r="D50" i="1"/>
  <c r="D57" i="1" s="1"/>
  <c r="D62" i="1" s="1"/>
  <c r="Q12" i="1" s="1"/>
  <c r="P12" i="1"/>
  <c r="E68" i="1"/>
  <c r="P13" i="1"/>
  <c r="C23" i="1"/>
  <c r="C27" i="1" s="1"/>
  <c r="B18" i="1"/>
  <c r="D68" i="1"/>
  <c r="D67" i="1"/>
  <c r="H8" i="1"/>
  <c r="S2" i="1" s="1"/>
  <c r="E67" i="1"/>
  <c r="D71" i="1" l="1"/>
  <c r="D70" i="1"/>
  <c r="D72" i="1" s="1"/>
  <c r="B7" i="1" s="1"/>
  <c r="R12" i="1" s="1"/>
  <c r="H2" i="1"/>
  <c r="T2" i="1" s="1"/>
  <c r="C76" i="1"/>
  <c r="B19" i="1"/>
  <c r="C21" i="1" s="1"/>
  <c r="C25" i="1" s="1"/>
  <c r="C24" i="1" s="1"/>
  <c r="C29" i="1" s="1"/>
  <c r="E70" i="1"/>
  <c r="E72" i="1" s="1"/>
  <c r="C7" i="1" s="1"/>
  <c r="R13" i="1" s="1"/>
  <c r="C28" i="1"/>
  <c r="H3" i="1" l="1"/>
  <c r="U2" i="1" s="1"/>
  <c r="C80" i="1"/>
  <c r="C30" i="1"/>
  <c r="C35" i="1" s="1"/>
  <c r="C31" i="1"/>
  <c r="C37" i="1" s="1"/>
  <c r="C34" i="1"/>
  <c r="C48" i="1" s="1"/>
  <c r="C77" i="1"/>
  <c r="C36" i="1"/>
  <c r="H4" i="1" l="1"/>
  <c r="V2" i="1" s="1"/>
  <c r="C81" i="1"/>
  <c r="C39" i="1"/>
  <c r="C42" i="1"/>
  <c r="C49" i="1"/>
  <c r="C56" i="1" s="1"/>
  <c r="C83" i="1" s="1"/>
  <c r="C44" i="1"/>
  <c r="C38" i="1"/>
  <c r="C50" i="1" s="1"/>
  <c r="C57" i="1" s="1"/>
  <c r="C84" i="1" s="1"/>
  <c r="C40" i="1"/>
  <c r="C41" i="1"/>
  <c r="C45" i="1"/>
  <c r="C53" i="1" s="1"/>
  <c r="C60" i="1" s="1"/>
  <c r="C43" i="1"/>
  <c r="C52" i="1" l="1"/>
  <c r="C59" i="1" s="1"/>
  <c r="C51" i="1"/>
  <c r="C58" i="1" s="1"/>
  <c r="C85" i="1" s="1"/>
  <c r="C87" i="1" s="1"/>
  <c r="C88" i="1" s="1"/>
  <c r="C89" i="1" s="1"/>
  <c r="C90" i="1" s="1"/>
  <c r="H5" i="1" s="1"/>
  <c r="R2" i="1" s="1"/>
  <c r="W2" i="1" l="1"/>
</calcChain>
</file>

<file path=xl/sharedStrings.xml><?xml version="1.0" encoding="utf-8"?>
<sst xmlns="http://schemas.openxmlformats.org/spreadsheetml/2006/main" count="339" uniqueCount="134">
  <si>
    <t>Component 1</t>
  </si>
  <si>
    <t>contribution</t>
  </si>
  <si>
    <t>Component 2</t>
  </si>
  <si>
    <t>Final Mixture</t>
  </si>
  <si>
    <t>D47</t>
  </si>
  <si>
    <t>d47</t>
  </si>
  <si>
    <t>d18O (VPDB)</t>
  </si>
  <si>
    <t>d13C (VPDB)</t>
  </si>
  <si>
    <t>R13</t>
  </si>
  <si>
    <t>R18</t>
  </si>
  <si>
    <t>R17</t>
  </si>
  <si>
    <t>VSMOW</t>
  </si>
  <si>
    <t>VPDB calcite</t>
  </si>
  <si>
    <t>VPDB CO2</t>
  </si>
  <si>
    <t>CALCULATIONS</t>
  </si>
  <si>
    <t>Convert CO3 to CO2</t>
  </si>
  <si>
    <t>Convert VPDB to VSMOW</t>
  </si>
  <si>
    <t>VPDB</t>
  </si>
  <si>
    <t>composite gas</t>
  </si>
  <si>
    <t>R45</t>
  </si>
  <si>
    <t>R46</t>
  </si>
  <si>
    <t>12C</t>
  </si>
  <si>
    <t>13C</t>
  </si>
  <si>
    <t>16O</t>
  </si>
  <si>
    <t>17O</t>
  </si>
  <si>
    <t>18O</t>
  </si>
  <si>
    <t>12 16 16</t>
  </si>
  <si>
    <t>12 16 17</t>
  </si>
  <si>
    <t>13 16 16</t>
  </si>
  <si>
    <t>12 16 18</t>
  </si>
  <si>
    <t>12 17 17</t>
  </si>
  <si>
    <t>13 17 16</t>
  </si>
  <si>
    <t>12 17 18</t>
  </si>
  <si>
    <t>13 16 18</t>
  </si>
  <si>
    <t>13 17 17</t>
  </si>
  <si>
    <t>12 18 18</t>
  </si>
  <si>
    <t>13 17 18</t>
  </si>
  <si>
    <t xml:space="preserve">13 18 18 </t>
  </si>
  <si>
    <t>mass 44</t>
  </si>
  <si>
    <t>mass 45</t>
  </si>
  <si>
    <t>mass 46</t>
  </si>
  <si>
    <t>mass 47</t>
  </si>
  <si>
    <t>mass 48</t>
  </si>
  <si>
    <t>mass 49</t>
  </si>
  <si>
    <t>R47</t>
  </si>
  <si>
    <t>R48</t>
  </si>
  <si>
    <t>R49</t>
  </si>
  <si>
    <t>Transfer Function</t>
  </si>
  <si>
    <t>slope</t>
  </si>
  <si>
    <t>int</t>
  </si>
  <si>
    <t>Heated Gas Line</t>
  </si>
  <si>
    <t>Raw D47 calculation</t>
  </si>
  <si>
    <t>Remove Acid Frac</t>
  </si>
  <si>
    <t>Remove ETF step two</t>
  </si>
  <si>
    <t>Ref Gas</t>
  </si>
  <si>
    <t>d45</t>
  </si>
  <si>
    <t>d46</t>
  </si>
  <si>
    <t>Calculate D46</t>
  </si>
  <si>
    <t>Calculate D45</t>
  </si>
  <si>
    <t>These represent measure anomalies</t>
  </si>
  <si>
    <t>MUST be zero in our reconstruction</t>
  </si>
  <si>
    <t>Numerator</t>
  </si>
  <si>
    <t>Denominator</t>
  </si>
  <si>
    <t>MIXING</t>
  </si>
  <si>
    <t>fractions</t>
  </si>
  <si>
    <t>D45</t>
  </si>
  <si>
    <t>D46</t>
  </si>
  <si>
    <t>D47 Full</t>
  </si>
  <si>
    <t>ETF step one</t>
  </si>
  <si>
    <t>ETF step two</t>
  </si>
  <si>
    <t>Acid frac</t>
  </si>
  <si>
    <t>d47 (calculated)</t>
  </si>
  <si>
    <t>Linear D47</t>
  </si>
  <si>
    <t>EXPORT LINE</t>
  </si>
  <si>
    <t>d18O</t>
  </si>
  <si>
    <t>d13C</t>
  </si>
  <si>
    <t>% Component 2</t>
  </si>
  <si>
    <t>% Component 1</t>
  </si>
  <si>
    <t>D47 Model</t>
  </si>
  <si>
    <t>Working Gas values</t>
  </si>
  <si>
    <t>Acid Frac offset</t>
  </si>
  <si>
    <t>Reaction Temp</t>
  </si>
  <si>
    <t>Component values</t>
  </si>
  <si>
    <t>EQ 1</t>
  </si>
  <si>
    <t>EQ 2</t>
  </si>
  <si>
    <t>EQ 4</t>
  </si>
  <si>
    <t>EQ 5</t>
  </si>
  <si>
    <t>EQ 3</t>
  </si>
  <si>
    <t>EQ 6</t>
  </si>
  <si>
    <t>EQ 7</t>
  </si>
  <si>
    <t>EQ 8</t>
  </si>
  <si>
    <t>EQ 9</t>
  </si>
  <si>
    <t>EQ 10</t>
  </si>
  <si>
    <t>EQ 11</t>
  </si>
  <si>
    <t>Scrambled gas mass abundances</t>
  </si>
  <si>
    <t>scrambled gas isotopologue abundances</t>
  </si>
  <si>
    <t>Scrambled gas mass ratios</t>
  </si>
  <si>
    <t>EQ 12</t>
  </si>
  <si>
    <t>EQ 13</t>
  </si>
  <si>
    <t>EQ 14</t>
  </si>
  <si>
    <t>EQ 15</t>
  </si>
  <si>
    <t>EQ 16</t>
  </si>
  <si>
    <t>EQ 17</t>
  </si>
  <si>
    <t>EQ 18</t>
  </si>
  <si>
    <t>EQ 19</t>
  </si>
  <si>
    <t>D47 Linear</t>
  </si>
  <si>
    <t>d18O Mix</t>
  </si>
  <si>
    <t>d13C Mix</t>
  </si>
  <si>
    <t>d45 Mix</t>
  </si>
  <si>
    <t>d46 Mix</t>
  </si>
  <si>
    <t>d47 Mix</t>
  </si>
  <si>
    <t>G47 Mix</t>
  </si>
  <si>
    <t>Gonfiantini</t>
  </si>
  <si>
    <t>Acid Frac alpha</t>
  </si>
  <si>
    <t>d18O alpha</t>
  </si>
  <si>
    <t xml:space="preserve">D47 </t>
  </si>
  <si>
    <t>D48</t>
  </si>
  <si>
    <t>Raw D48 calculation</t>
  </si>
  <si>
    <t>slope (D47)</t>
  </si>
  <si>
    <t>int (D47)</t>
  </si>
  <si>
    <t>slope (D48)</t>
  </si>
  <si>
    <t>int (D48)</t>
  </si>
  <si>
    <t>d48</t>
  </si>
  <si>
    <t>D48 Full</t>
  </si>
  <si>
    <t>ETF D47 step one</t>
  </si>
  <si>
    <t>ETF D47step two</t>
  </si>
  <si>
    <t>Acid frac D47</t>
  </si>
  <si>
    <t>ETF D48 step one</t>
  </si>
  <si>
    <t>ETF D48 step two</t>
  </si>
  <si>
    <t>Acid Frac D48</t>
  </si>
  <si>
    <t>Linear D48</t>
  </si>
  <si>
    <t>Brand</t>
  </si>
  <si>
    <t>D48 Model</t>
  </si>
  <si>
    <t>D48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</si>
</sst>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"/>
    <numFmt numFmtId="165" formatCode="0.000"/>
    <numFmt numFmtId="166" formatCode="0.00000"/>
    <numFmt numFmtId="167" formatCode="0.0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2" fillId="2" borderId="0" xfId="1" applyFont="1"/>
    <xf numFmtId="0" fontId="5" fillId="0" borderId="0" xfId="0" applyFont="1"/>
    <xf numFmtId="0" fontId="6" fillId="2" borderId="0" xfId="1" applyFont="1"/>
    <xf numFmtId="2" fontId="5" fillId="0" borderId="0" xfId="0" applyNumberFormat="1" applyFont="1"/>
    <xf numFmtId="166" fontId="5" fillId="0" borderId="0" xfId="0" applyNumberFormat="1" applyFont="1"/>
    <xf numFmtId="167" fontId="5" fillId="0" borderId="0" xfId="0" applyNumberFormat="1" applyFont="1"/>
    <xf numFmtId="2" fontId="6" fillId="3" borderId="0" xfId="2" applyNumberFormat="1" applyFont="1"/>
    <xf numFmtId="168" fontId="5" fillId="0" borderId="0" xfId="0" applyNumberFormat="1" applyFont="1"/>
    <xf numFmtId="0" fontId="7" fillId="0" borderId="0" xfId="0" applyFont="1"/>
    <xf numFmtId="164" fontId="7" fillId="0" borderId="0" xfId="0" applyNumberFormat="1" applyFont="1"/>
    <xf numFmtId="165" fontId="6" fillId="2" borderId="0" xfId="1" applyNumberFormat="1" applyFont="1" applyBorder="1" applyAlignment="1">
      <alignment horizontal="center"/>
    </xf>
    <xf numFmtId="0" fontId="6" fillId="3" borderId="0" xfId="2" applyFont="1"/>
    <xf numFmtId="0" fontId="6" fillId="0" borderId="0" xfId="0" applyFont="1"/>
    <xf numFmtId="0" fontId="4" fillId="0" borderId="0" xfId="0" applyFont="1"/>
    <xf numFmtId="0" fontId="0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'D48'!$Q$19:$Q$29</c:f>
              <c:numCache>
                <c:formatCode>General</c:formatCode>
                <c:ptCount val="11"/>
                <c:pt idx="0">
                  <c:v>0.21400000000016539</c:v>
                </c:pt>
                <c:pt idx="1">
                  <c:v>0.23500018089171659</c:v>
                </c:pt>
                <c:pt idx="2" formatCode="0.00000">
                  <c:v>0.25145965543599713</c:v>
                </c:pt>
                <c:pt idx="3">
                  <c:v>0.26334009427561833</c:v>
                </c:pt>
                <c:pt idx="4">
                  <c:v>0.27060283625630066</c:v>
                </c:pt>
                <c:pt idx="5">
                  <c:v>0.2732088851935881</c:v>
                </c:pt>
                <c:pt idx="6">
                  <c:v>0.27111890659526083</c:v>
                </c:pt>
                <c:pt idx="7">
                  <c:v>0.26429322435617886</c:v>
                </c:pt>
                <c:pt idx="8">
                  <c:v>0.25269181741066926</c:v>
                </c:pt>
                <c:pt idx="9">
                  <c:v>0.23627431634961438</c:v>
                </c:pt>
                <c:pt idx="10" formatCode="0.00000">
                  <c:v>0.21500000000004593</c:v>
                </c:pt>
              </c:numCache>
            </c:numRef>
          </c:xVal>
          <c:yVal>
            <c:numRef>
              <c:f>'D48'!$S$19:$S$29</c:f>
              <c:numCache>
                <c:formatCode>General</c:formatCode>
                <c:ptCount val="11"/>
                <c:pt idx="0">
                  <c:v>0.13800000000045487</c:v>
                </c:pt>
                <c:pt idx="1">
                  <c:v>0.16272538564533884</c:v>
                </c:pt>
                <c:pt idx="2" formatCode="0.00000">
                  <c:v>0.18210229747838441</c:v>
                </c:pt>
                <c:pt idx="3">
                  <c:v>0.19607692107761832</c:v>
                </c:pt>
                <c:pt idx="4">
                  <c:v>0.2045949026205397</c:v>
                </c:pt>
                <c:pt idx="5">
                  <c:v>0.20760134287658766</c:v>
                </c:pt>
                <c:pt idx="6">
                  <c:v>0.20504079111963275</c:v>
                </c:pt>
                <c:pt idx="7">
                  <c:v>0.19685723896982299</c:v>
                </c:pt>
                <c:pt idx="8">
                  <c:v>0.18299411415556494</c:v>
                </c:pt>
                <c:pt idx="9">
                  <c:v>0.16339427419486224</c:v>
                </c:pt>
                <c:pt idx="10" formatCode="0.00000">
                  <c:v>0.13799999999989948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E-4240-AD88-358FCB2A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69455"/>
        <c:axId val="259169871"/>
      </c:scatterChart>
      <c:valAx>
        <c:axId val="25916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9169871"/>
        <c:crosses val="autoZero"/>
        <c:crossBetween val="midCat"/>
      </c:valAx>
      <c:valAx>
        <c:axId val="2591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916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30</xdr:row>
      <xdr:rowOff>157162</xdr:rowOff>
    </xdr:from>
    <xdr:to>
      <xdr:col>15</xdr:col>
      <xdr:colOff>533400</xdr:colOff>
      <xdr:row>45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F9C97-3457-4B97-AB60-3A44E31D2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0"/>
  <sheetViews>
    <sheetView workbookViewId="0">
      <selection activeCell="K22" sqref="K22"/>
    </sheetView>
  </sheetViews>
  <sheetFormatPr defaultColWidth="9.15625" defaultRowHeight="14.4" x14ac:dyDescent="0.55000000000000004"/>
  <cols>
    <col min="1" max="1" width="20.15625" style="2" customWidth="1"/>
    <col min="2" max="3" width="17.15625" style="2" customWidth="1"/>
    <col min="4" max="4" width="14.83984375" style="2" customWidth="1"/>
    <col min="5" max="5" width="14.26171875" style="2" customWidth="1"/>
    <col min="6" max="6" width="8.83984375" style="2" customWidth="1"/>
    <col min="7" max="7" width="14.26171875" style="2" customWidth="1"/>
    <col min="8" max="8" width="14.41796875" style="2" customWidth="1"/>
    <col min="9" max="12" width="9.15625" style="2"/>
    <col min="13" max="13" width="13" style="2" customWidth="1"/>
    <col min="14" max="17" width="9.15625" style="2"/>
    <col min="18" max="18" width="10.68359375" style="2" customWidth="1"/>
    <col min="19" max="19" width="11" style="2" customWidth="1"/>
    <col min="20" max="16384" width="9.15625" style="2"/>
  </cols>
  <sheetData>
    <row r="1" spans="1:23" x14ac:dyDescent="0.55000000000000004">
      <c r="B1" s="2" t="s">
        <v>0</v>
      </c>
      <c r="C1" s="2" t="s">
        <v>2</v>
      </c>
      <c r="D1" s="2" t="s">
        <v>81</v>
      </c>
      <c r="H1" s="2" t="s">
        <v>3</v>
      </c>
      <c r="M1" s="14" t="s">
        <v>73</v>
      </c>
      <c r="N1" s="14" t="s">
        <v>77</v>
      </c>
      <c r="O1" s="14" t="s">
        <v>76</v>
      </c>
      <c r="P1" s="14" t="s">
        <v>106</v>
      </c>
      <c r="Q1" s="14" t="s">
        <v>107</v>
      </c>
      <c r="R1" s="14" t="s">
        <v>78</v>
      </c>
      <c r="S1" s="14" t="s">
        <v>105</v>
      </c>
      <c r="T1" s="14" t="s">
        <v>108</v>
      </c>
      <c r="U1" s="14" t="s">
        <v>109</v>
      </c>
      <c r="V1" s="14" t="s">
        <v>110</v>
      </c>
      <c r="W1" s="14" t="s">
        <v>111</v>
      </c>
    </row>
    <row r="2" spans="1:23" x14ac:dyDescent="0.55000000000000004">
      <c r="B2"/>
      <c r="C2"/>
      <c r="D2" s="3">
        <v>90</v>
      </c>
      <c r="G2" s="2" t="s">
        <v>55</v>
      </c>
      <c r="H2" s="4">
        <f>C75</f>
        <v>2.9309153930540681</v>
      </c>
      <c r="N2" s="2">
        <f>B6</f>
        <v>0.5</v>
      </c>
      <c r="O2" s="2">
        <f>C6</f>
        <v>0.5</v>
      </c>
      <c r="P2" s="4">
        <f>H6</f>
        <v>-20</v>
      </c>
      <c r="Q2" s="4">
        <f>H7</f>
        <v>0</v>
      </c>
      <c r="R2" s="5">
        <f>H5</f>
        <v>0.95120596975118354</v>
      </c>
      <c r="S2" s="5">
        <f>H8</f>
        <v>0.46750000000000003</v>
      </c>
      <c r="T2" s="4">
        <f>H2</f>
        <v>2.9309153930540681</v>
      </c>
      <c r="U2" s="4">
        <f>H3</f>
        <v>-16.081046286183341</v>
      </c>
      <c r="V2" s="4">
        <f>H4</f>
        <v>-13.286782389169556</v>
      </c>
      <c r="W2" s="5">
        <f>R2-S2</f>
        <v>0.48370596975118352</v>
      </c>
    </row>
    <row r="3" spans="1:23" x14ac:dyDescent="0.55000000000000004">
      <c r="A3" s="2" t="s">
        <v>115</v>
      </c>
      <c r="B3" s="1">
        <v>0.01</v>
      </c>
      <c r="C3" s="1">
        <v>0.92500000000000004</v>
      </c>
      <c r="D3" s="2" t="s">
        <v>114</v>
      </c>
      <c r="G3" s="2" t="s">
        <v>56</v>
      </c>
      <c r="H3" s="4">
        <f>C76</f>
        <v>-16.081046286183341</v>
      </c>
    </row>
    <row r="4" spans="1:23" x14ac:dyDescent="0.55000000000000004">
      <c r="A4" s="2" t="s">
        <v>6</v>
      </c>
      <c r="B4" s="3">
        <v>-40</v>
      </c>
      <c r="C4" s="3">
        <v>0</v>
      </c>
      <c r="D4" s="2">
        <f>1.00397+((5.25*10^2)/(273.15+D2)^2)</f>
        <v>1.0079509544315501</v>
      </c>
      <c r="G4" s="2" t="s">
        <v>5</v>
      </c>
      <c r="H4" s="4">
        <f>C77</f>
        <v>-13.286782389169556</v>
      </c>
    </row>
    <row r="5" spans="1:23" x14ac:dyDescent="0.55000000000000004">
      <c r="A5" s="2" t="s">
        <v>7</v>
      </c>
      <c r="B5" s="3">
        <v>-20</v>
      </c>
      <c r="C5" s="3">
        <v>20</v>
      </c>
      <c r="G5" s="2" t="s">
        <v>4</v>
      </c>
      <c r="H5" s="5">
        <f>C90</f>
        <v>0.95120596975118354</v>
      </c>
    </row>
    <row r="6" spans="1:23" x14ac:dyDescent="0.55000000000000004">
      <c r="A6" s="2" t="s">
        <v>1</v>
      </c>
      <c r="B6" s="3">
        <v>0.5</v>
      </c>
      <c r="C6">
        <f>1-B6</f>
        <v>0.5</v>
      </c>
      <c r="G6" s="2" t="s">
        <v>6</v>
      </c>
      <c r="H6" s="4">
        <f>(B4*B6)+(C4*C6)</f>
        <v>-20</v>
      </c>
      <c r="I6" s="7" t="s">
        <v>102</v>
      </c>
    </row>
    <row r="7" spans="1:23" x14ac:dyDescent="0.55000000000000004">
      <c r="A7" s="2" t="s">
        <v>71</v>
      </c>
      <c r="B7" s="2">
        <f>D72</f>
        <v>-54.378598057495388</v>
      </c>
      <c r="C7" s="2">
        <f>E72</f>
        <v>27.805033279156277</v>
      </c>
      <c r="G7" s="2" t="s">
        <v>7</v>
      </c>
      <c r="H7" s="4">
        <f>(B5*B6)+(C5*C6)</f>
        <v>0</v>
      </c>
      <c r="I7" s="7" t="s">
        <v>102</v>
      </c>
    </row>
    <row r="8" spans="1:23" x14ac:dyDescent="0.55000000000000004">
      <c r="G8" s="2" t="s">
        <v>72</v>
      </c>
      <c r="H8" s="5">
        <f>B6*B3+C6*C3</f>
        <v>0.46750000000000003</v>
      </c>
      <c r="I8" s="6"/>
    </row>
    <row r="9" spans="1:23" x14ac:dyDescent="0.55000000000000004">
      <c r="B9" s="2" t="s">
        <v>47</v>
      </c>
      <c r="C9" s="2" t="s">
        <v>50</v>
      </c>
      <c r="D9" s="2" t="s">
        <v>80</v>
      </c>
      <c r="E9" s="2" t="s">
        <v>113</v>
      </c>
    </row>
    <row r="10" spans="1:23" x14ac:dyDescent="0.55000000000000004">
      <c r="A10" s="2" t="s">
        <v>48</v>
      </c>
      <c r="B10" s="1">
        <v>1.0390999999999999</v>
      </c>
      <c r="C10" s="1">
        <v>2.7400000000000001E-2</v>
      </c>
      <c r="D10" s="2">
        <f>(1000/E10)-1000</f>
        <v>8.2291515823158079E-2</v>
      </c>
      <c r="E10" s="2">
        <f>EXP((22.434/((273.15+D2)^2))-0.0002524)</f>
        <v>0.99991771525551321</v>
      </c>
    </row>
    <row r="11" spans="1:23" x14ac:dyDescent="0.55000000000000004">
      <c r="A11" s="2" t="s">
        <v>49</v>
      </c>
      <c r="B11" s="1">
        <v>0.94989999999999997</v>
      </c>
      <c r="C11"/>
      <c r="L11" s="2" t="s">
        <v>82</v>
      </c>
      <c r="N11" s="2" t="s">
        <v>75</v>
      </c>
      <c r="O11" s="2" t="s">
        <v>74</v>
      </c>
      <c r="P11" s="2" t="s">
        <v>55</v>
      </c>
      <c r="Q11" s="2" t="s">
        <v>56</v>
      </c>
      <c r="R11" s="2" t="s">
        <v>5</v>
      </c>
      <c r="S11" s="2" t="s">
        <v>4</v>
      </c>
    </row>
    <row r="12" spans="1:23" x14ac:dyDescent="0.55000000000000004">
      <c r="A12" s="2" t="s">
        <v>14</v>
      </c>
      <c r="H12"/>
      <c r="L12" s="2" t="s">
        <v>0</v>
      </c>
      <c r="N12" s="2">
        <f>B5</f>
        <v>-20</v>
      </c>
      <c r="O12" s="2">
        <f>B4</f>
        <v>-40</v>
      </c>
      <c r="P12" s="4">
        <f>D61</f>
        <v>-16.521549763530818</v>
      </c>
      <c r="Q12" s="4">
        <f>D62</f>
        <v>-36.182235882906475</v>
      </c>
      <c r="R12" s="4">
        <f>B7</f>
        <v>-54.378598057495388</v>
      </c>
      <c r="S12" s="8">
        <f>B3</f>
        <v>0.01</v>
      </c>
    </row>
    <row r="13" spans="1:23" x14ac:dyDescent="0.55000000000000004">
      <c r="H13"/>
      <c r="L13" s="2" t="s">
        <v>2</v>
      </c>
      <c r="N13" s="2">
        <f>C5</f>
        <v>20</v>
      </c>
      <c r="O13" s="2">
        <f>C4</f>
        <v>0</v>
      </c>
      <c r="P13" s="2">
        <f>E61</f>
        <v>22.383380549638954</v>
      </c>
      <c r="Q13" s="2">
        <f>E62</f>
        <v>4.0201433105397921</v>
      </c>
      <c r="R13" s="2">
        <f>C7</f>
        <v>27.805033279156277</v>
      </c>
      <c r="S13" s="2">
        <f>C3</f>
        <v>0.92500000000000004</v>
      </c>
    </row>
    <row r="14" spans="1:23" x14ac:dyDescent="0.55000000000000004">
      <c r="B14" s="9" t="s">
        <v>11</v>
      </c>
      <c r="C14" s="9" t="s">
        <v>12</v>
      </c>
      <c r="D14" s="9" t="s">
        <v>13</v>
      </c>
      <c r="H14"/>
    </row>
    <row r="15" spans="1:23" x14ac:dyDescent="0.55000000000000004">
      <c r="A15" s="9" t="s">
        <v>8</v>
      </c>
      <c r="B15" s="10"/>
      <c r="C15" s="10">
        <v>1.1237199999999999E-2</v>
      </c>
      <c r="D15" s="10">
        <f>C15</f>
        <v>1.1237199999999999E-2</v>
      </c>
      <c r="E15" s="2" t="s">
        <v>112</v>
      </c>
      <c r="H15"/>
    </row>
    <row r="16" spans="1:23" x14ac:dyDescent="0.55000000000000004">
      <c r="A16" s="9" t="s">
        <v>9</v>
      </c>
      <c r="B16" s="10">
        <v>2.0052E-3</v>
      </c>
      <c r="C16" s="10">
        <f>(30.9/1000+1)*B16</f>
        <v>2.0671606799999996E-3</v>
      </c>
      <c r="D16" s="10">
        <f>C16*1.01025</f>
        <v>2.08834907697E-3</v>
      </c>
      <c r="E16" s="2" t="s">
        <v>112</v>
      </c>
      <c r="H16"/>
    </row>
    <row r="17" spans="1:9" x14ac:dyDescent="0.55000000000000004">
      <c r="A17" s="9" t="s">
        <v>10</v>
      </c>
      <c r="B17" s="10">
        <v>3.7990000000000002E-4</v>
      </c>
      <c r="C17" s="10">
        <f>(C16/B16)^0.5164*B17</f>
        <v>3.8591735948715613E-4</v>
      </c>
      <c r="D17" s="10">
        <f>(D16/B16)^0.5164*B17</f>
        <v>3.8795502143551812E-4</v>
      </c>
      <c r="E17" s="2" t="s">
        <v>112</v>
      </c>
      <c r="I17"/>
    </row>
    <row r="18" spans="1:9" x14ac:dyDescent="0.55000000000000004">
      <c r="A18" s="9" t="s">
        <v>16</v>
      </c>
      <c r="B18" s="2">
        <f>((H6+29.98)/0.97001)</f>
        <v>10.288553726250244</v>
      </c>
      <c r="C18" s="2">
        <f>((B4+29.98)/0.97001)</f>
        <v>-10.329790414531809</v>
      </c>
      <c r="D18" s="2">
        <f>((C4+29.98)/0.97001)</f>
        <v>30.906897867032299</v>
      </c>
      <c r="I18"/>
    </row>
    <row r="19" spans="1:9" x14ac:dyDescent="0.55000000000000004">
      <c r="A19" s="9" t="s">
        <v>15</v>
      </c>
      <c r="B19" s="2">
        <f>((1000+B18)*D4)-1000</f>
        <v>18.321311979644406</v>
      </c>
      <c r="C19" s="2">
        <f>((1000+C18)*D4)-1000</f>
        <v>-2.4609676758550449</v>
      </c>
      <c r="D19" s="2">
        <f>((1000+D18)*D4)-1000</f>
        <v>39.103591635143857</v>
      </c>
      <c r="I19"/>
    </row>
    <row r="20" spans="1:9" x14ac:dyDescent="0.55000000000000004">
      <c r="A20" s="9" t="s">
        <v>79</v>
      </c>
      <c r="B20" s="11">
        <v>-3.7</v>
      </c>
      <c r="C20" s="4">
        <f>H7</f>
        <v>0</v>
      </c>
      <c r="D20" s="2" t="s">
        <v>17</v>
      </c>
      <c r="E20" s="2" t="s">
        <v>75</v>
      </c>
      <c r="I20"/>
    </row>
    <row r="21" spans="1:9" x14ac:dyDescent="0.55000000000000004">
      <c r="B21" s="11">
        <v>34.99</v>
      </c>
      <c r="C21" s="2">
        <f>B19</f>
        <v>18.321311979644406</v>
      </c>
      <c r="D21" s="2" t="s">
        <v>11</v>
      </c>
      <c r="E21" s="2" t="s">
        <v>74</v>
      </c>
      <c r="I21"/>
    </row>
    <row r="22" spans="1:9" x14ac:dyDescent="0.55000000000000004">
      <c r="B22" s="2" t="s">
        <v>54</v>
      </c>
      <c r="C22" s="2" t="s">
        <v>18</v>
      </c>
      <c r="D22" s="2" t="s">
        <v>0</v>
      </c>
      <c r="E22" s="2" t="s">
        <v>2</v>
      </c>
    </row>
    <row r="23" spans="1:9" x14ac:dyDescent="0.55000000000000004">
      <c r="A23" s="9" t="s">
        <v>8</v>
      </c>
      <c r="B23" s="2">
        <f>((B20/1000)+1)*$C$15</f>
        <v>1.1195622359999999E-2</v>
      </c>
      <c r="C23" s="2">
        <f>((C20/1000)+1)*$C$15</f>
        <v>1.1237199999999999E-2</v>
      </c>
      <c r="D23" s="2">
        <f>((B5/1000)+1)*C15</f>
        <v>1.1012455999999999E-2</v>
      </c>
      <c r="E23" s="2">
        <f>((C5/1000)+1)*C15</f>
        <v>1.1461944E-2</v>
      </c>
      <c r="F23" s="12" t="s">
        <v>83</v>
      </c>
    </row>
    <row r="24" spans="1:9" x14ac:dyDescent="0.55000000000000004">
      <c r="A24" s="9" t="s">
        <v>10</v>
      </c>
      <c r="B24" s="2">
        <f>((B25/$B$16)^0.5164)*$B$17</f>
        <v>3.8670725801762611E-4</v>
      </c>
      <c r="C24" s="2">
        <f>((C25/$B$16)^0.5164)*$B$17</f>
        <v>3.8347850122716744E-4</v>
      </c>
      <c r="D24" s="2">
        <f>((D25/$B$16)^0.5164)*$B$17</f>
        <v>3.7941691883315137E-4</v>
      </c>
      <c r="E24" s="2">
        <f>((E25/$B$16)^0.5164)*$B$17</f>
        <v>3.8750019162210619E-4</v>
      </c>
      <c r="F24" s="12" t="s">
        <v>84</v>
      </c>
    </row>
    <row r="25" spans="1:9" x14ac:dyDescent="0.55000000000000004">
      <c r="A25" s="9" t="s">
        <v>9</v>
      </c>
      <c r="B25" s="2">
        <f>((B21/1000)+1)*$B$16</f>
        <v>2.0753619480000001E-3</v>
      </c>
      <c r="C25" s="2">
        <f>((C21/1000)+1)*$B$16</f>
        <v>2.0419378947815828E-3</v>
      </c>
      <c r="D25" s="2">
        <f>((C19/1000)+1)*$B$16</f>
        <v>2.0002652676163754E-3</v>
      </c>
      <c r="E25" s="2">
        <f>((D19/1000)+1)*$B$16</f>
        <v>2.0836105219467905E-3</v>
      </c>
      <c r="F25" s="12" t="s">
        <v>87</v>
      </c>
    </row>
    <row r="26" spans="1:9" x14ac:dyDescent="0.55000000000000004">
      <c r="F26" s="12"/>
    </row>
    <row r="27" spans="1:9" x14ac:dyDescent="0.55000000000000004">
      <c r="A27" s="9" t="s">
        <v>21</v>
      </c>
      <c r="B27" s="2">
        <f>1/(1+B23)</f>
        <v>0.98892833185544171</v>
      </c>
      <c r="C27" s="2">
        <f>1/(1+C23)</f>
        <v>0.98888767145828882</v>
      </c>
      <c r="D27" s="2">
        <f t="shared" ref="D27:E27" si="0">1/(1+D23)</f>
        <v>0.98910749720772972</v>
      </c>
      <c r="E27" s="2">
        <f t="shared" si="0"/>
        <v>0.9886679433981751</v>
      </c>
      <c r="F27" s="12" t="s">
        <v>85</v>
      </c>
    </row>
    <row r="28" spans="1:9" x14ac:dyDescent="0.55000000000000004">
      <c r="A28" s="9" t="s">
        <v>22</v>
      </c>
      <c r="B28" s="2">
        <f>B23*B27</f>
        <v>1.1071668144558282E-2</v>
      </c>
      <c r="C28" s="2">
        <f>C23*C27</f>
        <v>1.1112328541711082E-2</v>
      </c>
      <c r="D28" s="2">
        <f t="shared" ref="D28:E28" si="1">D23*D27</f>
        <v>1.0892502792270244E-2</v>
      </c>
      <c r="E28" s="2">
        <f t="shared" si="1"/>
        <v>1.1332056601825053E-2</v>
      </c>
      <c r="F28" s="12" t="s">
        <v>86</v>
      </c>
    </row>
    <row r="29" spans="1:9" x14ac:dyDescent="0.55000000000000004">
      <c r="A29" s="9" t="s">
        <v>23</v>
      </c>
      <c r="B29" s="2">
        <f>1/(1+B24+B25)</f>
        <v>0.99754397769087877</v>
      </c>
      <c r="C29" s="2">
        <f>1/(1+C24+C25)</f>
        <v>0.99758045201534418</v>
      </c>
      <c r="D29" s="2">
        <f t="shared" ref="D29:E29" si="2">1/(1+D24+D25)</f>
        <v>0.99762596725697916</v>
      </c>
      <c r="E29" s="2">
        <f t="shared" si="2"/>
        <v>0.99753498062222468</v>
      </c>
      <c r="F29" s="12" t="s">
        <v>88</v>
      </c>
    </row>
    <row r="30" spans="1:9" x14ac:dyDescent="0.55000000000000004">
      <c r="A30" s="9" t="s">
        <v>24</v>
      </c>
      <c r="B30" s="2">
        <f>B29*B24</f>
        <v>3.8575749636483571E-4</v>
      </c>
      <c r="C30" s="2">
        <f>C29*C24</f>
        <v>3.8255065659236441E-4</v>
      </c>
      <c r="D30" s="2">
        <f t="shared" ref="D30:E30" si="3">D29*D24</f>
        <v>3.785161706445854E-4</v>
      </c>
      <c r="E30" s="2">
        <f t="shared" si="3"/>
        <v>3.8654499614086603E-4</v>
      </c>
      <c r="F30" s="12" t="s">
        <v>89</v>
      </c>
    </row>
    <row r="31" spans="1:9" x14ac:dyDescent="0.55000000000000004">
      <c r="A31" s="9" t="s">
        <v>25</v>
      </c>
      <c r="B31" s="2">
        <f>B29*B25</f>
        <v>2.0702648127562109E-3</v>
      </c>
      <c r="C31" s="2">
        <f>C29*C25</f>
        <v>2.0369973280634718E-3</v>
      </c>
      <c r="D31" s="2">
        <f t="shared" ref="D31:E31" si="4">D29*D25</f>
        <v>1.995516572376327E-3</v>
      </c>
      <c r="E31" s="2">
        <f t="shared" si="4"/>
        <v>2.0784743816344552E-3</v>
      </c>
      <c r="F31" s="12" t="s">
        <v>90</v>
      </c>
    </row>
    <row r="33" spans="1:5" x14ac:dyDescent="0.55000000000000004">
      <c r="A33" s="9" t="s">
        <v>95</v>
      </c>
    </row>
    <row r="34" spans="1:5" x14ac:dyDescent="0.55000000000000004">
      <c r="A34" s="9" t="s">
        <v>26</v>
      </c>
      <c r="B34" s="2">
        <f>B27*B29*B29</f>
        <v>0.98407663702589965</v>
      </c>
      <c r="C34" s="2">
        <f>C27*C29*C29</f>
        <v>0.98410813827175103</v>
      </c>
      <c r="D34" s="2">
        <f>D27*D29*D29</f>
        <v>0.98441672467922914</v>
      </c>
      <c r="E34" s="2">
        <f>E27*E29*E29</f>
        <v>0.98379977958417619</v>
      </c>
    </row>
    <row r="35" spans="1:5" x14ac:dyDescent="0.55000000000000004">
      <c r="A35" s="9" t="s">
        <v>27</v>
      </c>
      <c r="B35" s="2">
        <f>B27*B29*B30*2</f>
        <v>7.6109915596698466E-4</v>
      </c>
      <c r="C35" s="2">
        <f>C27*C29*C30*2</f>
        <v>7.5476862781981822E-4</v>
      </c>
      <c r="D35" s="2">
        <f>D27*D29*D30*2</f>
        <v>7.470087210512316E-4</v>
      </c>
      <c r="E35" s="2">
        <f>E27*E29*E30*2</f>
        <v>7.624452062133082E-4</v>
      </c>
    </row>
    <row r="36" spans="1:5" x14ac:dyDescent="0.55000000000000004">
      <c r="A36" s="9" t="s">
        <v>28</v>
      </c>
      <c r="B36" s="2">
        <f>B28*B29*B29</f>
        <v>1.1017350401440765E-2</v>
      </c>
      <c r="C36" s="2">
        <f>C28*C29*C29</f>
        <v>1.1058619971387318E-2</v>
      </c>
      <c r="D36" s="2">
        <f>D28*D29*D29</f>
        <v>1.0840845866194123E-2</v>
      </c>
      <c r="E36" s="2">
        <f>E28*E29*E29</f>
        <v>1.127625798080617E-2</v>
      </c>
    </row>
    <row r="37" spans="1:5" x14ac:dyDescent="0.55000000000000004">
      <c r="A37" s="9" t="s">
        <v>29</v>
      </c>
      <c r="B37" s="2">
        <f>B27*B29*B31*2</f>
        <v>4.0846304127987202E-3</v>
      </c>
      <c r="C37" s="2">
        <f>C27*C29*C31*2</f>
        <v>4.0189754002000842E-3</v>
      </c>
      <c r="D37" s="2">
        <f>D27*D29*D31*2</f>
        <v>3.9381891664730688E-3</v>
      </c>
      <c r="E37" s="2">
        <f>E27*E29*E31*2</f>
        <v>4.0997111444610462E-3</v>
      </c>
    </row>
    <row r="38" spans="1:5" x14ac:dyDescent="0.55000000000000004">
      <c r="A38" s="9" t="s">
        <v>30</v>
      </c>
      <c r="B38" s="2">
        <f>B27*B30*B30</f>
        <v>1.4716128384176112E-7</v>
      </c>
      <c r="C38" s="2">
        <f>C27*C30*C30</f>
        <v>1.4471877108481484E-7</v>
      </c>
      <c r="D38" s="2">
        <f>D27*D30*D30</f>
        <v>1.4171387364137569E-7</v>
      </c>
      <c r="E38" s="2">
        <f>E27*E30*E30</f>
        <v>1.4772383175450659E-7</v>
      </c>
    </row>
    <row r="39" spans="1:5" x14ac:dyDescent="0.55000000000000004">
      <c r="A39" s="9" t="s">
        <v>31</v>
      </c>
      <c r="B39" s="2">
        <f>B28*B30*B29*2</f>
        <v>8.5209787287210996E-6</v>
      </c>
      <c r="C39" s="2">
        <f>C28*C30*C29*2</f>
        <v>8.4814860245368606E-6</v>
      </c>
      <c r="D39" s="2">
        <f>D28*D30*D29*2</f>
        <v>8.2264006721929596E-6</v>
      </c>
      <c r="E39" s="2">
        <f>E28*E30*E29*2</f>
        <v>8.7391042566853912E-6</v>
      </c>
    </row>
    <row r="40" spans="1:5" x14ac:dyDescent="0.55000000000000004">
      <c r="A40" s="9" t="s">
        <v>32</v>
      </c>
      <c r="B40" s="2">
        <f>B27*B30*B31*2</f>
        <v>1.5795562269487975E-6</v>
      </c>
      <c r="C40" s="2">
        <f>C27*C30*C31*2</f>
        <v>1.5411906629375839E-6</v>
      </c>
      <c r="D40" s="2">
        <f>D27*D30*D31*2</f>
        <v>1.4942155993253083E-6</v>
      </c>
      <c r="E40" s="2">
        <f>E27*E30*E31*2</f>
        <v>1.5886388540739392E-6</v>
      </c>
    </row>
    <row r="41" spans="1:5" x14ac:dyDescent="0.55000000000000004">
      <c r="A41" s="9" t="s">
        <v>33</v>
      </c>
      <c r="B41" s="2">
        <f>B28*B29*B31*2</f>
        <v>4.572997958186538E-5</v>
      </c>
      <c r="C41" s="2">
        <f>C28*C29*C31*2</f>
        <v>4.516203036712838E-5</v>
      </c>
      <c r="D41" s="2">
        <f>D28*D29*D31*2</f>
        <v>4.3369134915461335E-5</v>
      </c>
      <c r="E41" s="2">
        <f>E28*E29*E31*2</f>
        <v>4.699065955398842E-5</v>
      </c>
    </row>
    <row r="42" spans="1:5" x14ac:dyDescent="0.55000000000000004">
      <c r="A42" s="9" t="s">
        <v>34</v>
      </c>
      <c r="B42" s="2">
        <f>B28*B30*B30</f>
        <v>1.6475621599051271E-9</v>
      </c>
      <c r="C42" s="2">
        <f>C28*C30*C30</f>
        <v>1.6262337744342809E-9</v>
      </c>
      <c r="D42" s="2">
        <f>D28*D30*D30</f>
        <v>1.5606177980652089E-9</v>
      </c>
      <c r="E42" s="2">
        <f>E28*E30*E30</f>
        <v>1.6932022870355764E-9</v>
      </c>
    </row>
    <row r="43" spans="1:5" x14ac:dyDescent="0.55000000000000004">
      <c r="A43" s="9" t="s">
        <v>35</v>
      </c>
      <c r="B43" s="2">
        <f>B27*B31*B31</f>
        <v>4.2385432651829988E-6</v>
      </c>
      <c r="C43" s="2">
        <f>C27*C31*C31</f>
        <v>4.1032490839317653E-6</v>
      </c>
      <c r="D43" s="2">
        <f>D27*D31*D31</f>
        <v>3.9387115034995817E-6</v>
      </c>
      <c r="E43" s="2">
        <f>E27*E31*E31</f>
        <v>4.2711006387707767E-6</v>
      </c>
    </row>
    <row r="44" spans="1:5" x14ac:dyDescent="0.55000000000000004">
      <c r="A44" s="9" t="s">
        <v>36</v>
      </c>
      <c r="B44" s="2">
        <f>B28*B30*B31*2</f>
        <v>1.7684115013305189E-8</v>
      </c>
      <c r="C44" s="2">
        <f>C28*C30*C31*2</f>
        <v>1.7318667717562215E-8</v>
      </c>
      <c r="D44" s="2">
        <f>D28*D30*D31*2</f>
        <v>1.6454983542083582E-8</v>
      </c>
      <c r="E44" s="2">
        <f>E28*E30*E31*2</f>
        <v>1.8208889581619669E-8</v>
      </c>
    </row>
    <row r="45" spans="1:5" x14ac:dyDescent="0.55000000000000004">
      <c r="A45" s="9" t="s">
        <v>37</v>
      </c>
      <c r="B45" s="2">
        <f>B28*B31*B31</f>
        <v>4.745312975351018E-8</v>
      </c>
      <c r="C45" s="2">
        <f>C28*C31*C31</f>
        <v>4.6109030605958022E-8</v>
      </c>
      <c r="D45" s="2">
        <f>D28*D31*D31</f>
        <v>4.3374887128982984E-8</v>
      </c>
      <c r="E45" s="2">
        <f>E28*E31*E31</f>
        <v>4.8955116339954881E-8</v>
      </c>
    </row>
    <row r="46" spans="1:5" x14ac:dyDescent="0.55000000000000004">
      <c r="A46" s="9"/>
    </row>
    <row r="47" spans="1:5" x14ac:dyDescent="0.55000000000000004">
      <c r="A47" s="9" t="s">
        <v>94</v>
      </c>
    </row>
    <row r="48" spans="1:5" x14ac:dyDescent="0.55000000000000004">
      <c r="A48" s="9" t="s">
        <v>38</v>
      </c>
      <c r="B48" s="2">
        <f>B34</f>
        <v>0.98407663702589965</v>
      </c>
      <c r="C48" s="2">
        <f>C34</f>
        <v>0.98410813827175103</v>
      </c>
      <c r="D48" s="2">
        <f t="shared" ref="D48:E48" si="5">D34</f>
        <v>0.98441672467922914</v>
      </c>
      <c r="E48" s="2">
        <f t="shared" si="5"/>
        <v>0.98379977958417619</v>
      </c>
    </row>
    <row r="49" spans="1:6" x14ac:dyDescent="0.55000000000000004">
      <c r="A49" s="9" t="s">
        <v>39</v>
      </c>
      <c r="B49" s="2">
        <f>B35+B36</f>
        <v>1.177844955740775E-2</v>
      </c>
      <c r="C49" s="2">
        <f>C35+C36</f>
        <v>1.1813388599207136E-2</v>
      </c>
      <c r="D49" s="2">
        <f t="shared" ref="D49:E49" si="6">D35+D36</f>
        <v>1.1587854587245355E-2</v>
      </c>
      <c r="E49" s="2">
        <f t="shared" si="6"/>
        <v>1.2038703187019478E-2</v>
      </c>
    </row>
    <row r="50" spans="1:6" x14ac:dyDescent="0.55000000000000004">
      <c r="A50" s="9" t="s">
        <v>40</v>
      </c>
      <c r="B50" s="2">
        <f>B37+B38+B39</f>
        <v>4.0932985528112833E-3</v>
      </c>
      <c r="C50" s="2">
        <f>C37+C38+C39</f>
        <v>4.0276016049957059E-3</v>
      </c>
      <c r="D50" s="2">
        <f t="shared" ref="D50:E50" si="7">D37+D38+D39</f>
        <v>3.9465572810189024E-3</v>
      </c>
      <c r="E50" s="2">
        <f t="shared" si="7"/>
        <v>4.1085979725494865E-3</v>
      </c>
    </row>
    <row r="51" spans="1:6" x14ac:dyDescent="0.55000000000000004">
      <c r="A51" s="9" t="s">
        <v>41</v>
      </c>
      <c r="B51" s="2">
        <f>B40+B41+B42</f>
        <v>4.731118337097408E-5</v>
      </c>
      <c r="C51" s="2">
        <f>C40+C41+C42</f>
        <v>4.6704847263840398E-5</v>
      </c>
      <c r="D51" s="2">
        <f t="shared" ref="D51:E51" si="8">D40+D41+D42</f>
        <v>4.4864911132584707E-5</v>
      </c>
      <c r="E51" s="2">
        <f t="shared" si="8"/>
        <v>4.8580991610349394E-5</v>
      </c>
    </row>
    <row r="52" spans="1:6" x14ac:dyDescent="0.55000000000000004">
      <c r="A52" s="9" t="s">
        <v>42</v>
      </c>
      <c r="B52" s="2">
        <f>B43+B44</f>
        <v>4.2562273801963039E-6</v>
      </c>
      <c r="C52" s="2">
        <f>C43+C44</f>
        <v>4.1205677516493274E-6</v>
      </c>
      <c r="D52" s="2">
        <f t="shared" ref="D52:E52" si="9">D43+D44</f>
        <v>3.9551664870416655E-6</v>
      </c>
      <c r="E52" s="2">
        <f t="shared" si="9"/>
        <v>4.2893095283523966E-6</v>
      </c>
    </row>
    <row r="53" spans="1:6" x14ac:dyDescent="0.55000000000000004">
      <c r="A53" s="9" t="s">
        <v>43</v>
      </c>
      <c r="B53" s="2">
        <f>B45</f>
        <v>4.745312975351018E-8</v>
      </c>
      <c r="C53" s="2">
        <f>C45</f>
        <v>4.6109030605958022E-8</v>
      </c>
      <c r="D53" s="2">
        <f t="shared" ref="D53:E53" si="10">D45</f>
        <v>4.3374887128982984E-8</v>
      </c>
      <c r="E53" s="2">
        <f t="shared" si="10"/>
        <v>4.8955116339954881E-8</v>
      </c>
    </row>
    <row r="54" spans="1:6" x14ac:dyDescent="0.55000000000000004">
      <c r="A54" s="9"/>
    </row>
    <row r="55" spans="1:6" x14ac:dyDescent="0.55000000000000004">
      <c r="A55" s="9" t="s">
        <v>96</v>
      </c>
    </row>
    <row r="56" spans="1:6" x14ac:dyDescent="0.55000000000000004">
      <c r="A56" s="9" t="s">
        <v>19</v>
      </c>
      <c r="B56" s="2">
        <f>B49/B48</f>
        <v>1.1969036876035252E-2</v>
      </c>
      <c r="C56" s="2">
        <f>C49/C48</f>
        <v>1.2004157002454332E-2</v>
      </c>
      <c r="D56" s="2">
        <f t="shared" ref="D56:E56" si="11">D49/D48</f>
        <v>1.17712898376663E-2</v>
      </c>
      <c r="E56" s="2">
        <f t="shared" si="11"/>
        <v>1.223694438324421E-2</v>
      </c>
      <c r="F56" s="12" t="s">
        <v>91</v>
      </c>
    </row>
    <row r="57" spans="1:6" x14ac:dyDescent="0.55000000000000004">
      <c r="A57" s="9" t="s">
        <v>20</v>
      </c>
      <c r="B57" s="2">
        <f>B50/B48</f>
        <v>4.1595322953526769E-3</v>
      </c>
      <c r="C57" s="2">
        <f>C50/C48</f>
        <v>4.0926412945520487E-3</v>
      </c>
      <c r="D57" s="2">
        <f t="shared" ref="D57:E57" si="12">D50/D48</f>
        <v>4.0090311166796587E-3</v>
      </c>
      <c r="E57" s="2">
        <f t="shared" si="12"/>
        <v>4.1762542112848133E-3</v>
      </c>
      <c r="F57" s="12" t="s">
        <v>92</v>
      </c>
    </row>
    <row r="58" spans="1:6" x14ac:dyDescent="0.55000000000000004">
      <c r="A58" s="9" t="s">
        <v>44</v>
      </c>
      <c r="B58" s="2">
        <f>B51/B48</f>
        <v>4.8076726538249185E-5</v>
      </c>
      <c r="C58" s="2">
        <f>C51/C48</f>
        <v>4.7459060084455221E-5</v>
      </c>
      <c r="D58" s="2">
        <f t="shared" ref="D58:E58" si="13">D51/D48</f>
        <v>4.5575120787595187E-5</v>
      </c>
      <c r="E58" s="2">
        <f t="shared" si="13"/>
        <v>4.9380974278001135E-5</v>
      </c>
      <c r="F58" s="12" t="s">
        <v>93</v>
      </c>
    </row>
    <row r="59" spans="1:6" x14ac:dyDescent="0.55000000000000004">
      <c r="A59" s="9" t="s">
        <v>45</v>
      </c>
      <c r="B59" s="2">
        <f>B52/B48</f>
        <v>4.3250974772245158E-6</v>
      </c>
      <c r="C59" s="2">
        <f>C52/C48</f>
        <v>4.1871087042179063E-6</v>
      </c>
      <c r="D59" s="2">
        <f t="shared" ref="D59:E59" si="14">D52/D48</f>
        <v>4.0177766060714285E-6</v>
      </c>
      <c r="E59" s="2">
        <f t="shared" si="14"/>
        <v>4.3599415423383851E-6</v>
      </c>
      <c r="F59" s="13"/>
    </row>
    <row r="60" spans="1:6" x14ac:dyDescent="0.55000000000000004">
      <c r="A60" s="9" t="s">
        <v>46</v>
      </c>
      <c r="B60" s="2">
        <f>B53/B48</f>
        <v>4.8220969757928799E-8</v>
      </c>
      <c r="C60" s="2">
        <f>C53/C48</f>
        <v>4.6853621886445065E-8</v>
      </c>
      <c r="D60" s="2">
        <f t="shared" ref="D60:E60" si="15">D53/D48</f>
        <v>4.406150976672672E-8</v>
      </c>
      <c r="E60" s="2">
        <f t="shared" si="15"/>
        <v>4.9761259715515284E-8</v>
      </c>
      <c r="F60" s="13"/>
    </row>
    <row r="61" spans="1:6" x14ac:dyDescent="0.55000000000000004">
      <c r="C61" s="2" t="s">
        <v>55</v>
      </c>
      <c r="D61" s="2">
        <f>((D56/B56)-1)*1000</f>
        <v>-16.521549763530818</v>
      </c>
      <c r="E61" s="2">
        <f>((E56/B56)-1)*1000</f>
        <v>22.383380549638954</v>
      </c>
      <c r="F61" s="12" t="s">
        <v>97</v>
      </c>
    </row>
    <row r="62" spans="1:6" x14ac:dyDescent="0.55000000000000004">
      <c r="C62" s="2" t="s">
        <v>56</v>
      </c>
      <c r="D62" s="2">
        <f>((D57/B57)-1)*1000</f>
        <v>-36.182235882906475</v>
      </c>
      <c r="E62" s="2">
        <f>((E57/B57)-1)*1000</f>
        <v>4.0201433105397921</v>
      </c>
      <c r="F62" s="12" t="s">
        <v>98</v>
      </c>
    </row>
    <row r="65" spans="1:6" x14ac:dyDescent="0.55000000000000004">
      <c r="A65" s="9" t="s">
        <v>51</v>
      </c>
      <c r="D65" s="2" t="s">
        <v>0</v>
      </c>
      <c r="E65" s="2" t="s">
        <v>2</v>
      </c>
    </row>
    <row r="66" spans="1:6" x14ac:dyDescent="0.55000000000000004">
      <c r="A66" s="9" t="s">
        <v>52</v>
      </c>
      <c r="D66" s="2">
        <f>B3-D10</f>
        <v>-7.2291515823158084E-2</v>
      </c>
      <c r="E66" s="2">
        <f>C3-D10</f>
        <v>0.84270848417684197</v>
      </c>
      <c r="F66" s="12" t="s">
        <v>99</v>
      </c>
    </row>
    <row r="67" spans="1:6" x14ac:dyDescent="0.55000000000000004">
      <c r="A67" s="9" t="s">
        <v>53</v>
      </c>
      <c r="D67" s="2">
        <f>(D66-B11)/B10</f>
        <v>-0.98372776039183729</v>
      </c>
      <c r="E67" s="2">
        <f>(E66-B11)/B10</f>
        <v>-0.10315803659239535</v>
      </c>
      <c r="F67" s="12" t="s">
        <v>100</v>
      </c>
    </row>
    <row r="68" spans="1:6" x14ac:dyDescent="0.55000000000000004">
      <c r="A68" s="9" t="s">
        <v>58</v>
      </c>
      <c r="B68" s="2" t="s">
        <v>59</v>
      </c>
      <c r="D68" s="5">
        <f>(((((D61/1000)+1)*$B$56)/D56)-1)*1000</f>
        <v>0</v>
      </c>
      <c r="E68" s="5">
        <f>(((((E61/1000)+1)*$B$56)/E56)-1)*1000</f>
        <v>0</v>
      </c>
    </row>
    <row r="69" spans="1:6" x14ac:dyDescent="0.55000000000000004">
      <c r="A69" s="9" t="s">
        <v>57</v>
      </c>
      <c r="B69" s="2" t="s">
        <v>60</v>
      </c>
      <c r="D69" s="2">
        <v>0</v>
      </c>
      <c r="E69" s="2">
        <v>0</v>
      </c>
    </row>
    <row r="70" spans="1:6" x14ac:dyDescent="0.55000000000000004">
      <c r="A70" s="9" t="s">
        <v>61</v>
      </c>
      <c r="D70" s="2">
        <f>((D67+1000)*D58)/(1000*$B$58)-1</f>
        <v>-5.2966153178712116E-2</v>
      </c>
      <c r="E70" s="2">
        <f>((E67+1000)*E58)/(1000*$B$58)-1</f>
        <v>2.7022507332457923E-2</v>
      </c>
    </row>
    <row r="71" spans="1:6" x14ac:dyDescent="0.55000000000000004">
      <c r="A71" s="9" t="s">
        <v>62</v>
      </c>
      <c r="D71" s="2">
        <f>((1/1000)-(($C$10*D58)/(1000*$B$58)))</f>
        <v>9.7402572097776642E-4</v>
      </c>
      <c r="E71" s="2">
        <f>((1/1000)-(($C$10*E58)/(1000*$B$58)))</f>
        <v>9.7185668008946554E-4</v>
      </c>
    </row>
    <row r="72" spans="1:6" x14ac:dyDescent="0.55000000000000004">
      <c r="A72" s="9" t="s">
        <v>5</v>
      </c>
      <c r="D72" s="2">
        <f>D70/D71</f>
        <v>-54.378598057495388</v>
      </c>
      <c r="E72" s="2">
        <f>E70/E71</f>
        <v>27.805033279156277</v>
      </c>
      <c r="F72" s="12" t="s">
        <v>101</v>
      </c>
    </row>
    <row r="74" spans="1:6" x14ac:dyDescent="0.55000000000000004">
      <c r="A74" s="9" t="s">
        <v>63</v>
      </c>
      <c r="C74" s="2" t="s">
        <v>64</v>
      </c>
      <c r="D74" s="2">
        <f>B6</f>
        <v>0.5</v>
      </c>
      <c r="E74" s="2">
        <f>C6</f>
        <v>0.5</v>
      </c>
    </row>
    <row r="75" spans="1:6" x14ac:dyDescent="0.55000000000000004">
      <c r="A75" s="9" t="s">
        <v>55</v>
      </c>
      <c r="C75" s="2">
        <f>D74*D61+E74*E61</f>
        <v>2.9309153930540681</v>
      </c>
      <c r="D75" s="12" t="s">
        <v>102</v>
      </c>
    </row>
    <row r="76" spans="1:6" x14ac:dyDescent="0.55000000000000004">
      <c r="A76" s="9" t="s">
        <v>56</v>
      </c>
      <c r="C76" s="2">
        <f>D74*D62+E74*E62</f>
        <v>-16.081046286183341</v>
      </c>
      <c r="D76" s="12" t="s">
        <v>102</v>
      </c>
    </row>
    <row r="77" spans="1:6" x14ac:dyDescent="0.55000000000000004">
      <c r="A77" s="9" t="s">
        <v>5</v>
      </c>
      <c r="C77" s="2">
        <f>D74*D72+E74*E72</f>
        <v>-13.286782389169556</v>
      </c>
      <c r="D77" s="12" t="s">
        <v>102</v>
      </c>
    </row>
    <row r="78" spans="1:6" x14ac:dyDescent="0.55000000000000004">
      <c r="A78" s="9"/>
      <c r="D78" s="13"/>
    </row>
    <row r="79" spans="1:6" x14ac:dyDescent="0.55000000000000004">
      <c r="A79" s="9" t="s">
        <v>19</v>
      </c>
      <c r="C79" s="2">
        <f>((C75/1000)+1)*B56</f>
        <v>1.2004117110455256E-2</v>
      </c>
      <c r="D79" s="12" t="s">
        <v>103</v>
      </c>
    </row>
    <row r="80" spans="1:6" x14ac:dyDescent="0.55000000000000004">
      <c r="A80" s="9" t="s">
        <v>20</v>
      </c>
      <c r="C80" s="2">
        <f t="shared" ref="C80" si="16">((C76/1000)+1)*B57</f>
        <v>4.092642663982236E-3</v>
      </c>
      <c r="D80" s="12" t="s">
        <v>103</v>
      </c>
    </row>
    <row r="81" spans="1:4" x14ac:dyDescent="0.55000000000000004">
      <c r="A81" s="9" t="s">
        <v>44</v>
      </c>
      <c r="C81" s="2">
        <f>((C77/1000)+1)*B58</f>
        <v>4.7437941534751856E-5</v>
      </c>
      <c r="D81" s="12" t="s">
        <v>103</v>
      </c>
    </row>
    <row r="82" spans="1:4" x14ac:dyDescent="0.55000000000000004">
      <c r="D82" s="13"/>
    </row>
    <row r="83" spans="1:4" x14ac:dyDescent="0.55000000000000004">
      <c r="A83" s="9" t="s">
        <v>65</v>
      </c>
      <c r="C83" s="2">
        <f>((C79/C56)-1)*1000</f>
        <v>-3.3231820499857179E-3</v>
      </c>
      <c r="D83" s="13"/>
    </row>
    <row r="84" spans="1:4" x14ac:dyDescent="0.55000000000000004">
      <c r="A84" s="9" t="s">
        <v>66</v>
      </c>
      <c r="C84" s="2">
        <f t="shared" ref="C84:C85" si="17">((C80/C57)-1)*1000</f>
        <v>3.3460791915018717E-4</v>
      </c>
      <c r="D84" s="13"/>
    </row>
    <row r="85" spans="1:4" x14ac:dyDescent="0.55000000000000004">
      <c r="A85" s="9" t="s">
        <v>4</v>
      </c>
      <c r="C85" s="2">
        <f t="shared" si="17"/>
        <v>-0.44498457545893988</v>
      </c>
      <c r="D85" s="13"/>
    </row>
    <row r="86" spans="1:4" x14ac:dyDescent="0.55000000000000004">
      <c r="D86" s="13"/>
    </row>
    <row r="87" spans="1:4" x14ac:dyDescent="0.55000000000000004">
      <c r="A87" s="9" t="s">
        <v>67</v>
      </c>
      <c r="C87" s="2">
        <f>C85-C84-C83</f>
        <v>-0.44199600132810435</v>
      </c>
      <c r="D87" s="12" t="s">
        <v>104</v>
      </c>
    </row>
    <row r="88" spans="1:4" x14ac:dyDescent="0.55000000000000004">
      <c r="A88" s="9" t="s">
        <v>68</v>
      </c>
      <c r="C88" s="2">
        <f>C87-C10*C77</f>
        <v>-7.7938163864858523E-2</v>
      </c>
    </row>
    <row r="89" spans="1:4" x14ac:dyDescent="0.55000000000000004">
      <c r="A89" s="9" t="s">
        <v>69</v>
      </c>
      <c r="C89" s="2">
        <f>C88*B10+B11</f>
        <v>0.86891445392802547</v>
      </c>
    </row>
    <row r="90" spans="1:4" x14ac:dyDescent="0.55000000000000004">
      <c r="A90" s="9" t="s">
        <v>70</v>
      </c>
      <c r="C90" s="2">
        <f>C89+D10</f>
        <v>0.95120596975118354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tabSelected="1" topLeftCell="A90" workbookViewId="0">
      <selection activeCell="C86" sqref="C86"/>
    </sheetView>
  </sheetViews>
  <sheetFormatPr defaultColWidth="9.15625" defaultRowHeight="14.4" x14ac:dyDescent="0.55000000000000004"/>
  <cols>
    <col min="1" max="1" width="20.15625" style="2" customWidth="1"/>
    <col min="2" max="3" width="17.15625" style="2" customWidth="1"/>
    <col min="4" max="4" width="14.83984375" style="2" customWidth="1"/>
    <col min="5" max="5" width="14.26171875" style="2" customWidth="1"/>
    <col min="6" max="6" width="8.83984375" style="2" customWidth="1"/>
    <col min="7" max="7" width="14.26171875" style="2" customWidth="1"/>
    <col min="8" max="8" width="14.41796875" style="2" customWidth="1"/>
    <col min="9" max="12" width="9.15625" style="2"/>
    <col min="13" max="13" width="13" style="2" customWidth="1"/>
    <col min="14" max="16" width="9.15625" style="2"/>
    <col min="17" max="17" width="12" style="2" bestFit="1" customWidth="1"/>
    <col min="18" max="18" width="10.68359375" style="2" customWidth="1"/>
    <col min="19" max="19" width="11" style="2" customWidth="1"/>
    <col min="20" max="16384" width="9.15625" style="2"/>
  </cols>
  <sheetData>
    <row r="1" spans="1:25" x14ac:dyDescent="0.55000000000000004">
      <c r="B1" s="2" t="s">
        <v>0</v>
      </c>
      <c r="C1" s="2" t="s">
        <v>2</v>
      </c>
      <c r="D1" s="2" t="s">
        <v>81</v>
      </c>
      <c r="H1" s="2" t="s">
        <v>3</v>
      </c>
      <c r="M1" s="14" t="s">
        <v>73</v>
      </c>
      <c r="N1" s="14" t="s">
        <v>77</v>
      </c>
      <c r="O1" s="14" t="s">
        <v>76</v>
      </c>
      <c r="P1" s="14" t="s">
        <v>106</v>
      </c>
      <c r="Q1" s="14" t="s">
        <v>107</v>
      </c>
      <c r="R1" s="14" t="s">
        <v>78</v>
      </c>
      <c r="S1" s="14" t="s">
        <v>105</v>
      </c>
      <c r="T1" s="14" t="s">
        <v>132</v>
      </c>
      <c r="U1" s="14" t="s">
        <v>133</v>
      </c>
      <c r="V1" s="14" t="s">
        <v>108</v>
      </c>
      <c r="W1" s="14" t="s">
        <v>109</v>
      </c>
      <c r="X1" s="14" t="s">
        <v>110</v>
      </c>
      <c r="Y1" s="14" t="s">
        <v>111</v>
      </c>
    </row>
    <row r="2" spans="1:25" x14ac:dyDescent="0.55000000000000004">
      <c r="B2"/>
      <c r="C2"/>
      <c r="D2" s="3">
        <v>25</v>
      </c>
      <c r="G2" s="2" t="s">
        <v>55</v>
      </c>
      <c r="H2" s="4">
        <f>C86</f>
        <v>-6.506695274315244</v>
      </c>
      <c r="N2" s="2">
        <f>B7</f>
        <v>0</v>
      </c>
      <c r="O2" s="2">
        <f>C7</f>
        <v>1</v>
      </c>
      <c r="P2" s="4">
        <f>H8</f>
        <v>-18.690000000000001</v>
      </c>
      <c r="Q2" s="4">
        <f>H9</f>
        <v>-10.17</v>
      </c>
      <c r="R2" s="5">
        <f>H6</f>
        <v>0.21500000000004593</v>
      </c>
      <c r="S2" s="5">
        <f>H10</f>
        <v>0.215</v>
      </c>
      <c r="T2" s="5">
        <f>H7</f>
        <v>0.13799999999989948</v>
      </c>
      <c r="U2" s="5">
        <f>H11</f>
        <v>0.13800000000000001</v>
      </c>
      <c r="V2" s="4">
        <f>H2</f>
        <v>-6.506695274315244</v>
      </c>
      <c r="W2" s="4">
        <f>H3</f>
        <v>-12.908880791477785</v>
      </c>
      <c r="X2" s="4">
        <f>H4</f>
        <v>-20.571436698959126</v>
      </c>
      <c r="Y2" s="5">
        <f>R2-S2</f>
        <v>4.5935477643865852E-14</v>
      </c>
    </row>
    <row r="3" spans="1:25" x14ac:dyDescent="0.55000000000000004">
      <c r="A3" s="2" t="s">
        <v>115</v>
      </c>
      <c r="B3" s="1">
        <v>0.214</v>
      </c>
      <c r="C3" s="1">
        <v>0.215</v>
      </c>
      <c r="G3" s="2" t="s">
        <v>56</v>
      </c>
      <c r="H3" s="4">
        <f>C87</f>
        <v>-12.908880791477785</v>
      </c>
    </row>
    <row r="4" spans="1:25" x14ac:dyDescent="0.55000000000000004">
      <c r="A4" s="2" t="s">
        <v>116</v>
      </c>
      <c r="B4" s="1">
        <v>0.13800000000000001</v>
      </c>
      <c r="C4" s="1">
        <v>0.13800000000000001</v>
      </c>
      <c r="D4" s="2" t="s">
        <v>114</v>
      </c>
      <c r="G4" s="2" t="s">
        <v>5</v>
      </c>
      <c r="H4" s="4">
        <f>C88</f>
        <v>-20.571436698959126</v>
      </c>
    </row>
    <row r="5" spans="1:25" x14ac:dyDescent="0.55000000000000004">
      <c r="A5" s="2" t="s">
        <v>6</v>
      </c>
      <c r="B5" s="3">
        <v>-2.19</v>
      </c>
      <c r="C5" s="3">
        <v>-18.690000000000001</v>
      </c>
      <c r="D5" s="2">
        <f>1.00397+((5.25*10^2)/(273.15+D2)^2)</f>
        <v>1.0098759487781563</v>
      </c>
      <c r="G5" s="15" t="s">
        <v>122</v>
      </c>
      <c r="H5" s="4">
        <f>C89</f>
        <v>-25.844596188830725</v>
      </c>
    </row>
    <row r="6" spans="1:25" x14ac:dyDescent="0.55000000000000004">
      <c r="A6" s="2" t="s">
        <v>7</v>
      </c>
      <c r="B6" s="3">
        <v>2.02</v>
      </c>
      <c r="C6" s="3">
        <v>-10.17</v>
      </c>
      <c r="G6" s="2" t="s">
        <v>4</v>
      </c>
      <c r="H6" s="5">
        <f>C105</f>
        <v>0.21500000000004593</v>
      </c>
    </row>
    <row r="7" spans="1:25" x14ac:dyDescent="0.55000000000000004">
      <c r="A7" s="2" t="s">
        <v>1</v>
      </c>
      <c r="B7" s="3">
        <v>0</v>
      </c>
      <c r="C7">
        <f>1-B7</f>
        <v>1</v>
      </c>
      <c r="G7" s="15" t="s">
        <v>116</v>
      </c>
      <c r="H7" s="5">
        <f>C108</f>
        <v>0.13799999999989948</v>
      </c>
    </row>
    <row r="8" spans="1:25" x14ac:dyDescent="0.55000000000000004">
      <c r="A8" s="2" t="s">
        <v>71</v>
      </c>
      <c r="B8" s="2">
        <f>D75</f>
        <v>8.8505111114080606</v>
      </c>
      <c r="C8" s="2">
        <f>E75</f>
        <v>-20.571436698959126</v>
      </c>
      <c r="G8" s="2" t="s">
        <v>6</v>
      </c>
      <c r="H8" s="4">
        <f>(B5*B7)+(C5*C7)</f>
        <v>-18.690000000000001</v>
      </c>
      <c r="I8" s="7" t="s">
        <v>102</v>
      </c>
    </row>
    <row r="9" spans="1:25" x14ac:dyDescent="0.55000000000000004">
      <c r="G9" s="2" t="s">
        <v>7</v>
      </c>
      <c r="H9" s="4">
        <f>(B6*B7)+(C6*C7)</f>
        <v>-10.17</v>
      </c>
      <c r="I9" s="7" t="s">
        <v>102</v>
      </c>
    </row>
    <row r="10" spans="1:25" x14ac:dyDescent="0.55000000000000004">
      <c r="B10" s="2" t="s">
        <v>47</v>
      </c>
      <c r="C10" s="2" t="s">
        <v>50</v>
      </c>
      <c r="D10" s="2" t="s">
        <v>80</v>
      </c>
      <c r="E10" s="2" t="s">
        <v>113</v>
      </c>
      <c r="G10" s="2" t="s">
        <v>72</v>
      </c>
      <c r="H10" s="5">
        <f>B7*B3+C7*C3</f>
        <v>0.215</v>
      </c>
      <c r="I10" s="6"/>
    </row>
    <row r="11" spans="1:25" x14ac:dyDescent="0.55000000000000004">
      <c r="A11" s="2" t="s">
        <v>118</v>
      </c>
      <c r="B11" s="1">
        <v>1.0390999999999999</v>
      </c>
      <c r="C11" s="1">
        <v>2.7400000000000001E-2</v>
      </c>
      <c r="D11" s="2">
        <f>(1000/E11)-1000</f>
        <v>3.0371640150406165E-5</v>
      </c>
      <c r="E11" s="2">
        <f>EXP((22.434/((273.15+D2)^2))-0.0002524)</f>
        <v>0.9999999696283608</v>
      </c>
      <c r="G11" s="15" t="s">
        <v>130</v>
      </c>
      <c r="H11" s="5">
        <f>B7*B4+C7*C4</f>
        <v>0.13800000000000001</v>
      </c>
      <c r="L11" s="2" t="s">
        <v>82</v>
      </c>
      <c r="N11" s="2" t="s">
        <v>75</v>
      </c>
      <c r="O11" s="2" t="s">
        <v>74</v>
      </c>
      <c r="P11" s="2" t="s">
        <v>55</v>
      </c>
      <c r="Q11" s="2" t="s">
        <v>56</v>
      </c>
      <c r="R11" s="2" t="s">
        <v>5</v>
      </c>
      <c r="S11" s="15" t="s">
        <v>122</v>
      </c>
      <c r="T11" s="2" t="s">
        <v>4</v>
      </c>
      <c r="U11" s="15" t="s">
        <v>116</v>
      </c>
    </row>
    <row r="12" spans="1:25" x14ac:dyDescent="0.55000000000000004">
      <c r="A12" s="2" t="s">
        <v>119</v>
      </c>
      <c r="B12" s="1">
        <v>0.94989999999999997</v>
      </c>
      <c r="C12"/>
      <c r="L12" s="2" t="s">
        <v>0</v>
      </c>
      <c r="N12" s="2">
        <f>B6</f>
        <v>2.02</v>
      </c>
      <c r="O12" s="2">
        <f>B5</f>
        <v>-2.19</v>
      </c>
      <c r="P12" s="4">
        <f>D64</f>
        <v>5.4890841177339667</v>
      </c>
      <c r="Q12" s="4">
        <f>D65</f>
        <v>3.6973219990612538</v>
      </c>
      <c r="R12" s="4">
        <f>B8</f>
        <v>8.8505111114080606</v>
      </c>
      <c r="S12" s="4">
        <f>D82</f>
        <v>7.2081988145709097</v>
      </c>
      <c r="T12" s="8">
        <f>B3</f>
        <v>0.214</v>
      </c>
      <c r="U12" s="2">
        <f>B4</f>
        <v>0.13800000000000001</v>
      </c>
    </row>
    <row r="13" spans="1:25" x14ac:dyDescent="0.55000000000000004">
      <c r="A13" s="15" t="s">
        <v>120</v>
      </c>
      <c r="B13" s="1">
        <v>1.0004999999999999</v>
      </c>
      <c r="C13" s="1">
        <v>0</v>
      </c>
      <c r="L13" s="2" t="s">
        <v>2</v>
      </c>
      <c r="N13" s="2">
        <f>C6</f>
        <v>-10.17</v>
      </c>
      <c r="O13" s="2">
        <f>C5</f>
        <v>-18.690000000000001</v>
      </c>
      <c r="P13" s="2">
        <f>E64</f>
        <v>-6.506695274315244</v>
      </c>
      <c r="Q13" s="2">
        <f>E65</f>
        <v>-12.908880791477785</v>
      </c>
      <c r="R13" s="2">
        <f>C8</f>
        <v>-20.571436698959126</v>
      </c>
      <c r="S13" s="2">
        <f>E82</f>
        <v>-25.844596188830725</v>
      </c>
      <c r="T13" s="2">
        <f>C3</f>
        <v>0.215</v>
      </c>
      <c r="U13" s="2">
        <f>C4</f>
        <v>0.13800000000000001</v>
      </c>
    </row>
    <row r="14" spans="1:25" x14ac:dyDescent="0.55000000000000004">
      <c r="A14" s="15" t="s">
        <v>121</v>
      </c>
      <c r="B14" s="1">
        <v>0.3367</v>
      </c>
      <c r="C14"/>
      <c r="H14"/>
    </row>
    <row r="15" spans="1:25" x14ac:dyDescent="0.55000000000000004">
      <c r="A15" s="2" t="s">
        <v>14</v>
      </c>
      <c r="H15"/>
    </row>
    <row r="16" spans="1:25" x14ac:dyDescent="0.55000000000000004">
      <c r="H16"/>
    </row>
    <row r="17" spans="1:24" x14ac:dyDescent="0.55000000000000004">
      <c r="B17" s="9" t="s">
        <v>11</v>
      </c>
      <c r="C17" s="9" t="s">
        <v>12</v>
      </c>
      <c r="D17" s="9" t="s">
        <v>13</v>
      </c>
      <c r="H17"/>
    </row>
    <row r="18" spans="1:24" x14ac:dyDescent="0.55000000000000004">
      <c r="A18" s="9" t="s">
        <v>8</v>
      </c>
      <c r="B18" s="10"/>
      <c r="C18" s="10">
        <v>1.1180000000000001E-2</v>
      </c>
      <c r="D18" s="10">
        <f>C18</f>
        <v>1.1180000000000001E-2</v>
      </c>
      <c r="E18" s="2" t="s">
        <v>131</v>
      </c>
      <c r="H18"/>
      <c r="M18" s="2" t="s">
        <v>77</v>
      </c>
      <c r="N18" s="2" t="s">
        <v>76</v>
      </c>
      <c r="O18" s="2" t="s">
        <v>106</v>
      </c>
      <c r="P18" s="2" t="s">
        <v>107</v>
      </c>
      <c r="Q18" s="2" t="s">
        <v>78</v>
      </c>
      <c r="R18" s="2" t="s">
        <v>105</v>
      </c>
      <c r="S18" s="2" t="s">
        <v>132</v>
      </c>
      <c r="T18" s="2" t="s">
        <v>133</v>
      </c>
      <c r="U18" s="2" t="s">
        <v>108</v>
      </c>
      <c r="V18" s="2" t="s">
        <v>109</v>
      </c>
      <c r="W18" s="2" t="s">
        <v>110</v>
      </c>
      <c r="X18" s="2" t="s">
        <v>111</v>
      </c>
    </row>
    <row r="19" spans="1:24" x14ac:dyDescent="0.55000000000000004">
      <c r="A19" s="9" t="s">
        <v>9</v>
      </c>
      <c r="B19" s="10">
        <v>2.0052E-3</v>
      </c>
      <c r="C19" s="10">
        <f>(30.92/1000+1)*B19</f>
        <v>2.0672007840000003E-3</v>
      </c>
      <c r="D19" s="10">
        <f>C19*1.01025</f>
        <v>2.0883895920360005E-3</v>
      </c>
      <c r="E19" s="2" t="s">
        <v>131</v>
      </c>
      <c r="I19"/>
      <c r="M19" s="2">
        <v>1</v>
      </c>
      <c r="N19" s="2">
        <v>0</v>
      </c>
      <c r="O19" s="2">
        <v>-2.19</v>
      </c>
      <c r="P19" s="2">
        <v>2.02</v>
      </c>
      <c r="Q19" s="2">
        <v>0.21400000000016539</v>
      </c>
      <c r="R19" s="2">
        <v>0.214</v>
      </c>
      <c r="S19" s="2">
        <v>0.13800000000045487</v>
      </c>
      <c r="T19" s="2">
        <v>0.13800000000000001</v>
      </c>
      <c r="U19" s="2">
        <v>5.4890841177339667</v>
      </c>
      <c r="V19" s="2">
        <v>3.6973219990612538</v>
      </c>
      <c r="W19" s="2">
        <v>8.8505111114080606</v>
      </c>
      <c r="X19" s="2">
        <v>1.653954750935327E-13</v>
      </c>
    </row>
    <row r="20" spans="1:24" x14ac:dyDescent="0.55000000000000004">
      <c r="A20" s="9" t="s">
        <v>10</v>
      </c>
      <c r="B20" s="10">
        <v>3.8475E-4</v>
      </c>
      <c r="C20" s="10">
        <f>(C19/B19)^0.528*B20</f>
        <v>3.909861828790272E-4</v>
      </c>
      <c r="D20" s="10">
        <f>(D19/B19)^0.528*B20</f>
        <v>3.9309710703656485E-4</v>
      </c>
      <c r="E20" s="2" t="s">
        <v>131</v>
      </c>
      <c r="I20"/>
      <c r="M20" s="2">
        <v>0.9</v>
      </c>
      <c r="N20" s="2">
        <v>9.9999999999999978E-2</v>
      </c>
      <c r="O20" s="2">
        <v>-3.84</v>
      </c>
      <c r="P20" s="2">
        <v>0.80100000000000038</v>
      </c>
      <c r="Q20" s="2">
        <v>0.23500018089171659</v>
      </c>
      <c r="R20" s="2">
        <v>0.21409999999999998</v>
      </c>
      <c r="S20" s="2">
        <v>0.16272538564533884</v>
      </c>
      <c r="T20" s="2">
        <v>0.13800000000000001</v>
      </c>
      <c r="U20" s="2">
        <v>4.289506178529046</v>
      </c>
      <c r="V20" s="2">
        <v>2.0367017200073505</v>
      </c>
      <c r="W20" s="2">
        <v>5.9083163303713429</v>
      </c>
      <c r="X20" s="2">
        <v>2.0900180891716608E-2</v>
      </c>
    </row>
    <row r="21" spans="1:24" x14ac:dyDescent="0.55000000000000004">
      <c r="A21" s="9" t="s">
        <v>16</v>
      </c>
      <c r="B21" s="2">
        <f>((H8+29.98)/0.97001)</f>
        <v>11.639055267471468</v>
      </c>
      <c r="C21" s="2">
        <f>((B5+29.98)/0.97001)</f>
        <v>28.649189183616663</v>
      </c>
      <c r="D21" s="2">
        <f>((C5+29.98)/0.97001)</f>
        <v>11.639055267471468</v>
      </c>
      <c r="I21"/>
      <c r="M21" s="2">
        <v>0.8</v>
      </c>
      <c r="N21" s="2">
        <v>0.19999999999999996</v>
      </c>
      <c r="O21" s="4">
        <v>-5.4899999999999993</v>
      </c>
      <c r="P21" s="4">
        <v>-0.41799999999999926</v>
      </c>
      <c r="Q21" s="5">
        <v>0.25145965543599713</v>
      </c>
      <c r="R21" s="5">
        <v>0.2142</v>
      </c>
      <c r="S21" s="5">
        <v>0.18210229747838441</v>
      </c>
      <c r="T21" s="5">
        <v>0.13800000000000001</v>
      </c>
      <c r="U21" s="4">
        <v>3.0899282393241245</v>
      </c>
      <c r="V21" s="4">
        <v>0.37608144095344676</v>
      </c>
      <c r="W21" s="4">
        <v>2.9661215493346251</v>
      </c>
      <c r="X21" s="5">
        <v>3.725965543599713E-2</v>
      </c>
    </row>
    <row r="22" spans="1:24" x14ac:dyDescent="0.55000000000000004">
      <c r="A22" s="9" t="s">
        <v>15</v>
      </c>
      <c r="B22" s="2">
        <f>((1000+B21)*D5)-1000</f>
        <v>21.629950759275516</v>
      </c>
      <c r="C22" s="2">
        <f>((1000+C21)*D5)-1000</f>
        <v>38.808075886686083</v>
      </c>
      <c r="D22" s="2">
        <f>((1000+D21)*D5)-1000</f>
        <v>21.629950759275516</v>
      </c>
      <c r="I22"/>
      <c r="M22" s="2">
        <v>0.7</v>
      </c>
      <c r="N22" s="2">
        <v>0.30000000000000004</v>
      </c>
      <c r="O22" s="2">
        <v>-7.1400000000000006</v>
      </c>
      <c r="P22" s="2">
        <v>-1.6370000000000007</v>
      </c>
      <c r="Q22" s="2">
        <v>0.26334009427561833</v>
      </c>
      <c r="R22" s="2">
        <v>0.21429999999999999</v>
      </c>
      <c r="S22" s="2">
        <v>0.19607692107761832</v>
      </c>
      <c r="T22" s="2">
        <v>0.13800000000000001</v>
      </c>
      <c r="U22" s="2">
        <v>1.8903503001192028</v>
      </c>
      <c r="V22" s="2">
        <v>-1.2845388381004583</v>
      </c>
      <c r="W22" s="2">
        <v>2.3926768297902967E-2</v>
      </c>
      <c r="X22" s="2">
        <v>4.904009427561834E-2</v>
      </c>
    </row>
    <row r="23" spans="1:24" x14ac:dyDescent="0.55000000000000004">
      <c r="A23" s="9" t="s">
        <v>79</v>
      </c>
      <c r="B23" s="11">
        <v>-3.7</v>
      </c>
      <c r="C23" s="4">
        <f>H9</f>
        <v>-10.17</v>
      </c>
      <c r="D23" s="2" t="s">
        <v>17</v>
      </c>
      <c r="E23" s="2" t="s">
        <v>75</v>
      </c>
      <c r="I23"/>
      <c r="M23" s="2">
        <v>0.6</v>
      </c>
      <c r="N23" s="2">
        <v>0.4</v>
      </c>
      <c r="O23" s="2">
        <v>-8.7900000000000009</v>
      </c>
      <c r="P23" s="2">
        <v>-2.8560000000000008</v>
      </c>
      <c r="Q23" s="2">
        <v>0.27060283625630066</v>
      </c>
      <c r="R23" s="2">
        <v>0.21439999999999998</v>
      </c>
      <c r="S23" s="2">
        <v>0.2045949026205397</v>
      </c>
      <c r="T23" s="2">
        <v>0.13800000000000001</v>
      </c>
      <c r="U23" s="2">
        <v>0.6907723609142824</v>
      </c>
      <c r="V23" s="2">
        <v>-2.9451591171543621</v>
      </c>
      <c r="W23" s="2">
        <v>-2.9182680127388139</v>
      </c>
      <c r="X23" s="2">
        <v>5.6202836256300681E-2</v>
      </c>
    </row>
    <row r="24" spans="1:24" x14ac:dyDescent="0.55000000000000004">
      <c r="B24" s="11">
        <v>34.99</v>
      </c>
      <c r="C24" s="2">
        <f>B22</f>
        <v>21.629950759275516</v>
      </c>
      <c r="D24" s="2" t="s">
        <v>11</v>
      </c>
      <c r="E24" s="2" t="s">
        <v>74</v>
      </c>
      <c r="M24" s="2">
        <v>0.5</v>
      </c>
      <c r="N24" s="2">
        <v>0.5</v>
      </c>
      <c r="O24" s="2">
        <v>-10.440000000000001</v>
      </c>
      <c r="P24" s="2">
        <v>-4.0750000000000002</v>
      </c>
      <c r="Q24" s="2">
        <v>0.2732088851935881</v>
      </c>
      <c r="R24" s="2">
        <v>0.2145</v>
      </c>
      <c r="S24" s="2">
        <v>0.20760134287658766</v>
      </c>
      <c r="T24" s="2">
        <v>0.13800000000000001</v>
      </c>
      <c r="U24" s="2">
        <v>-0.50880557829063866</v>
      </c>
      <c r="V24" s="2">
        <v>-4.6057793962082654</v>
      </c>
      <c r="W24" s="2">
        <v>-5.8604627937755325</v>
      </c>
      <c r="X24" s="2">
        <v>5.8708885193588106E-2</v>
      </c>
    </row>
    <row r="25" spans="1:24" x14ac:dyDescent="0.55000000000000004">
      <c r="B25" s="2" t="s">
        <v>54</v>
      </c>
      <c r="C25" s="2" t="s">
        <v>18</v>
      </c>
      <c r="D25" s="2" t="s">
        <v>0</v>
      </c>
      <c r="E25" s="2" t="s">
        <v>2</v>
      </c>
      <c r="M25" s="2">
        <v>0.4</v>
      </c>
      <c r="N25" s="2">
        <v>0.6</v>
      </c>
      <c r="O25" s="2">
        <v>-12.09</v>
      </c>
      <c r="P25" s="2">
        <v>-5.2939999999999996</v>
      </c>
      <c r="Q25" s="2">
        <v>0.27111890659526083</v>
      </c>
      <c r="R25" s="2">
        <v>0.21460000000000001</v>
      </c>
      <c r="S25" s="2">
        <v>0.20504079111963275</v>
      </c>
      <c r="T25" s="2">
        <v>0.13800000000000001</v>
      </c>
      <c r="U25" s="2">
        <v>-1.7083835174955597</v>
      </c>
      <c r="V25" s="2">
        <v>-6.2663996752621687</v>
      </c>
      <c r="W25" s="2">
        <v>-8.8026575748122511</v>
      </c>
      <c r="X25" s="2">
        <v>5.6518906595260821E-2</v>
      </c>
    </row>
    <row r="26" spans="1:24" x14ac:dyDescent="0.55000000000000004">
      <c r="A26" s="9" t="s">
        <v>8</v>
      </c>
      <c r="B26" s="2">
        <f>((B23/1000)+1)*$C$18</f>
        <v>1.1138634E-2</v>
      </c>
      <c r="C26" s="2">
        <f>((C23/1000)+1)*$C$18</f>
        <v>1.10662994E-2</v>
      </c>
      <c r="D26" s="2">
        <f>((B6/1000)+1)*C18</f>
        <v>1.12025836E-2</v>
      </c>
      <c r="E26" s="2">
        <f>((C6/1000)+1)*C18</f>
        <v>1.10662994E-2</v>
      </c>
      <c r="F26" s="12" t="s">
        <v>83</v>
      </c>
      <c r="M26" s="2">
        <v>0.3</v>
      </c>
      <c r="N26" s="2">
        <v>0.7</v>
      </c>
      <c r="O26" s="2">
        <v>-13.74</v>
      </c>
      <c r="P26" s="2">
        <v>-6.5129999999999999</v>
      </c>
      <c r="Q26" s="2">
        <v>0.26429322435617886</v>
      </c>
      <c r="R26" s="2">
        <v>0.2147</v>
      </c>
      <c r="S26" s="2">
        <v>0.19685723896982299</v>
      </c>
      <c r="T26" s="2">
        <v>0.13800000000000001</v>
      </c>
      <c r="U26" s="2">
        <v>-2.9079614567004803</v>
      </c>
      <c r="V26" s="2">
        <v>-7.927019954316072</v>
      </c>
      <c r="W26" s="2">
        <v>-11.74485235584897</v>
      </c>
      <c r="X26" s="2">
        <v>4.9593224356178855E-2</v>
      </c>
    </row>
    <row r="27" spans="1:24" x14ac:dyDescent="0.55000000000000004">
      <c r="A27" s="9" t="s">
        <v>10</v>
      </c>
      <c r="B27" s="2">
        <f>((B28/$B$19)^0.5164)*$B$20</f>
        <v>3.9164416299626646E-4</v>
      </c>
      <c r="C27" s="2">
        <f>((C28/$B$19)^0.5164)*$B$20</f>
        <v>3.8902530516662107E-4</v>
      </c>
      <c r="D27" s="2">
        <f>((D28/$B$19)^0.5164)*$B$20</f>
        <v>3.9238958024249678E-4</v>
      </c>
      <c r="E27" s="2">
        <f>((E28/$B$19)^0.5164)*$B$20</f>
        <v>3.8902530516662107E-4</v>
      </c>
      <c r="F27" s="12" t="s">
        <v>84</v>
      </c>
      <c r="M27" s="2">
        <v>0.2</v>
      </c>
      <c r="N27" s="2">
        <v>0.8</v>
      </c>
      <c r="O27" s="2">
        <v>-15.390000000000002</v>
      </c>
      <c r="P27" s="2">
        <v>-7.7320000000000011</v>
      </c>
      <c r="Q27" s="2">
        <v>0.25269181741066926</v>
      </c>
      <c r="R27" s="2">
        <v>0.21480000000000002</v>
      </c>
      <c r="S27" s="2">
        <v>0.18299411415556494</v>
      </c>
      <c r="T27" s="2">
        <v>0.13800000000000001</v>
      </c>
      <c r="U27" s="2">
        <v>-4.1075393959054018</v>
      </c>
      <c r="V27" s="2">
        <v>-9.5876402333699779</v>
      </c>
      <c r="W27" s="2">
        <v>-14.687047136885688</v>
      </c>
      <c r="X27" s="2">
        <v>3.7891817410669243E-2</v>
      </c>
    </row>
    <row r="28" spans="1:24" x14ac:dyDescent="0.55000000000000004">
      <c r="A28" s="9" t="s">
        <v>9</v>
      </c>
      <c r="B28" s="2">
        <f>((B24/1000)+1)*$B$19</f>
        <v>2.0753619480000001E-3</v>
      </c>
      <c r="C28" s="2">
        <f>((C24/1000)+1)*$B$19</f>
        <v>2.0485723772624988E-3</v>
      </c>
      <c r="D28" s="2">
        <f>((C22/1000)+1)*$B$19</f>
        <v>2.0830179537679825E-3</v>
      </c>
      <c r="E28" s="2">
        <f>((D22/1000)+1)*$B$19</f>
        <v>2.0485723772624988E-3</v>
      </c>
      <c r="F28" s="12" t="s">
        <v>87</v>
      </c>
      <c r="M28" s="2">
        <v>0.1</v>
      </c>
      <c r="N28" s="2">
        <v>0.9</v>
      </c>
      <c r="O28" s="2">
        <v>-17.040000000000003</v>
      </c>
      <c r="P28" s="2">
        <v>-8.9510000000000005</v>
      </c>
      <c r="Q28" s="2">
        <v>0.23627431634961438</v>
      </c>
      <c r="R28" s="2">
        <v>0.21490000000000001</v>
      </c>
      <c r="S28" s="2">
        <v>0.16339427419486224</v>
      </c>
      <c r="T28" s="2">
        <v>0.13800000000000001</v>
      </c>
      <c r="U28" s="2">
        <v>-5.3071173351103234</v>
      </c>
      <c r="V28" s="2">
        <v>-11.248260512423879</v>
      </c>
      <c r="W28" s="2">
        <v>-17.629241917922407</v>
      </c>
      <c r="X28" s="2">
        <v>2.137431634961437E-2</v>
      </c>
    </row>
    <row r="29" spans="1:24" x14ac:dyDescent="0.55000000000000004">
      <c r="F29" s="12"/>
      <c r="M29" s="2">
        <v>0</v>
      </c>
      <c r="N29" s="2">
        <v>1</v>
      </c>
      <c r="O29" s="4">
        <v>-18.690000000000001</v>
      </c>
      <c r="P29" s="4">
        <v>-10.17</v>
      </c>
      <c r="Q29" s="5">
        <v>0.21500000000004593</v>
      </c>
      <c r="R29" s="5">
        <v>0.215</v>
      </c>
      <c r="S29" s="5">
        <v>0.13799999999989948</v>
      </c>
      <c r="T29" s="5">
        <v>0.13800000000000001</v>
      </c>
      <c r="U29" s="4">
        <v>-6.506695274315244</v>
      </c>
      <c r="V29" s="4">
        <v>-12.908880791477785</v>
      </c>
      <c r="W29" s="4">
        <v>-20.571436698959126</v>
      </c>
      <c r="X29" s="5">
        <v>4.5935477643865852E-14</v>
      </c>
    </row>
    <row r="30" spans="1:24" x14ac:dyDescent="0.55000000000000004">
      <c r="A30" s="9" t="s">
        <v>21</v>
      </c>
      <c r="B30" s="2">
        <f>1/(1+B26)</f>
        <v>0.98898406842992814</v>
      </c>
      <c r="C30" s="2">
        <f>1/(1+C26)</f>
        <v>0.98905482320341698</v>
      </c>
      <c r="D30" s="2">
        <f t="shared" ref="D30:E30" si="0">1/(1+D26)</f>
        <v>0.98892152395406518</v>
      </c>
      <c r="E30" s="2">
        <f t="shared" si="0"/>
        <v>0.98905482320341698</v>
      </c>
      <c r="F30" s="12" t="s">
        <v>85</v>
      </c>
    </row>
    <row r="31" spans="1:24" x14ac:dyDescent="0.55000000000000004">
      <c r="A31" s="9" t="s">
        <v>22</v>
      </c>
      <c r="B31" s="2">
        <f>B26*B30</f>
        <v>1.1015931570071923E-2</v>
      </c>
      <c r="C31" s="2">
        <f>C26*C30</f>
        <v>1.094517679658308E-2</v>
      </c>
      <c r="D31" s="2">
        <f t="shared" ref="D31:E31" si="1">D26*D30</f>
        <v>1.1078476045934817E-2</v>
      </c>
      <c r="E31" s="2">
        <f t="shared" si="1"/>
        <v>1.094517679658308E-2</v>
      </c>
      <c r="F31" s="12" t="s">
        <v>86</v>
      </c>
      <c r="Q31" s="2">
        <f>Q19-R19</f>
        <v>1.653954750935327E-13</v>
      </c>
      <c r="S31" s="2">
        <f>S19-T19</f>
        <v>4.5485837318892663E-13</v>
      </c>
    </row>
    <row r="32" spans="1:24" x14ac:dyDescent="0.55000000000000004">
      <c r="A32" s="9" t="s">
        <v>23</v>
      </c>
      <c r="B32" s="2">
        <f>1/(1+B27+B28)</f>
        <v>0.99753906503061185</v>
      </c>
      <c r="C32" s="2">
        <f>1/(1+C27+C28)</f>
        <v>0.99756832975133347</v>
      </c>
      <c r="D32" s="2">
        <f t="shared" ref="D32:E32" si="2">1/(1+D27+D28)</f>
        <v>0.99753070497749186</v>
      </c>
      <c r="E32" s="2">
        <f t="shared" si="2"/>
        <v>0.99756832975133347</v>
      </c>
      <c r="F32" s="12" t="s">
        <v>88</v>
      </c>
      <c r="Q32" s="2">
        <f t="shared" ref="Q32:Q41" si="3">Q20-R20</f>
        <v>2.0900180891716608E-2</v>
      </c>
      <c r="S32" s="2">
        <f t="shared" ref="S32:S41" si="4">S20-T20</f>
        <v>2.4725385645338827E-2</v>
      </c>
    </row>
    <row r="33" spans="1:19" x14ac:dyDescent="0.55000000000000004">
      <c r="A33" s="9" t="s">
        <v>24</v>
      </c>
      <c r="B33" s="2">
        <f>B32*B27</f>
        <v>3.9068035217999222E-4</v>
      </c>
      <c r="C33" s="2">
        <f>C32*C27</f>
        <v>3.8807932390606895E-4</v>
      </c>
      <c r="D33" s="2">
        <f t="shared" ref="D33:E33" si="5">D32*D27</f>
        <v>3.9142065460511991E-4</v>
      </c>
      <c r="E33" s="2">
        <f t="shared" si="5"/>
        <v>3.8807932390606895E-4</v>
      </c>
      <c r="F33" s="12" t="s">
        <v>89</v>
      </c>
      <c r="Q33" s="2">
        <f t="shared" si="3"/>
        <v>3.725965543599713E-2</v>
      </c>
      <c r="S33" s="2">
        <f t="shared" si="4"/>
        <v>4.41022974783844E-2</v>
      </c>
    </row>
    <row r="34" spans="1:19" x14ac:dyDescent="0.55000000000000004">
      <c r="A34" s="9" t="s">
        <v>25</v>
      </c>
      <c r="B34" s="2">
        <f>B32*B28</f>
        <v>2.0702546172080291E-3</v>
      </c>
      <c r="C34" s="2">
        <f>C32*C28</f>
        <v>2.0435909247604697E-3</v>
      </c>
      <c r="D34" s="2">
        <f t="shared" ref="D34:E34" si="6">D32*D28</f>
        <v>2.0778743679029481E-3</v>
      </c>
      <c r="E34" s="2">
        <f t="shared" si="6"/>
        <v>2.0435909247604697E-3</v>
      </c>
      <c r="F34" s="12" t="s">
        <v>90</v>
      </c>
      <c r="Q34" s="2">
        <f t="shared" si="3"/>
        <v>4.904009427561834E-2</v>
      </c>
      <c r="S34" s="2">
        <f t="shared" si="4"/>
        <v>5.8076921077618304E-2</v>
      </c>
    </row>
    <row r="35" spans="1:19" x14ac:dyDescent="0.55000000000000004">
      <c r="Q35" s="2">
        <f t="shared" si="3"/>
        <v>5.6202836256300681E-2</v>
      </c>
      <c r="S35" s="2">
        <f t="shared" si="4"/>
        <v>6.6594902620539687E-2</v>
      </c>
    </row>
    <row r="36" spans="1:19" x14ac:dyDescent="0.55000000000000004">
      <c r="A36" s="9" t="s">
        <v>95</v>
      </c>
      <c r="Q36" s="2">
        <f t="shared" si="3"/>
        <v>5.8708885193588106E-2</v>
      </c>
      <c r="S36" s="2">
        <f t="shared" si="4"/>
        <v>6.9601342876587646E-2</v>
      </c>
    </row>
    <row r="37" spans="1:19" x14ac:dyDescent="0.55000000000000004">
      <c r="A37" s="9" t="s">
        <v>26</v>
      </c>
      <c r="B37" s="2">
        <f>B30*B32*B32</f>
        <v>0.98412240695982278</v>
      </c>
      <c r="C37" s="2">
        <f>C30*C32*C32</f>
        <v>0.98425056112879594</v>
      </c>
      <c r="D37" s="2">
        <f>D30*D32*D32</f>
        <v>0.98404367582837327</v>
      </c>
      <c r="E37" s="2">
        <f>E30*E32*E32</f>
        <v>0.98425056112879594</v>
      </c>
      <c r="Q37" s="2">
        <f t="shared" si="3"/>
        <v>5.6518906595260821E-2</v>
      </c>
      <c r="S37" s="2">
        <f t="shared" si="4"/>
        <v>6.7040791119632737E-2</v>
      </c>
    </row>
    <row r="38" spans="1:19" x14ac:dyDescent="0.55000000000000004">
      <c r="A38" s="9" t="s">
        <v>27</v>
      </c>
      <c r="B38" s="2">
        <f>B30*B32*B33*2</f>
        <v>7.7085159271930194E-4</v>
      </c>
      <c r="C38" s="2">
        <f>C30*C32*C33*2</f>
        <v>7.6579674980709566E-4</v>
      </c>
      <c r="D38" s="2">
        <f>D30*D32*D33*2</f>
        <v>7.7225696979715786E-4</v>
      </c>
      <c r="E38" s="2">
        <f>E30*E32*E33*2</f>
        <v>7.6579674980709566E-4</v>
      </c>
      <c r="Q38" s="2">
        <f t="shared" si="3"/>
        <v>4.9593224356178855E-2</v>
      </c>
      <c r="S38" s="2">
        <f t="shared" si="4"/>
        <v>5.8857238969822978E-2</v>
      </c>
    </row>
    <row r="39" spans="1:19" x14ac:dyDescent="0.55000000000000004">
      <c r="A39" s="9" t="s">
        <v>28</v>
      </c>
      <c r="B39" s="2">
        <f>B31*B32*B32</f>
        <v>1.0961779302324517E-2</v>
      </c>
      <c r="C39" s="2">
        <f>C31*C32*C32</f>
        <v>1.0892011394069258E-2</v>
      </c>
      <c r="D39" s="2">
        <f>D31*D32*D32</f>
        <v>1.102383154451865E-2</v>
      </c>
      <c r="E39" s="2">
        <f>E31*E32*E32</f>
        <v>1.0892011394069258E-2</v>
      </c>
      <c r="Q39" s="2">
        <f t="shared" si="3"/>
        <v>3.7891817410669243E-2</v>
      </c>
      <c r="S39" s="2">
        <f t="shared" si="4"/>
        <v>4.4994114155564924E-2</v>
      </c>
    </row>
    <row r="40" spans="1:19" x14ac:dyDescent="0.55000000000000004">
      <c r="A40" s="9" t="s">
        <v>29</v>
      </c>
      <c r="B40" s="2">
        <f>B30*B32*B34*2</f>
        <v>4.0848203911571729E-3</v>
      </c>
      <c r="C40" s="2">
        <f>C30*C32*C34*2</f>
        <v>4.0326170236671321E-3</v>
      </c>
      <c r="D40" s="2">
        <f>D30*D32*D34*2</f>
        <v>4.0995612880846835E-3</v>
      </c>
      <c r="E40" s="2">
        <f>E30*E32*E34*2</f>
        <v>4.0326170236671321E-3</v>
      </c>
      <c r="Q40" s="2">
        <f t="shared" si="3"/>
        <v>2.137431634961437E-2</v>
      </c>
      <c r="S40" s="2">
        <f t="shared" si="4"/>
        <v>2.5394274194862232E-2</v>
      </c>
    </row>
    <row r="41" spans="1:19" x14ac:dyDescent="0.55000000000000004">
      <c r="A41" s="9" t="s">
        <v>30</v>
      </c>
      <c r="B41" s="2">
        <f>B30*B33*B33</f>
        <v>1.5094976341244496E-7</v>
      </c>
      <c r="C41" s="2">
        <f>C30*C33*C33</f>
        <v>1.4895715714465598E-7</v>
      </c>
      <c r="D41" s="2">
        <f>D30*D33*D33</f>
        <v>1.5151279410902464E-7</v>
      </c>
      <c r="E41" s="2">
        <f>E30*E33*E33</f>
        <v>1.4895715714465598E-7</v>
      </c>
      <c r="Q41" s="2">
        <f t="shared" si="3"/>
        <v>4.5935477643865852E-14</v>
      </c>
      <c r="S41" s="2">
        <f t="shared" si="4"/>
        <v>-1.0053069487980792E-13</v>
      </c>
    </row>
    <row r="42" spans="1:19" x14ac:dyDescent="0.55000000000000004">
      <c r="A42" s="9" t="s">
        <v>31</v>
      </c>
      <c r="B42" s="2">
        <f>B31*B33*B32*2</f>
        <v>8.5862337596173678E-6</v>
      </c>
      <c r="C42" s="2">
        <f>C31*C33*C32*2</f>
        <v>8.4745361129122143E-6</v>
      </c>
      <c r="D42" s="2">
        <f>D31*D33*D32*2</f>
        <v>8.6512732648353363E-6</v>
      </c>
      <c r="E42" s="2">
        <f>E31*E33*E32*2</f>
        <v>8.4745361129122143E-6</v>
      </c>
    </row>
    <row r="43" spans="1:19" x14ac:dyDescent="0.55000000000000004">
      <c r="A43" s="9" t="s">
        <v>32</v>
      </c>
      <c r="B43" s="2">
        <f>B30*B33*B34*2</f>
        <v>1.5997960630848328E-6</v>
      </c>
      <c r="C43" s="2">
        <f>C30*C33*C34*2</f>
        <v>1.5687900682522171E-6</v>
      </c>
      <c r="D43" s="2">
        <f>D30*D33*D34*2</f>
        <v>1.6086251330099384E-6</v>
      </c>
      <c r="E43" s="2">
        <f>E30*E33*E34*2</f>
        <v>1.5687900682522171E-6</v>
      </c>
    </row>
    <row r="44" spans="1:19" x14ac:dyDescent="0.55000000000000004">
      <c r="A44" s="9" t="s">
        <v>33</v>
      </c>
      <c r="B44" s="2">
        <f>B31*B32*B34*2</f>
        <v>4.5499319292836581E-5</v>
      </c>
      <c r="C44" s="2">
        <f>C31*C32*C34*2</f>
        <v>4.4626147349437369E-5</v>
      </c>
      <c r="D44" s="2">
        <f>D31*D32*D34*2</f>
        <v>4.592567805309235E-5</v>
      </c>
      <c r="E44" s="2">
        <f>E31*E32*E34*2</f>
        <v>4.4626147349437369E-5</v>
      </c>
    </row>
    <row r="45" spans="1:19" x14ac:dyDescent="0.55000000000000004">
      <c r="A45" s="9" t="s">
        <v>34</v>
      </c>
      <c r="B45" s="2">
        <f>B31*B33*B33</f>
        <v>1.6813741670378151E-9</v>
      </c>
      <c r="C45" s="2">
        <f>C31*C33*C33</f>
        <v>1.6484044987356122E-9</v>
      </c>
      <c r="D45" s="2">
        <f>D31*D33*D33</f>
        <v>1.697334742475936E-9</v>
      </c>
      <c r="E45" s="2">
        <f>E31*E33*E33</f>
        <v>1.6484044987356122E-9</v>
      </c>
    </row>
    <row r="46" spans="1:19" x14ac:dyDescent="0.55000000000000004">
      <c r="A46" s="9" t="s">
        <v>35</v>
      </c>
      <c r="B46" s="2">
        <f>B30*B34*B34</f>
        <v>4.2387404021110363E-6</v>
      </c>
      <c r="C46" s="2">
        <f>C30*C34*C34</f>
        <v>4.1305539213815002E-6</v>
      </c>
      <c r="D46" s="2">
        <f>D30*D34*D34</f>
        <v>4.2697298828262965E-6</v>
      </c>
      <c r="E46" s="2">
        <f>E30*E34*E34</f>
        <v>4.1305539213815002E-6</v>
      </c>
    </row>
    <row r="47" spans="1:19" x14ac:dyDescent="0.55000000000000004">
      <c r="A47" s="9" t="s">
        <v>36</v>
      </c>
      <c r="B47" s="2">
        <f>B31*B33*B34*2</f>
        <v>1.7819542821342861E-8</v>
      </c>
      <c r="C47" s="2">
        <f>C31*C33*C34*2</f>
        <v>1.736070059102547E-8</v>
      </c>
      <c r="D47" s="2">
        <f>D31*D33*D34*2</f>
        <v>1.8020757533604954E-8</v>
      </c>
      <c r="E47" s="2">
        <f>E31*E33*E34*2</f>
        <v>1.736070059102547E-8</v>
      </c>
    </row>
    <row r="48" spans="1:19" x14ac:dyDescent="0.55000000000000004">
      <c r="A48" s="9" t="s">
        <v>37</v>
      </c>
      <c r="B48" s="2">
        <f>B31*B34*B34</f>
        <v>4.7213777960127648E-8</v>
      </c>
      <c r="C48" s="2">
        <f>C31*C34*C34</f>
        <v>4.5709946381851743E-8</v>
      </c>
      <c r="D48" s="2">
        <f>D31*D34*D34</f>
        <v>4.7832005961779785E-8</v>
      </c>
      <c r="E48" s="2">
        <f>E31*E34*E34</f>
        <v>4.5709946381851743E-8</v>
      </c>
    </row>
    <row r="49" spans="1:6" x14ac:dyDescent="0.55000000000000004">
      <c r="A49" s="9"/>
    </row>
    <row r="50" spans="1:6" x14ac:dyDescent="0.55000000000000004">
      <c r="A50" s="9" t="s">
        <v>94</v>
      </c>
    </row>
    <row r="51" spans="1:6" x14ac:dyDescent="0.55000000000000004">
      <c r="A51" s="9" t="s">
        <v>38</v>
      </c>
      <c r="B51" s="2">
        <f>B37</f>
        <v>0.98412240695982278</v>
      </c>
      <c r="C51" s="2">
        <f>C37</f>
        <v>0.98425056112879594</v>
      </c>
      <c r="D51" s="2">
        <f t="shared" ref="D51:E51" si="7">D37</f>
        <v>0.98404367582837327</v>
      </c>
      <c r="E51" s="2">
        <f t="shared" si="7"/>
        <v>0.98425056112879594</v>
      </c>
    </row>
    <row r="52" spans="1:6" x14ac:dyDescent="0.55000000000000004">
      <c r="A52" s="9" t="s">
        <v>39</v>
      </c>
      <c r="B52" s="2">
        <f>B38+B39</f>
        <v>1.1732630895043819E-2</v>
      </c>
      <c r="C52" s="2">
        <f>C38+C39</f>
        <v>1.1657808143876354E-2</v>
      </c>
      <c r="D52" s="2">
        <f t="shared" ref="D52:E52" si="8">D38+D39</f>
        <v>1.1796088514315808E-2</v>
      </c>
      <c r="E52" s="2">
        <f t="shared" si="8"/>
        <v>1.1657808143876354E-2</v>
      </c>
    </row>
    <row r="53" spans="1:6" x14ac:dyDescent="0.55000000000000004">
      <c r="A53" s="9" t="s">
        <v>40</v>
      </c>
      <c r="B53" s="2">
        <f>B40+B41+B42</f>
        <v>4.093557574680203E-3</v>
      </c>
      <c r="C53" s="2">
        <f>C40+C41+C42</f>
        <v>4.041240516937189E-3</v>
      </c>
      <c r="D53" s="2">
        <f t="shared" ref="D53:E53" si="9">D40+D41+D42</f>
        <v>4.1083640741436276E-3</v>
      </c>
      <c r="E53" s="2">
        <f t="shared" si="9"/>
        <v>4.041240516937189E-3</v>
      </c>
    </row>
    <row r="54" spans="1:6" x14ac:dyDescent="0.55000000000000004">
      <c r="A54" s="9" t="s">
        <v>41</v>
      </c>
      <c r="B54" s="2">
        <f>B43+B44+B45</f>
        <v>4.7100796730088452E-5</v>
      </c>
      <c r="C54" s="2">
        <f>C43+C44+C45</f>
        <v>4.6196585822188322E-5</v>
      </c>
      <c r="D54" s="2">
        <f t="shared" ref="D54:E54" si="10">D43+D44+D45</f>
        <v>4.7536000520844768E-5</v>
      </c>
      <c r="E54" s="2">
        <f t="shared" si="10"/>
        <v>4.6196585822188322E-5</v>
      </c>
    </row>
    <row r="55" spans="1:6" x14ac:dyDescent="0.55000000000000004">
      <c r="A55" s="9" t="s">
        <v>42</v>
      </c>
      <c r="B55" s="2">
        <f>B46+B47</f>
        <v>4.2565599449323787E-6</v>
      </c>
      <c r="C55" s="2">
        <f>C46+C47</f>
        <v>4.1479146219725252E-6</v>
      </c>
      <c r="D55" s="2">
        <f t="shared" ref="D55:E55" si="11">D46+D47</f>
        <v>4.2877506403599013E-6</v>
      </c>
      <c r="E55" s="2">
        <f t="shared" si="11"/>
        <v>4.1479146219725252E-6</v>
      </c>
    </row>
    <row r="56" spans="1:6" x14ac:dyDescent="0.55000000000000004">
      <c r="A56" s="9" t="s">
        <v>43</v>
      </c>
      <c r="B56" s="2">
        <f>B48</f>
        <v>4.7213777960127648E-8</v>
      </c>
      <c r="C56" s="2">
        <f>C48</f>
        <v>4.5709946381851743E-8</v>
      </c>
      <c r="D56" s="2">
        <f t="shared" ref="D56:E56" si="12">D48</f>
        <v>4.7832005961779785E-8</v>
      </c>
      <c r="E56" s="2">
        <f t="shared" si="12"/>
        <v>4.5709946381851743E-8</v>
      </c>
    </row>
    <row r="57" spans="1:6" x14ac:dyDescent="0.55000000000000004">
      <c r="A57" s="9"/>
    </row>
    <row r="58" spans="1:6" x14ac:dyDescent="0.55000000000000004">
      <c r="A58" s="9" t="s">
        <v>96</v>
      </c>
    </row>
    <row r="59" spans="1:6" x14ac:dyDescent="0.55000000000000004">
      <c r="A59" s="9" t="s">
        <v>19</v>
      </c>
      <c r="B59" s="2">
        <f>B52/B51</f>
        <v>1.1921922325992531E-2</v>
      </c>
      <c r="C59" s="2">
        <f>C52/C51</f>
        <v>1.1844350010333243E-2</v>
      </c>
      <c r="D59" s="2">
        <f t="shared" ref="D59:E59" si="13">D52/D51</f>
        <v>1.1987362760484994E-2</v>
      </c>
      <c r="E59" s="2">
        <f t="shared" si="13"/>
        <v>1.1844350010333243E-2</v>
      </c>
      <c r="F59" s="12" t="s">
        <v>91</v>
      </c>
    </row>
    <row r="60" spans="1:6" x14ac:dyDescent="0.55000000000000004">
      <c r="A60" s="9" t="s">
        <v>20</v>
      </c>
      <c r="B60" s="2">
        <f>B53/B51</f>
        <v>4.1596020431301124E-3</v>
      </c>
      <c r="C60" s="2">
        <f>C53/C51</f>
        <v>4.1059062362153584E-3</v>
      </c>
      <c r="D60" s="2">
        <f t="shared" ref="D60:E60" si="14">D53/D51</f>
        <v>4.174981431271518E-3</v>
      </c>
      <c r="E60" s="2">
        <f t="shared" si="14"/>
        <v>4.1059062362153584E-3</v>
      </c>
      <c r="F60" s="12" t="s">
        <v>92</v>
      </c>
    </row>
    <row r="61" spans="1:6" x14ac:dyDescent="0.55000000000000004">
      <c r="A61" s="9" t="s">
        <v>44</v>
      </c>
      <c r="B61" s="2">
        <f>B54/B51</f>
        <v>4.786070959972702E-5</v>
      </c>
      <c r="C61" s="2">
        <f>C54/C51</f>
        <v>4.6935798308519513E-5</v>
      </c>
      <c r="D61" s="2">
        <f t="shared" ref="D61:E61" si="15">D54/D51</f>
        <v>4.8306799472928581E-5</v>
      </c>
      <c r="E61" s="2">
        <f t="shared" si="15"/>
        <v>4.6935798308519513E-5</v>
      </c>
      <c r="F61" s="12" t="s">
        <v>93</v>
      </c>
    </row>
    <row r="62" spans="1:6" x14ac:dyDescent="0.55000000000000004">
      <c r="A62" s="9" t="s">
        <v>45</v>
      </c>
      <c r="B62" s="2">
        <f>B55/B51</f>
        <v>4.325234254224388E-6</v>
      </c>
      <c r="C62" s="2">
        <f>C55/C51</f>
        <v>4.214287281904574E-6</v>
      </c>
      <c r="D62" s="2">
        <f t="shared" ref="D62:E62" si="16">D55/D51</f>
        <v>4.3572767608617063E-6</v>
      </c>
      <c r="E62" s="2">
        <f t="shared" si="16"/>
        <v>4.214287281904574E-6</v>
      </c>
      <c r="F62" s="13"/>
    </row>
    <row r="63" spans="1:6" x14ac:dyDescent="0.55000000000000004">
      <c r="A63" s="9" t="s">
        <v>46</v>
      </c>
      <c r="B63" s="2">
        <f>B56/B51</f>
        <v>4.7975513641622805E-8</v>
      </c>
      <c r="C63" s="2">
        <f>C56/C51</f>
        <v>4.6441371930160663E-8</v>
      </c>
      <c r="D63" s="2">
        <f t="shared" ref="D63:E63" si="17">D56/D51</f>
        <v>4.8607604658923851E-8</v>
      </c>
      <c r="E63" s="2">
        <f t="shared" si="17"/>
        <v>4.6441371930160663E-8</v>
      </c>
      <c r="F63" s="13"/>
    </row>
    <row r="64" spans="1:6" x14ac:dyDescent="0.55000000000000004">
      <c r="C64" s="2" t="s">
        <v>55</v>
      </c>
      <c r="D64" s="2">
        <f>((D59/B59)-1)*1000</f>
        <v>5.4890841177339667</v>
      </c>
      <c r="E64" s="2">
        <f>((E59/B59)-1)*1000</f>
        <v>-6.506695274315244</v>
      </c>
      <c r="F64" s="12" t="s">
        <v>97</v>
      </c>
    </row>
    <row r="65" spans="1:6" x14ac:dyDescent="0.55000000000000004">
      <c r="C65" s="2" t="s">
        <v>56</v>
      </c>
      <c r="D65" s="2">
        <f>((D60/B60)-1)*1000</f>
        <v>3.6973219990612538</v>
      </c>
      <c r="E65" s="2">
        <f>((E60/B60)-1)*1000</f>
        <v>-12.908880791477785</v>
      </c>
      <c r="F65" s="12" t="s">
        <v>98</v>
      </c>
    </row>
    <row r="68" spans="1:6" x14ac:dyDescent="0.55000000000000004">
      <c r="A68" s="9" t="s">
        <v>51</v>
      </c>
      <c r="D68" s="2" t="s">
        <v>0</v>
      </c>
      <c r="E68" s="2" t="s">
        <v>2</v>
      </c>
    </row>
    <row r="69" spans="1:6" x14ac:dyDescent="0.55000000000000004">
      <c r="A69" s="9" t="s">
        <v>52</v>
      </c>
      <c r="D69" s="2">
        <f>B3-D11</f>
        <v>0.21396962835984959</v>
      </c>
      <c r="E69" s="2">
        <f>C3-D11</f>
        <v>0.21496962835984959</v>
      </c>
      <c r="F69" s="12" t="s">
        <v>99</v>
      </c>
    </row>
    <row r="70" spans="1:6" x14ac:dyDescent="0.55000000000000004">
      <c r="A70" s="9" t="s">
        <v>53</v>
      </c>
      <c r="D70" s="2">
        <f>(D69-B12)/B11</f>
        <v>-0.70823825583692668</v>
      </c>
      <c r="E70" s="2">
        <f>(E69-B12)/B11</f>
        <v>-0.70727588455408574</v>
      </c>
      <c r="F70" s="12" t="s">
        <v>100</v>
      </c>
    </row>
    <row r="71" spans="1:6" x14ac:dyDescent="0.55000000000000004">
      <c r="A71" s="9" t="s">
        <v>58</v>
      </c>
      <c r="B71" s="2" t="s">
        <v>59</v>
      </c>
      <c r="D71" s="5">
        <f>(((((D64/1000)+1)*$B$59)/D59)-1)*1000</f>
        <v>0</v>
      </c>
      <c r="E71" s="5">
        <f>(((((E64/1000)+1)*$B$59)/E59)-1)*1000</f>
        <v>0</v>
      </c>
    </row>
    <row r="72" spans="1:6" x14ac:dyDescent="0.55000000000000004">
      <c r="A72" s="9" t="s">
        <v>57</v>
      </c>
      <c r="B72" s="2" t="s">
        <v>60</v>
      </c>
      <c r="D72" s="5">
        <f>(((((D65/1000)+1)*$B$60)/D60)-1)*1000</f>
        <v>-2.2204460492503131E-13</v>
      </c>
      <c r="E72" s="5">
        <f>(((((E65/1000)+1)*$B$60)/E60)-1)*1000</f>
        <v>0</v>
      </c>
    </row>
    <row r="73" spans="1:6" x14ac:dyDescent="0.55000000000000004">
      <c r="A73" s="9" t="s">
        <v>61</v>
      </c>
      <c r="D73" s="2">
        <f>((D70+1000)*D61)/(1000*$B$61)-1</f>
        <v>8.6057468274589599E-3</v>
      </c>
      <c r="E73" s="2">
        <f>((E70+1000)*E61)/(1000*$B$61)-1</f>
        <v>-2.001867204824892E-2</v>
      </c>
    </row>
    <row r="74" spans="1:6" x14ac:dyDescent="0.55000000000000004">
      <c r="A74" s="9" t="s">
        <v>62</v>
      </c>
      <c r="D74" s="2">
        <f>((1/1000)-(($C$11*D61)/(1000*$B$61)))</f>
        <v>9.7234461593595359E-4</v>
      </c>
      <c r="E74" s="2">
        <f>((1/1000)-(($C$11*E61)/(1000*$B$61)))</f>
        <v>9.731295067622489E-4</v>
      </c>
    </row>
    <row r="75" spans="1:6" x14ac:dyDescent="0.55000000000000004">
      <c r="A75" s="9" t="s">
        <v>5</v>
      </c>
      <c r="D75" s="2">
        <f>D73/D74</f>
        <v>8.8505111114080606</v>
      </c>
      <c r="E75" s="2">
        <f>E73/E74</f>
        <v>-20.571436698959126</v>
      </c>
      <c r="F75" s="12" t="s">
        <v>101</v>
      </c>
    </row>
    <row r="76" spans="1:6" x14ac:dyDescent="0.55000000000000004">
      <c r="A76" s="9"/>
      <c r="F76"/>
    </row>
    <row r="77" spans="1:6" x14ac:dyDescent="0.55000000000000004">
      <c r="A77" s="9" t="s">
        <v>117</v>
      </c>
      <c r="F77"/>
    </row>
    <row r="78" spans="1:6" x14ac:dyDescent="0.55000000000000004">
      <c r="A78" s="9" t="s">
        <v>52</v>
      </c>
      <c r="D78" s="2">
        <f>B4</f>
        <v>0.13800000000000001</v>
      </c>
      <c r="E78" s="2">
        <f>C4</f>
        <v>0.13800000000000001</v>
      </c>
      <c r="F78"/>
    </row>
    <row r="79" spans="1:6" x14ac:dyDescent="0.55000000000000004">
      <c r="A79" s="9" t="s">
        <v>53</v>
      </c>
      <c r="D79" s="2">
        <f>(D78-B14)/B13</f>
        <v>-0.19860069965017491</v>
      </c>
      <c r="E79" s="2">
        <f>(E78-B14)/B13</f>
        <v>-0.19860069965017491</v>
      </c>
      <c r="F79"/>
    </row>
    <row r="80" spans="1:6" x14ac:dyDescent="0.55000000000000004">
      <c r="A80" s="9" t="s">
        <v>61</v>
      </c>
      <c r="D80" s="2">
        <f>((D79+1000)*D62)/(1000*$B$62)-1</f>
        <v>7.2081988145709097E-3</v>
      </c>
      <c r="E80" s="2">
        <f>((E79+1000)*E62)/(1000*$B$62)-1</f>
        <v>-2.5844596188830726E-2</v>
      </c>
      <c r="F80"/>
    </row>
    <row r="81" spans="1:6" x14ac:dyDescent="0.55000000000000004">
      <c r="A81" s="9" t="s">
        <v>62</v>
      </c>
      <c r="D81" s="2">
        <f>((1/1000)-(($C$13*D62)/(1000*$B$62)))</f>
        <v>1E-3</v>
      </c>
      <c r="E81" s="2">
        <f>((1/1000)-(($C$13*E62)/(1000*$B$62)))</f>
        <v>1E-3</v>
      </c>
      <c r="F81"/>
    </row>
    <row r="82" spans="1:6" x14ac:dyDescent="0.55000000000000004">
      <c r="A82" s="9" t="s">
        <v>122</v>
      </c>
      <c r="D82" s="2">
        <f>D80/D81</f>
        <v>7.2081988145709097</v>
      </c>
      <c r="E82" s="2">
        <f>E80/E81</f>
        <v>-25.844596188830725</v>
      </c>
      <c r="F82"/>
    </row>
    <row r="83" spans="1:6" x14ac:dyDescent="0.55000000000000004">
      <c r="A83" s="9"/>
      <c r="F83"/>
    </row>
    <row r="85" spans="1:6" x14ac:dyDescent="0.55000000000000004">
      <c r="A85" s="9" t="s">
        <v>63</v>
      </c>
      <c r="C85" s="2" t="s">
        <v>64</v>
      </c>
      <c r="D85" s="2">
        <f>B7</f>
        <v>0</v>
      </c>
      <c r="E85" s="2">
        <f>C7</f>
        <v>1</v>
      </c>
    </row>
    <row r="86" spans="1:6" x14ac:dyDescent="0.55000000000000004">
      <c r="A86" s="9" t="s">
        <v>55</v>
      </c>
      <c r="C86" s="2">
        <f>D85*D64+E85*E64</f>
        <v>-6.506695274315244</v>
      </c>
      <c r="D86" s="12" t="s">
        <v>102</v>
      </c>
    </row>
    <row r="87" spans="1:6" x14ac:dyDescent="0.55000000000000004">
      <c r="A87" s="9" t="s">
        <v>56</v>
      </c>
      <c r="C87" s="2">
        <f>D85*D65+E85*E65</f>
        <v>-12.908880791477785</v>
      </c>
      <c r="D87" s="12" t="s">
        <v>102</v>
      </c>
    </row>
    <row r="88" spans="1:6" x14ac:dyDescent="0.55000000000000004">
      <c r="A88" s="9" t="s">
        <v>5</v>
      </c>
      <c r="C88" s="2">
        <f>D85*D75+E85*E75</f>
        <v>-20.571436698959126</v>
      </c>
      <c r="D88" s="12" t="s">
        <v>102</v>
      </c>
    </row>
    <row r="89" spans="1:6" x14ac:dyDescent="0.55000000000000004">
      <c r="A89" s="9" t="s">
        <v>122</v>
      </c>
      <c r="C89" s="2">
        <f>D85*D82+E85*E82</f>
        <v>-25.844596188830725</v>
      </c>
      <c r="D89" s="12"/>
    </row>
    <row r="90" spans="1:6" x14ac:dyDescent="0.55000000000000004">
      <c r="A90" s="9"/>
      <c r="D90" s="13"/>
    </row>
    <row r="91" spans="1:6" x14ac:dyDescent="0.55000000000000004">
      <c r="A91" s="9" t="s">
        <v>19</v>
      </c>
      <c r="C91" s="2">
        <f>((C86/1000)+1)*B59</f>
        <v>1.1844350010333243E-2</v>
      </c>
      <c r="D91" s="12" t="s">
        <v>103</v>
      </c>
    </row>
    <row r="92" spans="1:6" x14ac:dyDescent="0.55000000000000004">
      <c r="A92" s="9" t="s">
        <v>20</v>
      </c>
      <c r="C92" s="2">
        <f t="shared" ref="C92" si="18">((C87/1000)+1)*B60</f>
        <v>4.1059062362153584E-3</v>
      </c>
      <c r="D92" s="12" t="s">
        <v>103</v>
      </c>
    </row>
    <row r="93" spans="1:6" x14ac:dyDescent="0.55000000000000004">
      <c r="A93" s="9" t="s">
        <v>44</v>
      </c>
      <c r="C93" s="2">
        <f>((C88/1000)+1)*B61</f>
        <v>4.687614604182897E-5</v>
      </c>
      <c r="D93" s="12" t="s">
        <v>103</v>
      </c>
    </row>
    <row r="94" spans="1:6" x14ac:dyDescent="0.55000000000000004">
      <c r="A94" s="9" t="s">
        <v>45</v>
      </c>
      <c r="C94" s="2">
        <f>((C89/1000)+1)*B62</f>
        <v>4.2134503215018603E-6</v>
      </c>
      <c r="D94" s="12"/>
    </row>
    <row r="95" spans="1:6" x14ac:dyDescent="0.55000000000000004">
      <c r="D95" s="13"/>
    </row>
    <row r="96" spans="1:6" x14ac:dyDescent="0.55000000000000004">
      <c r="A96" s="9" t="s">
        <v>65</v>
      </c>
      <c r="C96" s="2">
        <f>((C91/C59)-1)*1000</f>
        <v>0</v>
      </c>
      <c r="D96" s="13"/>
    </row>
    <row r="97" spans="1:4" x14ac:dyDescent="0.55000000000000004">
      <c r="A97" s="9" t="s">
        <v>66</v>
      </c>
      <c r="C97" s="2">
        <f>((C92/C60)-1)*1000</f>
        <v>0</v>
      </c>
      <c r="D97" s="13"/>
    </row>
    <row r="98" spans="1:4" x14ac:dyDescent="0.55000000000000004">
      <c r="A98" s="9" t="s">
        <v>4</v>
      </c>
      <c r="C98" s="2">
        <f>((C93/C61)-1)*1000</f>
        <v>-1.2709332501055215</v>
      </c>
      <c r="D98" s="13"/>
    </row>
    <row r="99" spans="1:4" x14ac:dyDescent="0.55000000000000004">
      <c r="A99" s="9" t="s">
        <v>116</v>
      </c>
      <c r="C99" s="2">
        <f>((C94/C62)-1)*1000</f>
        <v>-0.19860069965027538</v>
      </c>
      <c r="D99" s="13"/>
    </row>
    <row r="100" spans="1:4" x14ac:dyDescent="0.55000000000000004">
      <c r="D100" s="13"/>
    </row>
    <row r="101" spans="1:4" x14ac:dyDescent="0.55000000000000004">
      <c r="A101" s="9" t="s">
        <v>67</v>
      </c>
      <c r="C101" s="2">
        <f>C98-C97-C96</f>
        <v>-1.2709332501055215</v>
      </c>
      <c r="D101" s="12" t="s">
        <v>104</v>
      </c>
    </row>
    <row r="102" spans="1:4" x14ac:dyDescent="0.55000000000000004">
      <c r="A102" s="9" t="s">
        <v>123</v>
      </c>
      <c r="C102" s="2">
        <f>C99-2*C97</f>
        <v>-0.19860069965027538</v>
      </c>
      <c r="D102" s="12"/>
    </row>
    <row r="103" spans="1:4" x14ac:dyDescent="0.55000000000000004">
      <c r="A103" s="9" t="s">
        <v>124</v>
      </c>
      <c r="C103" s="2">
        <f>C101-C11*C88</f>
        <v>-0.70727588455404145</v>
      </c>
    </row>
    <row r="104" spans="1:4" x14ac:dyDescent="0.55000000000000004">
      <c r="A104" s="9" t="s">
        <v>125</v>
      </c>
      <c r="C104" s="2">
        <f>C103*B11+B12</f>
        <v>0.21496962835989553</v>
      </c>
    </row>
    <row r="105" spans="1:4" x14ac:dyDescent="0.55000000000000004">
      <c r="A105" s="9" t="s">
        <v>126</v>
      </c>
      <c r="C105" s="2">
        <f>C104+D11</f>
        <v>0.21500000000004593</v>
      </c>
    </row>
    <row r="106" spans="1:4" x14ac:dyDescent="0.55000000000000004">
      <c r="A106" s="9" t="s">
        <v>127</v>
      </c>
      <c r="C106" s="2">
        <f>C102-C13*C89</f>
        <v>-0.19860069965027538</v>
      </c>
    </row>
    <row r="107" spans="1:4" x14ac:dyDescent="0.55000000000000004">
      <c r="A107" s="9" t="s">
        <v>128</v>
      </c>
      <c r="C107" s="2">
        <f>C106*B13+B14</f>
        <v>0.13799999999989948</v>
      </c>
    </row>
    <row r="108" spans="1:4" x14ac:dyDescent="0.55000000000000004">
      <c r="A108" s="9" t="s">
        <v>129</v>
      </c>
      <c r="C108" s="2">
        <f>C107+D13</f>
        <v>0.13799999999989948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D47</vt:lpstr>
      <vt:lpstr>D48</vt:lpstr>
      <vt:lpstr>Sheet3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F. Defliese</dc:creator>
  <cp:lastModifiedBy>Jacko</cp:lastModifiedBy>
  <dcterms:created xsi:type="dcterms:W3CDTF">2012-12-11T18:48:15Z</dcterms:created>
  <dcterms:modified xsi:type="dcterms:W3CDTF">2021-08-04T13:43:45Z</dcterms:modified>
</cp:coreProperties>
</file>