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niversity\final-year-project\data\"/>
    </mc:Choice>
  </mc:AlternateContent>
  <xr:revisionPtr revIDLastSave="0" documentId="13_ncr:1_{BA55B08F-6CA0-4AFA-8F28-60B5EE7EAA88}" xr6:coauthVersionLast="47" xr6:coauthVersionMax="47" xr10:uidLastSave="{00000000-0000-0000-0000-000000000000}"/>
  <bookViews>
    <workbookView xWindow="-120" yWindow="-120" windowWidth="29040" windowHeight="15990" activeTab="5" xr2:uid="{4C665A49-488F-4149-B76C-62AF2E384E07}"/>
  </bookViews>
  <sheets>
    <sheet name="2d" sheetId="1" r:id="rId1"/>
    <sheet name="3d linear" sheetId="2" r:id="rId2"/>
    <sheet name="Porous medium 2D" sheetId="3" r:id="rId3"/>
    <sheet name="Porous medium 3D" sheetId="4" r:id="rId4"/>
    <sheet name="acronym sheet" sheetId="6" r:id="rId5"/>
    <sheet name="Test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4" l="1"/>
  <c r="S14" i="4"/>
  <c r="P9" i="4"/>
  <c r="H9" i="5"/>
  <c r="G9" i="5"/>
  <c r="F9" i="5"/>
  <c r="F13" i="5"/>
  <c r="G13" i="5"/>
  <c r="H13" i="5"/>
  <c r="C13" i="5"/>
  <c r="F12" i="5"/>
  <c r="G12" i="5"/>
  <c r="H12" i="5"/>
  <c r="C12" i="5"/>
  <c r="J9" i="5"/>
  <c r="K9" i="5"/>
  <c r="L9" i="5"/>
  <c r="I9" i="5"/>
  <c r="J11" i="5"/>
  <c r="J12" i="5" s="1"/>
  <c r="K11" i="5"/>
  <c r="K13" i="5" s="1"/>
  <c r="L11" i="5"/>
  <c r="L13" i="5" s="1"/>
  <c r="I11" i="5"/>
  <c r="I12" i="5" s="1"/>
  <c r="G14" i="5"/>
  <c r="H14" i="5"/>
  <c r="F14" i="5"/>
  <c r="E14" i="5"/>
  <c r="D14" i="5"/>
  <c r="D11" i="5"/>
  <c r="E11" i="5" s="1"/>
  <c r="E13" i="5" s="1"/>
  <c r="D10" i="5"/>
  <c r="E10" i="5"/>
  <c r="C10" i="5"/>
  <c r="G10" i="5" s="1"/>
  <c r="O9" i="4"/>
  <c r="Q9" i="4"/>
  <c r="R9" i="4"/>
  <c r="S9" i="4"/>
  <c r="N9" i="4"/>
  <c r="Q7" i="4"/>
  <c r="P7" i="4"/>
  <c r="N7" i="4"/>
  <c r="M18" i="4"/>
  <c r="L18" i="4"/>
  <c r="M17" i="4"/>
  <c r="M8" i="4"/>
  <c r="R7" i="4"/>
  <c r="Q6" i="4"/>
  <c r="P8" i="4"/>
  <c r="N6" i="4"/>
  <c r="G6" i="4"/>
  <c r="I7" i="4"/>
  <c r="S8" i="4"/>
  <c r="E7" i="4"/>
  <c r="D7" i="4"/>
  <c r="C7" i="4"/>
  <c r="K6" i="4"/>
  <c r="K7" i="4" s="1"/>
  <c r="J6" i="4"/>
  <c r="J7" i="4" s="1"/>
  <c r="F6" i="4"/>
  <c r="H6" i="4" s="1"/>
  <c r="H7" i="4" s="1"/>
  <c r="E4" i="4"/>
  <c r="H4" i="4" s="1"/>
  <c r="J4" i="4" s="1"/>
  <c r="K4" i="4" s="1"/>
  <c r="H10" i="5" l="1"/>
  <c r="F10" i="5"/>
  <c r="D12" i="5"/>
  <c r="J13" i="5"/>
  <c r="I13" i="5"/>
  <c r="L12" i="5"/>
  <c r="E12" i="5"/>
  <c r="K12" i="5"/>
  <c r="D13" i="5"/>
  <c r="K10" i="5"/>
  <c r="J10" i="5"/>
  <c r="I10" i="5"/>
  <c r="L10" i="5"/>
  <c r="F7" i="4"/>
  <c r="R8" i="4"/>
  <c r="O6" i="4"/>
  <c r="P6" i="4"/>
  <c r="N8" i="4"/>
  <c r="R6" i="4"/>
  <c r="O7" i="4"/>
  <c r="O8" i="4" s="1"/>
  <c r="Q8" i="4" l="1"/>
  <c r="L6" i="4"/>
  <c r="G7" i="4"/>
  <c r="S14" i="3"/>
  <c r="S6" i="3"/>
  <c r="Q6" i="3"/>
  <c r="N13" i="3"/>
  <c r="F13" i="3"/>
  <c r="G13" i="3" s="1"/>
  <c r="L13" i="3" s="1"/>
  <c r="H13" i="3"/>
  <c r="J13" i="3"/>
  <c r="K13" i="3"/>
  <c r="L7" i="4" l="1"/>
  <c r="R13" i="3"/>
  <c r="P13" i="3"/>
  <c r="Q13" i="3" s="1"/>
  <c r="O13" i="3"/>
  <c r="S13" i="3" s="1"/>
  <c r="T13" i="3" s="1"/>
  <c r="F11" i="3"/>
  <c r="H11" i="3" s="1"/>
  <c r="F12" i="3"/>
  <c r="H12" i="3" s="1"/>
  <c r="F8" i="3"/>
  <c r="F7" i="3"/>
  <c r="F6" i="3"/>
  <c r="M9" i="3"/>
  <c r="U7" i="3"/>
  <c r="U8" i="3" s="1"/>
  <c r="U9" i="3" s="1"/>
  <c r="U10" i="3" s="1"/>
  <c r="U14" i="3" s="1"/>
  <c r="O14" i="3"/>
  <c r="T14" i="3" s="1"/>
  <c r="N14" i="3"/>
  <c r="P14" i="3" s="1"/>
  <c r="Q14" i="3" s="1"/>
  <c r="L7" i="3"/>
  <c r="L8" i="3"/>
  <c r="L6" i="3"/>
  <c r="H9" i="3"/>
  <c r="H10" i="3" s="1"/>
  <c r="H14" i="3" s="1"/>
  <c r="M7" i="3"/>
  <c r="N7" i="3" s="1"/>
  <c r="M8" i="3"/>
  <c r="N8" i="3" s="1"/>
  <c r="M6" i="3"/>
  <c r="O6" i="3" s="1"/>
  <c r="T6" i="3" s="1"/>
  <c r="E4" i="3"/>
  <c r="H4" i="3" s="1"/>
  <c r="J4" i="3" s="1"/>
  <c r="K4" i="3" s="1"/>
  <c r="I10" i="3"/>
  <c r="I14" i="3" s="1"/>
  <c r="J9" i="3"/>
  <c r="J10" i="3" s="1"/>
  <c r="J14" i="3" s="1"/>
  <c r="E10" i="3"/>
  <c r="E9" i="3"/>
  <c r="G9" i="3" s="1"/>
  <c r="C36" i="2"/>
  <c r="B36" i="2"/>
  <c r="C33" i="2"/>
  <c r="B33" i="2"/>
  <c r="I33" i="2"/>
  <c r="D29" i="2"/>
  <c r="A29" i="2"/>
  <c r="D28" i="2"/>
  <c r="A28" i="2"/>
  <c r="B20" i="2"/>
  <c r="B27" i="2" s="1"/>
  <c r="H19" i="2"/>
  <c r="H18" i="2"/>
  <c r="C18" i="2"/>
  <c r="B18" i="2"/>
  <c r="H16" i="2"/>
  <c r="H7" i="2" s="1"/>
  <c r="H22" i="2" s="1"/>
  <c r="I10" i="2" s="1"/>
  <c r="H15" i="2"/>
  <c r="C13" i="2"/>
  <c r="C15" i="2" s="1"/>
  <c r="B13" i="2"/>
  <c r="B15" i="2" s="1"/>
  <c r="C6" i="2"/>
  <c r="H12" i="2" s="1"/>
  <c r="B6" i="2"/>
  <c r="H32" i="1"/>
  <c r="H31" i="1"/>
  <c r="A29" i="1"/>
  <c r="A28" i="1"/>
  <c r="D29" i="1"/>
  <c r="D28" i="1"/>
  <c r="C29" i="1"/>
  <c r="B29" i="1"/>
  <c r="C28" i="1"/>
  <c r="B28" i="1"/>
  <c r="C27" i="1"/>
  <c r="B27" i="1"/>
  <c r="I33" i="1"/>
  <c r="B20" i="1"/>
  <c r="C20" i="1"/>
  <c r="H33" i="1"/>
  <c r="B18" i="1"/>
  <c r="C18" i="1"/>
  <c r="C15" i="1"/>
  <c r="B15" i="1"/>
  <c r="C13" i="1"/>
  <c r="B13" i="1"/>
  <c r="H15" i="1"/>
  <c r="H19" i="1"/>
  <c r="C6" i="1"/>
  <c r="H12" i="1" s="1"/>
  <c r="B6" i="1"/>
  <c r="H16" i="1"/>
  <c r="H7" i="1" s="1"/>
  <c r="H18" i="1"/>
  <c r="G11" i="3" l="1"/>
  <c r="L11" i="3" s="1"/>
  <c r="G12" i="3"/>
  <c r="M12" i="3" s="1"/>
  <c r="N12" i="3" s="1"/>
  <c r="P12" i="3" s="1"/>
  <c r="Q12" i="3" s="1"/>
  <c r="G10" i="3"/>
  <c r="F9" i="3"/>
  <c r="U11" i="3"/>
  <c r="U12" i="3" s="1"/>
  <c r="F10" i="3"/>
  <c r="J11" i="3"/>
  <c r="J12" i="3" s="1"/>
  <c r="M11" i="3"/>
  <c r="N11" i="3" s="1"/>
  <c r="R11" i="3" s="1"/>
  <c r="L9" i="3"/>
  <c r="N6" i="3"/>
  <c r="R6" i="3" s="1"/>
  <c r="L10" i="3"/>
  <c r="G14" i="3"/>
  <c r="L14" i="3" s="1"/>
  <c r="R14" i="3"/>
  <c r="R8" i="3"/>
  <c r="P8" i="3"/>
  <c r="Q8" i="3" s="1"/>
  <c r="P7" i="3"/>
  <c r="Q7" i="3" s="1"/>
  <c r="R7" i="3"/>
  <c r="O8" i="3"/>
  <c r="S8" i="3" s="1"/>
  <c r="T8" i="3" s="1"/>
  <c r="O7" i="3"/>
  <c r="S7" i="3" s="1"/>
  <c r="T7" i="3" s="1"/>
  <c r="M10" i="3"/>
  <c r="K10" i="3"/>
  <c r="K11" i="3" s="1"/>
  <c r="K12" i="3" s="1"/>
  <c r="B28" i="2"/>
  <c r="B29" i="2"/>
  <c r="C20" i="2"/>
  <c r="I22" i="2"/>
  <c r="I4" i="2"/>
  <c r="I13" i="2"/>
  <c r="I19" i="2"/>
  <c r="I7" i="2"/>
  <c r="H6" i="2" s="1"/>
  <c r="H21" i="2" s="1"/>
  <c r="H22" i="1"/>
  <c r="I7" i="1" s="1"/>
  <c r="H6" i="1" s="1"/>
  <c r="H21" i="1" s="1"/>
  <c r="I13" i="1"/>
  <c r="I19" i="1"/>
  <c r="I4" i="1"/>
  <c r="L12" i="3" l="1"/>
  <c r="O12" i="3"/>
  <c r="S12" i="3" s="1"/>
  <c r="T12" i="3" s="1"/>
  <c r="O11" i="3"/>
  <c r="S11" i="3" s="1"/>
  <c r="T11" i="3" s="1"/>
  <c r="R12" i="3"/>
  <c r="P11" i="3"/>
  <c r="Q11" i="3" s="1"/>
  <c r="P6" i="3"/>
  <c r="N10" i="3"/>
  <c r="O10" i="3"/>
  <c r="S10" i="3" s="1"/>
  <c r="T10" i="3" s="1"/>
  <c r="N9" i="3"/>
  <c r="O9" i="3"/>
  <c r="S9" i="3" s="1"/>
  <c r="T9" i="3" s="1"/>
  <c r="H33" i="2"/>
  <c r="C27" i="2"/>
  <c r="I22" i="1"/>
  <c r="I10" i="1"/>
  <c r="P10" i="3" l="1"/>
  <c r="Q10" i="3" s="1"/>
  <c r="R10" i="3"/>
  <c r="P9" i="3"/>
  <c r="Q9" i="3" s="1"/>
  <c r="R9" i="3"/>
  <c r="C28" i="2"/>
  <c r="H31" i="2" s="1"/>
  <c r="C29" i="2"/>
  <c r="H3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M9" authorId="0" shapeId="0" xr:uid="{7C325EC3-712C-4582-8004-B17E44149EE5}">
      <text>
        <r>
          <rPr>
            <b/>
            <sz val="9"/>
            <color indexed="81"/>
            <rFont val="Tahoma"/>
            <family val="2"/>
          </rPr>
          <t>Work:</t>
        </r>
        <r>
          <rPr>
            <sz val="9"/>
            <color indexed="81"/>
            <rFont val="Tahoma"/>
            <family val="2"/>
          </rPr>
          <t xml:space="preserve">
Minus means overlap
Used this
https://nrich.maths.org/604/solution
</t>
        </r>
      </text>
    </comment>
  </commentList>
</comments>
</file>

<file path=xl/sharedStrings.xml><?xml version="1.0" encoding="utf-8"?>
<sst xmlns="http://schemas.openxmlformats.org/spreadsheetml/2006/main" count="587" uniqueCount="225">
  <si>
    <t>D</t>
  </si>
  <si>
    <t>G</t>
  </si>
  <si>
    <t>Result</t>
  </si>
  <si>
    <t>mm</t>
  </si>
  <si>
    <t>Liu (Sir)</t>
  </si>
  <si>
    <t>Reference</t>
  </si>
  <si>
    <t>Unit</t>
  </si>
  <si>
    <t>2D DESIGN</t>
  </si>
  <si>
    <t>Name</t>
  </si>
  <si>
    <t>Value</t>
  </si>
  <si>
    <t>inlet chamber length</t>
  </si>
  <si>
    <t>front plate length</t>
  </si>
  <si>
    <t>gap length</t>
  </si>
  <si>
    <t>inlet (height)</t>
  </si>
  <si>
    <t>front plate height</t>
  </si>
  <si>
    <t>gap height</t>
  </si>
  <si>
    <t>porous section length</t>
  </si>
  <si>
    <t>porous section height</t>
  </si>
  <si>
    <t>back plate length</t>
  </si>
  <si>
    <t>backplate height</t>
  </si>
  <si>
    <t>outlet chamber length</t>
  </si>
  <si>
    <t>outlet (height)</t>
  </si>
  <si>
    <t>Clearance</t>
  </si>
  <si>
    <t>Total length</t>
  </si>
  <si>
    <t>Total height</t>
  </si>
  <si>
    <t>Notes</t>
  </si>
  <si>
    <t>The Effect of Inlet Swirl on Brush Seal Bristle Deflections and Stability</t>
  </si>
  <si>
    <t>❖From random number
❖Change to proven or referenced number
❖Needs to be long enough to not mess up flow but not make calculations too long</t>
  </si>
  <si>
    <r>
      <t xml:space="preserve">❖Image appears to have the same length as back plate
</t>
    </r>
    <r>
      <rPr>
        <sz val="11"/>
        <color rgb="FFFF0000"/>
        <rFont val="Times New Roman"/>
        <family val="1"/>
      </rPr>
      <t>❖Might find better data in seal manual</t>
    </r>
  </si>
  <si>
    <t>-</t>
  </si>
  <si>
    <t>SUBSHEET 1</t>
  </si>
  <si>
    <t>Equation</t>
  </si>
  <si>
    <t>N</t>
  </si>
  <si>
    <r>
      <t xml:space="preserve">Gapped, </t>
    </r>
    <r>
      <rPr>
        <b/>
        <sz val="11"/>
        <color theme="1"/>
        <rFont val="Times New Roman"/>
        <family val="1"/>
      </rPr>
      <t>Subsheet 1</t>
    </r>
  </si>
  <si>
    <r>
      <t>❖</t>
    </r>
    <r>
      <rPr>
        <b/>
        <sz val="11"/>
        <color theme="1"/>
        <rFont val="Times New Roman"/>
        <family val="1"/>
      </rPr>
      <t>Figures 19 and 20</t>
    </r>
    <r>
      <rPr>
        <sz val="11"/>
        <color theme="1"/>
        <rFont val="Times New Roman"/>
        <family val="1"/>
      </rPr>
      <t>, appears that the length is the same as height</t>
    </r>
  </si>
  <si>
    <r>
      <t>❖</t>
    </r>
    <r>
      <rPr>
        <b/>
        <sz val="11"/>
        <color theme="1"/>
        <rFont val="Times New Roman"/>
        <family val="1"/>
      </rPr>
      <t>Figure 21a</t>
    </r>
    <r>
      <rPr>
        <sz val="11"/>
        <color theme="1"/>
        <rFont val="Times New Roman"/>
        <family val="1"/>
      </rPr>
      <t>, value of 0.00125 m (1.25) clearance is given</t>
    </r>
  </si>
  <si>
    <r>
      <t>❖</t>
    </r>
    <r>
      <rPr>
        <b/>
        <sz val="11"/>
        <color theme="1"/>
        <rFont val="Times New Roman"/>
        <family val="1"/>
      </rPr>
      <t>Figure 21a</t>
    </r>
    <r>
      <rPr>
        <sz val="11"/>
        <color theme="1"/>
        <rFont val="Times New Roman"/>
        <family val="1"/>
      </rPr>
      <t>, figure shows the heights of front and back are the same</t>
    </r>
  </si>
  <si>
    <r>
      <rPr>
        <b/>
        <sz val="11"/>
        <color theme="1"/>
        <rFont val="Times New Roman"/>
        <family val="1"/>
      </rPr>
      <t>Table 1</t>
    </r>
    <r>
      <rPr>
        <sz val="11"/>
        <color theme="1"/>
        <rFont val="Times New Roman"/>
        <family val="1"/>
      </rPr>
      <t>, bristle length</t>
    </r>
  </si>
  <si>
    <r>
      <t xml:space="preserve">Page 10, </t>
    </r>
    <r>
      <rPr>
        <b/>
        <sz val="11"/>
        <color theme="1"/>
        <rFont val="Times New Roman"/>
        <family val="1"/>
      </rPr>
      <t>Section 5.1</t>
    </r>
  </si>
  <si>
    <t>❖No indent due to datums of model</t>
  </si>
  <si>
    <t>❖Same as porous section height</t>
  </si>
  <si>
    <r>
      <t xml:space="preserve">❖Same as porous section height
</t>
    </r>
    <r>
      <rPr>
        <sz val="11"/>
        <color rgb="FFFF0000"/>
        <rFont val="Times New Roman"/>
        <family val="1"/>
      </rPr>
      <t>❖Paper's model shows a smaller outlet for their model, might be worth trying to see to optimise mesh</t>
    </r>
  </si>
  <si>
    <t>2D MODEL</t>
  </si>
  <si>
    <t>inlet total pressure</t>
  </si>
  <si>
    <t>outlet static pressure</t>
  </si>
  <si>
    <t>inlet total temperature</t>
  </si>
  <si>
    <t>inlet swirl velocity</t>
  </si>
  <si>
    <t>MPa</t>
  </si>
  <si>
    <t>K</t>
  </si>
  <si>
    <t>m/s</t>
  </si>
  <si>
    <t>fluid</t>
  </si>
  <si>
    <t>solid</t>
  </si>
  <si>
    <t>Viscous Resistance</t>
  </si>
  <si>
    <t>Intertial Resistance</t>
  </si>
  <si>
    <t>m^-2</t>
  </si>
  <si>
    <t>m^-1</t>
  </si>
  <si>
    <t>air</t>
  </si>
  <si>
    <t>aluminium</t>
  </si>
  <si>
    <t>Porosity</t>
  </si>
  <si>
    <t>SUBSHEET 2</t>
  </si>
  <si>
    <t>D + (N-1)/2 * (D+G)  * tan(60°)</t>
  </si>
  <si>
    <r>
      <t xml:space="preserve">Gapped, </t>
    </r>
    <r>
      <rPr>
        <b/>
        <sz val="11"/>
        <color theme="1"/>
        <rFont val="Times New Roman"/>
        <family val="1"/>
      </rPr>
      <t>Subsheet 2</t>
    </r>
  </si>
  <si>
    <r>
      <rPr>
        <b/>
        <sz val="11"/>
        <color theme="1"/>
        <rFont val="Times New Roman"/>
        <family val="1"/>
      </rPr>
      <t>Table 2</t>
    </r>
    <r>
      <rPr>
        <sz val="11"/>
        <color theme="1"/>
        <rFont val="Times New Roman"/>
        <family val="1"/>
      </rPr>
      <t>, bristle length</t>
    </r>
  </si>
  <si>
    <t>Repeatable width</t>
  </si>
  <si>
    <t>SOLIDWORKS Premium 2020 SP4.0</t>
  </si>
  <si>
    <t>Length</t>
  </si>
  <si>
    <t>Total area</t>
  </si>
  <si>
    <t>mm^2</t>
  </si>
  <si>
    <t>Calculated volume</t>
  </si>
  <si>
    <t>Height</t>
  </si>
  <si>
    <t>Covered area</t>
  </si>
  <si>
    <t>1-[AREA COVERED]/[TOTAL AREA]</t>
  </si>
  <si>
    <t>mm^3</t>
  </si>
  <si>
    <t>mmm^2</t>
  </si>
  <si>
    <t>https://en.wikipedia.org/wiki/Circle_packing</t>
  </si>
  <si>
    <r>
      <rPr>
        <sz val="11"/>
        <color theme="1"/>
        <rFont val="Abadi"/>
        <family val="2"/>
        <charset val="1"/>
      </rPr>
      <t>β</t>
    </r>
    <r>
      <rPr>
        <sz val="11"/>
        <color theme="1"/>
        <rFont val="Times New Roman"/>
        <family val="1"/>
      </rPr>
      <t>/2d * [(1-ϵ)/ϵ^3]</t>
    </r>
  </si>
  <si>
    <t>α/d^2 * [80 * (1-ϵ)^2/ϵ^3]</t>
  </si>
  <si>
    <t>alpha</t>
  </si>
  <si>
    <t>beta</t>
  </si>
  <si>
    <r>
      <t xml:space="preserve">Porosity Modeling
of Brush Seals, </t>
    </r>
    <r>
      <rPr>
        <b/>
        <sz val="11"/>
        <color theme="1"/>
        <rFont val="Times New Roman"/>
        <family val="1"/>
      </rPr>
      <t>Section 2.2</t>
    </r>
    <r>
      <rPr>
        <sz val="11"/>
        <color theme="1"/>
        <rFont val="Times New Roman"/>
        <family val="1"/>
      </rPr>
      <t>, EMPIRICALLY DONE, NEED TO CONFIRM</t>
    </r>
  </si>
  <si>
    <t>epsilon</t>
  </si>
  <si>
    <t>SUBSHEET 3</t>
  </si>
  <si>
    <t>Inter-bristle spacing</t>
  </si>
  <si>
    <t>No inter-bristle spacing</t>
  </si>
  <si>
    <t>N Liu</t>
  </si>
  <si>
    <t>Multiplier</t>
  </si>
  <si>
    <t>Mine</t>
  </si>
  <si>
    <t>Width</t>
  </si>
  <si>
    <t>d</t>
  </si>
  <si>
    <t>b_b</t>
  </si>
  <si>
    <t>E</t>
  </si>
  <si>
    <t>Brush pack thickness</t>
  </si>
  <si>
    <t>Bristle packing density</t>
  </si>
  <si>
    <t>h_b</t>
  </si>
  <si>
    <t>h_f</t>
  </si>
  <si>
    <t>a_n</t>
  </si>
  <si>
    <t>a_z</t>
  </si>
  <si>
    <t>a_s</t>
  </si>
  <si>
    <t>b_n</t>
  </si>
  <si>
    <t>b_z</t>
  </si>
  <si>
    <t>b_s</t>
  </si>
  <si>
    <t>Viscous resistance normal to bristles</t>
  </si>
  <si>
    <t>Inertial resistance normal to bristles</t>
  </si>
  <si>
    <t>Viscous resistance lengthwise to bristles</t>
  </si>
  <si>
    <t>Inertial resistance lengthwise to bristles</t>
  </si>
  <si>
    <t>Backplate clearance</t>
  </si>
  <si>
    <t>Frontplate clearance</t>
  </si>
  <si>
    <t>Bristle diameter</t>
  </si>
  <si>
    <t>Lay angle</t>
  </si>
  <si>
    <t>Cases</t>
  </si>
  <si>
    <t>Gapless</t>
  </si>
  <si>
    <t>Gapped</t>
  </si>
  <si>
    <t>Sir's values</t>
  </si>
  <si>
    <t>Phi</t>
  </si>
  <si>
    <t>Units</t>
  </si>
  <si>
    <t>degrees</t>
  </si>
  <si>
    <t>bristles/mm</t>
  </si>
  <si>
    <t>Lanes of bristles</t>
  </si>
  <si>
    <t>Pugachev's example</t>
  </si>
  <si>
    <t>Base</t>
  </si>
  <si>
    <t>B2 min</t>
  </si>
  <si>
    <t>B3 min</t>
  </si>
  <si>
    <t>C</t>
  </si>
  <si>
    <t>Theoretical closest packing of bristles</t>
  </si>
  <si>
    <t>b_b^min</t>
  </si>
  <si>
    <t>Theoretical values</t>
  </si>
  <si>
    <t>Minimum</t>
  </si>
  <si>
    <t>TEST CASE 1</t>
  </si>
  <si>
    <t>Porosity =</t>
  </si>
  <si>
    <t>Calculated Gapless</t>
  </si>
  <si>
    <t>Calculated Gapped</t>
  </si>
  <si>
    <t>Bristle Gaps</t>
  </si>
  <si>
    <t>d_g</t>
  </si>
  <si>
    <t>Bristle Clearance</t>
  </si>
  <si>
    <t>d_c</t>
  </si>
  <si>
    <t>d_g+d</t>
  </si>
  <si>
    <t>Sir's second paper</t>
  </si>
  <si>
    <t>sirs paper adjusted</t>
  </si>
  <si>
    <t>Angle</t>
  </si>
  <si>
    <t>w_b</t>
  </si>
  <si>
    <t>density</t>
  </si>
  <si>
    <t>Width Test</t>
  </si>
  <si>
    <t>Depth Test</t>
  </si>
  <si>
    <t>Angle Test</t>
  </si>
  <si>
    <t>Baseline</t>
  </si>
  <si>
    <t>Depth</t>
  </si>
  <si>
    <t>Width-Space Ratio</t>
  </si>
  <si>
    <t>Case 1</t>
  </si>
  <si>
    <t>Case 2</t>
  </si>
  <si>
    <t>Case 3</t>
  </si>
  <si>
    <t>Case 4</t>
  </si>
  <si>
    <t>25% of 10 mm</t>
  </si>
  <si>
    <t>50% of 10 mm</t>
  </si>
  <si>
    <t>100% of 10 mm</t>
  </si>
  <si>
    <t>Reason</t>
  </si>
  <si>
    <t>Test name</t>
  </si>
  <si>
    <t>Case name</t>
  </si>
  <si>
    <t>Max angle</t>
  </si>
  <si>
    <t>Sir's Angle</t>
  </si>
  <si>
    <t>Depth-Plate ratio (10 mm)</t>
  </si>
  <si>
    <t>Depth-Plate ratio (11 mm)</t>
  </si>
  <si>
    <t>Made?</t>
  </si>
  <si>
    <t>Blocked?</t>
  </si>
  <si>
    <t>Meshed?</t>
  </si>
  <si>
    <t>Tested?</t>
  </si>
  <si>
    <t>WORK NAME</t>
  </si>
  <si>
    <t>Default</t>
  </si>
  <si>
    <t>Baseline test</t>
  </si>
  <si>
    <t>CFD</t>
  </si>
  <si>
    <t>Acronym</t>
  </si>
  <si>
    <t>Meaning</t>
  </si>
  <si>
    <t>ICEM</t>
  </si>
  <si>
    <t>RAM</t>
  </si>
  <si>
    <t>Nomenclature</t>
  </si>
  <si>
    <t>LES</t>
  </si>
  <si>
    <t>SAS</t>
  </si>
  <si>
    <t>DES</t>
  </si>
  <si>
    <t>PISO</t>
  </si>
  <si>
    <t>SIMPLE</t>
  </si>
  <si>
    <t>SIMPLEC</t>
  </si>
  <si>
    <t>SST</t>
  </si>
  <si>
    <t>CPU</t>
  </si>
  <si>
    <t>m</t>
  </si>
  <si>
    <t>nm</t>
  </si>
  <si>
    <t>kg</t>
  </si>
  <si>
    <t>s</t>
  </si>
  <si>
    <t>Pa</t>
  </si>
  <si>
    <t>Mpa</t>
  </si>
  <si>
    <t>Symbols</t>
  </si>
  <si>
    <t>bar</t>
  </si>
  <si>
    <t>°C</t>
  </si>
  <si>
    <t>°</t>
  </si>
  <si>
    <t>theta max</t>
  </si>
  <si>
    <t>theta min</t>
  </si>
  <si>
    <t>v ideal</t>
  </si>
  <si>
    <t>v cell</t>
  </si>
  <si>
    <t>R</t>
  </si>
  <si>
    <t>V</t>
  </si>
  <si>
    <t>x</t>
  </si>
  <si>
    <t>u</t>
  </si>
  <si>
    <t>F i</t>
  </si>
  <si>
    <t>p</t>
  </si>
  <si>
    <t>tau ij</t>
  </si>
  <si>
    <t>mu</t>
  </si>
  <si>
    <t>rho</t>
  </si>
  <si>
    <t>A</t>
  </si>
  <si>
    <t>B</t>
  </si>
  <si>
    <t>b</t>
  </si>
  <si>
    <t>pi</t>
  </si>
  <si>
    <t>wb</t>
  </si>
  <si>
    <t>theta</t>
  </si>
  <si>
    <t>Subscripts</t>
  </si>
  <si>
    <t>z</t>
  </si>
  <si>
    <t>n</t>
  </si>
  <si>
    <t>a</t>
  </si>
  <si>
    <t>W</t>
  </si>
  <si>
    <t>J</t>
  </si>
  <si>
    <t>mol</t>
  </si>
  <si>
    <t>delta</t>
  </si>
  <si>
    <t>P</t>
  </si>
  <si>
    <t>p star</t>
  </si>
  <si>
    <t>p inlet</t>
  </si>
  <si>
    <t>p outlet</t>
  </si>
  <si>
    <t>Computational Fluid Dynamics</t>
  </si>
  <si>
    <t>Central Processing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</si>
</sst>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,##0.0000"/>
    <numFmt numFmtId="166" formatCode="#,##0.00000"/>
    <numFmt numFmtId="167" formatCode="0.0000000"/>
    <numFmt numFmtId="168" formatCode="0.0000000E+00"/>
    <numFmt numFmtId="169" formatCode="#,##0.000"/>
    <numFmt numFmtId="170" formatCode="0.0"/>
  </numFmts>
  <fonts count="20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8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Abadi"/>
      <family val="2"/>
      <charset val="1"/>
    </font>
    <font>
      <sz val="11"/>
      <color theme="1"/>
      <name val="Times New Roman"/>
      <family val="2"/>
      <charset val="1"/>
    </font>
    <font>
      <sz val="11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Noto Mono"/>
      <family val="3"/>
    </font>
    <font>
      <sz val="11"/>
      <color theme="1"/>
      <name val="Noto Mono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</borders>
  <cellStyleXfs count="8">
    <xf numFmtId="0" fontId="0" fillId="0" borderId="0">
      <alignment horizontal="center"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center" vertical="center"/>
    </xf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9" applyNumberFormat="0" applyAlignment="0" applyProtection="0"/>
    <xf numFmtId="0" fontId="19" fillId="10" borderId="10" applyNumberFormat="0" applyAlignment="0" applyProtection="0"/>
  </cellStyleXfs>
  <cellXfs count="190">
    <xf numFmtId="0" fontId="0" fillId="0" borderId="0" xfId="0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5" fillId="0" borderId="8" xfId="2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" fontId="0" fillId="0" borderId="0" xfId="0" applyNumberFormat="1">
      <alignment horizontal="center"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right" vertical="center"/>
    </xf>
    <xf numFmtId="4" fontId="10" fillId="0" borderId="0" xfId="0" applyNumberFormat="1" applyFont="1" applyAlignment="1">
      <alignment horizontal="right" vertical="center"/>
    </xf>
    <xf numFmtId="4" fontId="13" fillId="0" borderId="0" xfId="0" applyNumberFormat="1" applyFont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165" fontId="14" fillId="0" borderId="0" xfId="0" applyNumberFormat="1" applyFont="1" applyAlignment="1">
      <alignment horizontal="right" vertical="center"/>
    </xf>
    <xf numFmtId="166" fontId="14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>
      <alignment horizontal="center" vertical="center"/>
    </xf>
    <xf numFmtId="165" fontId="0" fillId="0" borderId="0" xfId="0" applyNumberFormat="1" applyAlignment="1">
      <alignment horizontal="right" vertical="center"/>
    </xf>
    <xf numFmtId="165" fontId="13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>
      <alignment horizontal="center" vertical="center"/>
    </xf>
    <xf numFmtId="166" fontId="0" fillId="0" borderId="0" xfId="0" applyNumberFormat="1" applyAlignment="1">
      <alignment horizontal="right" vertical="center"/>
    </xf>
    <xf numFmtId="166" fontId="13" fillId="0" borderId="0" xfId="0" applyNumberFormat="1" applyFont="1" applyAlignment="1">
      <alignment horizontal="right" vertical="center"/>
    </xf>
    <xf numFmtId="166" fontId="10" fillId="0" borderId="0" xfId="0" applyNumberFormat="1" applyFon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4" fontId="0" fillId="0" borderId="2" xfId="0" applyNumberFormat="1" applyBorder="1">
      <alignment horizontal="center" vertical="center"/>
    </xf>
    <xf numFmtId="4" fontId="14" fillId="0" borderId="2" xfId="0" applyNumberFormat="1" applyFont="1" applyBorder="1" applyAlignment="1">
      <alignment horizontal="right" vertical="center"/>
    </xf>
    <xf numFmtId="165" fontId="14" fillId="0" borderId="2" xfId="0" applyNumberFormat="1" applyFont="1" applyBorder="1" applyAlignment="1">
      <alignment horizontal="right" vertical="center"/>
    </xf>
    <xf numFmtId="166" fontId="14" fillId="0" borderId="2" xfId="0" applyNumberFormat="1" applyFont="1" applyBorder="1" applyAlignment="1">
      <alignment horizontal="right" vertical="center"/>
    </xf>
    <xf numFmtId="167" fontId="14" fillId="0" borderId="2" xfId="0" applyNumberFormat="1" applyFont="1" applyBorder="1" applyAlignment="1">
      <alignment horizontal="right" vertical="center"/>
    </xf>
    <xf numFmtId="168" fontId="14" fillId="0" borderId="2" xfId="0" applyNumberFormat="1" applyFont="1" applyBorder="1" applyAlignment="1">
      <alignment horizontal="right" vertical="center"/>
    </xf>
    <xf numFmtId="4" fontId="0" fillId="0" borderId="0" xfId="0" applyNumberFormat="1" applyBorder="1">
      <alignment horizontal="center" vertical="center"/>
    </xf>
    <xf numFmtId="4" fontId="14" fillId="0" borderId="0" xfId="0" applyNumberFormat="1" applyFont="1" applyBorder="1" applyAlignment="1">
      <alignment horizontal="right" vertical="center"/>
    </xf>
    <xf numFmtId="165" fontId="14" fillId="0" borderId="0" xfId="0" applyNumberFormat="1" applyFont="1" applyBorder="1" applyAlignment="1">
      <alignment horizontal="right" vertical="center"/>
    </xf>
    <xf numFmtId="166" fontId="14" fillId="0" borderId="0" xfId="0" applyNumberFormat="1" applyFont="1" applyBorder="1" applyAlignment="1">
      <alignment horizontal="right" vertical="center"/>
    </xf>
    <xf numFmtId="167" fontId="14" fillId="0" borderId="0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horizontal="right" vertical="center"/>
    </xf>
    <xf numFmtId="4" fontId="15" fillId="6" borderId="0" xfId="3" applyNumberFormat="1" applyBorder="1" applyAlignment="1">
      <alignment horizontal="center" vertical="center"/>
    </xf>
    <xf numFmtId="4" fontId="15" fillId="6" borderId="7" xfId="3" applyNumberFormat="1" applyBorder="1" applyAlignment="1">
      <alignment horizontal="center" vertical="center"/>
    </xf>
    <xf numFmtId="4" fontId="14" fillId="0" borderId="7" xfId="0" applyNumberFormat="1" applyFont="1" applyBorder="1" applyAlignment="1">
      <alignment horizontal="right" vertical="center"/>
    </xf>
    <xf numFmtId="165" fontId="14" fillId="0" borderId="7" xfId="0" applyNumberFormat="1" applyFont="1" applyBorder="1" applyAlignment="1">
      <alignment horizontal="right" vertical="center"/>
    </xf>
    <xf numFmtId="166" fontId="14" fillId="0" borderId="7" xfId="0" applyNumberFormat="1" applyFont="1" applyBorder="1" applyAlignment="1">
      <alignment horizontal="right" vertical="center"/>
    </xf>
    <xf numFmtId="167" fontId="14" fillId="0" borderId="7" xfId="0" applyNumberFormat="1" applyFont="1" applyBorder="1" applyAlignment="1">
      <alignment horizontal="right" vertical="center"/>
    </xf>
    <xf numFmtId="168" fontId="14" fillId="0" borderId="7" xfId="0" applyNumberFormat="1" applyFont="1" applyBorder="1" applyAlignment="1">
      <alignment horizontal="right" vertical="center"/>
    </xf>
    <xf numFmtId="4" fontId="0" fillId="0" borderId="7" xfId="0" applyNumberFormat="1" applyBorder="1">
      <alignment horizontal="center" vertical="center"/>
    </xf>
    <xf numFmtId="4" fontId="0" fillId="0" borderId="2" xfId="0" applyNumberFormat="1" applyBorder="1" applyAlignment="1">
      <alignment vertical="center"/>
    </xf>
    <xf numFmtId="4" fontId="0" fillId="0" borderId="0" xfId="0" applyNumberFormat="1" applyBorder="1" applyAlignment="1">
      <alignment horizontal="center" vertical="center"/>
    </xf>
    <xf numFmtId="4" fontId="0" fillId="0" borderId="6" xfId="0" applyNumberFormat="1" applyBorder="1">
      <alignment horizontal="center" vertical="center"/>
    </xf>
    <xf numFmtId="0" fontId="0" fillId="0" borderId="2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7" xfId="0" applyBorder="1">
      <alignment horizontal="center" vertical="center"/>
    </xf>
    <xf numFmtId="4" fontId="15" fillId="6" borderId="2" xfId="3" applyNumberFormat="1" applyBorder="1" applyAlignment="1">
      <alignment horizontal="center" vertical="center"/>
    </xf>
    <xf numFmtId="169" fontId="14" fillId="0" borderId="2" xfId="0" applyNumberFormat="1" applyFont="1" applyBorder="1" applyAlignment="1">
      <alignment horizontal="right" vertical="center"/>
    </xf>
    <xf numFmtId="2" fontId="0" fillId="0" borderId="0" xfId="0" applyNumberFormat="1" applyBorder="1">
      <alignment horizontal="center" vertical="center"/>
    </xf>
    <xf numFmtId="11" fontId="0" fillId="0" borderId="0" xfId="0" applyNumberFormat="1" applyBorder="1">
      <alignment horizontal="center" vertical="center"/>
    </xf>
    <xf numFmtId="0" fontId="0" fillId="0" borderId="1" xfId="0" applyBorder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horizontal="center" vertical="center"/>
    </xf>
    <xf numFmtId="0" fontId="0" fillId="0" borderId="6" xfId="0" applyBorder="1">
      <alignment horizontal="center" vertical="center"/>
    </xf>
    <xf numFmtId="2" fontId="0" fillId="0" borderId="7" xfId="0" applyNumberFormat="1" applyBorder="1">
      <alignment horizontal="center" vertical="center"/>
    </xf>
    <xf numFmtId="170" fontId="19" fillId="10" borderId="16" xfId="7" applyNumberFormat="1" applyBorder="1" applyAlignment="1">
      <alignment horizontal="center" vertical="center"/>
    </xf>
    <xf numFmtId="2" fontId="0" fillId="0" borderId="4" xfId="0" applyNumberFormat="1" applyBorder="1">
      <alignment horizontal="center" vertical="center"/>
    </xf>
    <xf numFmtId="2" fontId="0" fillId="0" borderId="6" xfId="0" applyNumberFormat="1" applyBorder="1">
      <alignment horizontal="center" vertical="center"/>
    </xf>
    <xf numFmtId="0" fontId="0" fillId="0" borderId="17" xfId="0" applyBorder="1">
      <alignment horizontal="center" vertical="center"/>
    </xf>
    <xf numFmtId="0" fontId="0" fillId="0" borderId="18" xfId="0" applyBorder="1">
      <alignment horizontal="center" vertical="center"/>
    </xf>
    <xf numFmtId="0" fontId="19" fillId="10" borderId="19" xfId="7" applyBorder="1" applyAlignment="1">
      <alignment horizontal="center" vertical="center"/>
    </xf>
    <xf numFmtId="170" fontId="19" fillId="10" borderId="20" xfId="7" applyNumberFormat="1" applyBorder="1" applyAlignment="1">
      <alignment horizontal="center" vertical="center"/>
    </xf>
    <xf numFmtId="0" fontId="0" fillId="0" borderId="3" xfId="0" applyBorder="1">
      <alignment horizontal="center" vertical="center"/>
    </xf>
    <xf numFmtId="0" fontId="0" fillId="0" borderId="5" xfId="0" applyBorder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10" borderId="21" xfId="7" applyBorder="1" applyAlignment="1">
      <alignment horizontal="center" vertical="center"/>
    </xf>
    <xf numFmtId="0" fontId="19" fillId="10" borderId="22" xfId="7" applyBorder="1" applyAlignment="1">
      <alignment horizontal="center" vertical="center"/>
    </xf>
    <xf numFmtId="2" fontId="19" fillId="10" borderId="27" xfId="7" applyNumberFormat="1" applyBorder="1" applyAlignment="1">
      <alignment horizontal="center" vertical="center"/>
    </xf>
    <xf numFmtId="2" fontId="19" fillId="10" borderId="28" xfId="7" applyNumberFormat="1" applyBorder="1" applyAlignment="1">
      <alignment horizontal="center" vertical="center"/>
    </xf>
    <xf numFmtId="9" fontId="19" fillId="10" borderId="24" xfId="7" applyNumberFormat="1" applyBorder="1" applyAlignment="1">
      <alignment horizontal="center" vertical="center"/>
    </xf>
    <xf numFmtId="0" fontId="19" fillId="10" borderId="25" xfId="7" applyBorder="1" applyAlignment="1">
      <alignment horizontal="center" vertical="center"/>
    </xf>
    <xf numFmtId="0" fontId="19" fillId="10" borderId="26" xfId="7" applyBorder="1" applyAlignment="1">
      <alignment horizontal="center" vertical="center"/>
    </xf>
    <xf numFmtId="0" fontId="0" fillId="0" borderId="15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3" xfId="0" applyBorder="1">
      <alignment horizontal="center" vertical="center"/>
    </xf>
    <xf numFmtId="2" fontId="0" fillId="0" borderId="14" xfId="0" applyNumberFormat="1" applyBorder="1">
      <alignment horizontal="center" vertical="center"/>
    </xf>
    <xf numFmtId="2" fontId="0" fillId="0" borderId="13" xfId="0" applyNumberFormat="1" applyBorder="1">
      <alignment horizontal="center" vertical="center"/>
    </xf>
    <xf numFmtId="0" fontId="0" fillId="0" borderId="11" xfId="0" applyBorder="1">
      <alignment horizontal="center" vertical="center"/>
    </xf>
    <xf numFmtId="0" fontId="17" fillId="8" borderId="4" xfId="5" applyBorder="1" applyAlignment="1">
      <alignment horizontal="center" vertical="center"/>
    </xf>
    <xf numFmtId="0" fontId="17" fillId="8" borderId="0" xfId="5" applyBorder="1" applyAlignment="1">
      <alignment horizontal="center" vertical="center"/>
    </xf>
    <xf numFmtId="0" fontId="17" fillId="8" borderId="5" xfId="5" applyBorder="1" applyAlignment="1">
      <alignment horizontal="center" vertical="center"/>
    </xf>
    <xf numFmtId="170" fontId="17" fillId="8" borderId="1" xfId="5" applyNumberFormat="1" applyBorder="1" applyAlignment="1">
      <alignment horizontal="center" vertical="center"/>
    </xf>
    <xf numFmtId="170" fontId="17" fillId="8" borderId="2" xfId="5" applyNumberFormat="1" applyBorder="1" applyAlignment="1">
      <alignment horizontal="center" vertical="center"/>
    </xf>
    <xf numFmtId="170" fontId="17" fillId="8" borderId="3" xfId="5" applyNumberFormat="1" applyBorder="1" applyAlignment="1">
      <alignment horizontal="center" vertical="center"/>
    </xf>
    <xf numFmtId="0" fontId="17" fillId="8" borderId="17" xfId="5" applyBorder="1" applyAlignment="1">
      <alignment horizontal="center" vertical="center"/>
    </xf>
    <xf numFmtId="0" fontId="17" fillId="8" borderId="18" xfId="5" applyBorder="1" applyAlignment="1">
      <alignment horizontal="center" vertical="center"/>
    </xf>
    <xf numFmtId="0" fontId="17" fillId="8" borderId="12" xfId="5" applyBorder="1" applyAlignment="1">
      <alignment horizontal="center" vertical="center"/>
    </xf>
    <xf numFmtId="2" fontId="18" fillId="9" borderId="29" xfId="6" applyNumberFormat="1" applyBorder="1" applyAlignment="1">
      <alignment horizontal="center" vertical="center"/>
    </xf>
    <xf numFmtId="170" fontId="19" fillId="10" borderId="30" xfId="7" applyNumberFormat="1" applyBorder="1" applyAlignment="1">
      <alignment horizontal="center" vertical="center"/>
    </xf>
    <xf numFmtId="2" fontId="18" fillId="9" borderId="31" xfId="6" applyNumberFormat="1" applyBorder="1" applyAlignment="1">
      <alignment horizontal="center" vertical="center"/>
    </xf>
    <xf numFmtId="2" fontId="18" fillId="9" borderId="9" xfId="6" applyNumberFormat="1" applyBorder="1" applyAlignment="1">
      <alignment horizontal="center" vertical="center"/>
    </xf>
    <xf numFmtId="2" fontId="18" fillId="9" borderId="32" xfId="6" applyNumberFormat="1" applyBorder="1" applyAlignment="1">
      <alignment horizontal="center" vertical="center"/>
    </xf>
    <xf numFmtId="2" fontId="18" fillId="9" borderId="33" xfId="6" applyNumberFormat="1" applyBorder="1" applyAlignment="1">
      <alignment horizontal="center" vertical="center"/>
    </xf>
    <xf numFmtId="2" fontId="18" fillId="9" borderId="34" xfId="6" applyNumberFormat="1" applyBorder="1" applyAlignment="1">
      <alignment horizontal="center" vertical="center"/>
    </xf>
    <xf numFmtId="2" fontId="18" fillId="9" borderId="35" xfId="6" applyNumberFormat="1" applyBorder="1" applyAlignment="1">
      <alignment horizontal="center" vertical="center"/>
    </xf>
    <xf numFmtId="2" fontId="18" fillId="9" borderId="36" xfId="6" applyNumberFormat="1" applyBorder="1" applyAlignment="1">
      <alignment horizontal="center" vertical="center"/>
    </xf>
    <xf numFmtId="2" fontId="18" fillId="9" borderId="37" xfId="6" applyNumberFormat="1" applyBorder="1" applyAlignment="1">
      <alignment horizontal="center" vertical="center"/>
    </xf>
    <xf numFmtId="2" fontId="18" fillId="9" borderId="38" xfId="6" applyNumberFormat="1" applyBorder="1" applyAlignment="1">
      <alignment horizontal="center" vertical="center"/>
    </xf>
    <xf numFmtId="0" fontId="3" fillId="0" borderId="15" xfId="0" applyFont="1" applyBorder="1">
      <alignment horizontal="center" vertical="center"/>
    </xf>
    <xf numFmtId="0" fontId="3" fillId="0" borderId="1" xfId="0" applyFont="1" applyBorder="1">
      <alignment horizontal="center" vertical="center"/>
    </xf>
    <xf numFmtId="0" fontId="3" fillId="0" borderId="2" xfId="0" applyFont="1" applyBorder="1">
      <alignment horizontal="center" vertical="center"/>
    </xf>
    <xf numFmtId="0" fontId="3" fillId="0" borderId="13" xfId="0" applyFont="1" applyBorder="1">
      <alignment horizontal="center" vertical="center"/>
    </xf>
    <xf numFmtId="0" fontId="3" fillId="0" borderId="6" xfId="0" applyFont="1" applyBorder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>
      <alignment horizontal="center" vertical="center"/>
    </xf>
    <xf numFmtId="0" fontId="15" fillId="6" borderId="11" xfId="3" applyBorder="1" applyAlignment="1">
      <alignment horizontal="center" vertical="center"/>
    </xf>
    <xf numFmtId="0" fontId="16" fillId="7" borderId="11" xfId="4" applyBorder="1" applyAlignment="1">
      <alignment horizontal="center" vertical="center"/>
    </xf>
    <xf numFmtId="0" fontId="19" fillId="10" borderId="39" xfId="7" applyBorder="1" applyAlignment="1">
      <alignment horizontal="center" vertical="center"/>
    </xf>
    <xf numFmtId="0" fontId="19" fillId="10" borderId="40" xfId="7" applyBorder="1" applyAlignment="1">
      <alignment horizontal="center" vertical="center"/>
    </xf>
    <xf numFmtId="2" fontId="19" fillId="10" borderId="41" xfId="7" applyNumberFormat="1" applyBorder="1" applyAlignment="1">
      <alignment horizontal="center" vertical="center"/>
    </xf>
    <xf numFmtId="2" fontId="18" fillId="9" borderId="42" xfId="6" applyNumberFormat="1" applyBorder="1" applyAlignment="1">
      <alignment horizontal="center" vertical="center"/>
    </xf>
    <xf numFmtId="2" fontId="18" fillId="9" borderId="43" xfId="6" applyNumberFormat="1" applyBorder="1" applyAlignment="1">
      <alignment horizontal="center" vertical="center"/>
    </xf>
    <xf numFmtId="0" fontId="15" fillId="6" borderId="17" xfId="3" applyBorder="1" applyAlignment="1">
      <alignment horizontal="center" vertical="center"/>
    </xf>
    <xf numFmtId="0" fontId="16" fillId="7" borderId="17" xfId="4" applyBorder="1" applyAlignment="1">
      <alignment horizontal="center" vertical="center"/>
    </xf>
    <xf numFmtId="9" fontId="19" fillId="10" borderId="23" xfId="7" applyNumberFormat="1" applyBorder="1" applyAlignment="1">
      <alignment horizontal="center" vertical="center"/>
    </xf>
    <xf numFmtId="0" fontId="0" fillId="0" borderId="0" xfId="0" applyFill="1" applyBorder="1">
      <alignment horizontal="center" vertical="center"/>
    </xf>
    <xf numFmtId="0" fontId="17" fillId="8" borderId="7" xfId="5" applyBorder="1" applyAlignment="1">
      <alignment horizontal="center" vertical="center"/>
    </xf>
    <xf numFmtId="9" fontId="18" fillId="9" borderId="37" xfId="1" applyFont="1" applyFill="1" applyBorder="1" applyAlignment="1">
      <alignment horizontal="center" vertical="center"/>
    </xf>
    <xf numFmtId="9" fontId="18" fillId="9" borderId="35" xfId="1" applyFont="1" applyFill="1" applyBorder="1" applyAlignment="1">
      <alignment horizontal="center" vertical="center"/>
    </xf>
    <xf numFmtId="9" fontId="18" fillId="9" borderId="38" xfId="1" applyFont="1" applyFill="1" applyBorder="1" applyAlignment="1">
      <alignment horizontal="center" vertical="center"/>
    </xf>
    <xf numFmtId="0" fontId="3" fillId="0" borderId="0" xfId="0" applyFo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8">
    <cellStyle name="Bad" xfId="4" builtinId="27"/>
    <cellStyle name="Calculation" xfId="6" builtinId="22"/>
    <cellStyle name="Check Cell" xfId="7" builtinId="23"/>
    <cellStyle name="Good" xfId="3" builtinId="26"/>
    <cellStyle name="Hyperlink" xfId="2" builtinId="8"/>
    <cellStyle name="Neutral" xfId="5" builtinId="28"/>
    <cellStyle name="Normal" xfId="0" builtinId="0" customBuiltin="1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9B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7.png"/><Relationship Id="rId1" Type="http://schemas.openxmlformats.org/officeDocument/2006/relationships/image" Target="../media/image3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66675</xdr:colOff>
      <xdr:row>2</xdr:row>
      <xdr:rowOff>57150</xdr:rowOff>
    </xdr:from>
    <xdr:to>
      <xdr:col>37</xdr:col>
      <xdr:colOff>255549</xdr:colOff>
      <xdr:row>9</xdr:row>
      <xdr:rowOff>29650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BD8C8C-CC13-4226-9C5A-FE53A666C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9875" y="3867150"/>
          <a:ext cx="6894474" cy="1687000"/>
        </a:xfrm>
        <a:prstGeom prst="rect">
          <a:avLst/>
        </a:prstGeom>
      </xdr:spPr>
    </xdr:pic>
    <xdr:clientData/>
  </xdr:twoCellAnchor>
  <xdr:twoCellAnchor editAs="oneCell">
    <xdr:from>
      <xdr:col>27</xdr:col>
      <xdr:colOff>76199</xdr:colOff>
      <xdr:row>17</xdr:row>
      <xdr:rowOff>185293</xdr:rowOff>
    </xdr:from>
    <xdr:to>
      <xdr:col>32</xdr:col>
      <xdr:colOff>56448</xdr:colOff>
      <xdr:row>26</xdr:row>
      <xdr:rowOff>152011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B572F1-D1FD-4161-8888-A3D2EA8E6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8999" y="5519293"/>
          <a:ext cx="3028249" cy="16812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2</xdr:row>
      <xdr:rowOff>28576</xdr:rowOff>
    </xdr:from>
    <xdr:to>
      <xdr:col>12</xdr:col>
      <xdr:colOff>1264103</xdr:colOff>
      <xdr:row>2</xdr:row>
      <xdr:rowOff>533400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9B640D-1C61-4852-B58A-DCE1A7771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4410076"/>
          <a:ext cx="1226003" cy="504824"/>
        </a:xfrm>
        <a:prstGeom prst="rect">
          <a:avLst/>
        </a:prstGeom>
      </xdr:spPr>
    </xdr:pic>
    <xdr:clientData/>
  </xdr:twoCellAnchor>
  <xdr:twoCellAnchor editAs="oneCell">
    <xdr:from>
      <xdr:col>15</xdr:col>
      <xdr:colOff>523875</xdr:colOff>
      <xdr:row>2</xdr:row>
      <xdr:rowOff>9526</xdr:rowOff>
    </xdr:from>
    <xdr:to>
      <xdr:col>16</xdr:col>
      <xdr:colOff>444546</xdr:colOff>
      <xdr:row>2</xdr:row>
      <xdr:rowOff>485775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088EAB-C546-414A-8A2C-809EF1F20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30175" y="771526"/>
          <a:ext cx="1578021" cy="476249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2</xdr:row>
      <xdr:rowOff>114300</xdr:rowOff>
    </xdr:from>
    <xdr:to>
      <xdr:col>17</xdr:col>
      <xdr:colOff>1209675</xdr:colOff>
      <xdr:row>2</xdr:row>
      <xdr:rowOff>479937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EA7B67-F46A-4C4F-BF10-0FAD5EFFE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9250" y="1066800"/>
          <a:ext cx="1133475" cy="365637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2</xdr:row>
      <xdr:rowOff>85726</xdr:rowOff>
    </xdr:from>
    <xdr:to>
      <xdr:col>22</xdr:col>
      <xdr:colOff>161925</xdr:colOff>
      <xdr:row>2</xdr:row>
      <xdr:rowOff>489842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1B944F-C914-40F0-BD1B-44C27F64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34650" y="1038226"/>
          <a:ext cx="2028825" cy="404116"/>
        </a:xfrm>
        <a:prstGeom prst="rect">
          <a:avLst/>
        </a:prstGeom>
      </xdr:spPr>
    </xdr:pic>
    <xdr:clientData/>
  </xdr:twoCellAnchor>
  <xdr:twoCellAnchor editAs="oneCell">
    <xdr:from>
      <xdr:col>20</xdr:col>
      <xdr:colOff>228600</xdr:colOff>
      <xdr:row>2</xdr:row>
      <xdr:rowOff>114300</xdr:rowOff>
    </xdr:from>
    <xdr:to>
      <xdr:col>22</xdr:col>
      <xdr:colOff>200025</xdr:colOff>
      <xdr:row>2</xdr:row>
      <xdr:rowOff>508366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361C32-94A8-4A78-8F41-54AADC062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11125" y="1066800"/>
          <a:ext cx="809625" cy="394066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2</xdr:row>
      <xdr:rowOff>103304</xdr:rowOff>
    </xdr:from>
    <xdr:to>
      <xdr:col>13</xdr:col>
      <xdr:colOff>1114425</xdr:colOff>
      <xdr:row>2</xdr:row>
      <xdr:rowOff>512553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CE7428-8EAC-40DD-9817-D0E447E43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0" y="1055804"/>
          <a:ext cx="981075" cy="409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</xdr:row>
      <xdr:rowOff>55209</xdr:rowOff>
    </xdr:from>
    <xdr:to>
      <xdr:col>14</xdr:col>
      <xdr:colOff>1104712</xdr:colOff>
      <xdr:row>2</xdr:row>
      <xdr:rowOff>495207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7A9D0E4-6786-46E1-8874-AAE4D780F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01125" y="1007709"/>
          <a:ext cx="885637" cy="439998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19049</xdr:colOff>
      <xdr:row>2</xdr:row>
      <xdr:rowOff>18978</xdr:rowOff>
    </xdr:from>
    <xdr:to>
      <xdr:col>11</xdr:col>
      <xdr:colOff>1933100</xdr:colOff>
      <xdr:row>2</xdr:row>
      <xdr:rowOff>504705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690C63-4A18-4EFF-A009-DD522A2F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599" y="971478"/>
          <a:ext cx="1914051" cy="485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28576</xdr:rowOff>
    </xdr:from>
    <xdr:to>
      <xdr:col>12</xdr:col>
      <xdr:colOff>1264103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C70984-C2A3-40E3-813D-C9CF8D243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4625" y="790576"/>
          <a:ext cx="1226003" cy="504824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2</xdr:row>
      <xdr:rowOff>114300</xdr:rowOff>
    </xdr:from>
    <xdr:to>
      <xdr:col>18</xdr:col>
      <xdr:colOff>1038225</xdr:colOff>
      <xdr:row>4</xdr:row>
      <xdr:rowOff>127366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7633D-8477-4EA9-85D7-1A5B200EB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44850" y="876300"/>
          <a:ext cx="809625" cy="39406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19049</xdr:colOff>
      <xdr:row>2</xdr:row>
      <xdr:rowOff>18978</xdr:rowOff>
    </xdr:from>
    <xdr:to>
      <xdr:col>11</xdr:col>
      <xdr:colOff>1933100</xdr:colOff>
      <xdr:row>4</xdr:row>
      <xdr:rowOff>123705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9CB893F-66CB-4C16-ACC3-8523C3045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1024" y="780978"/>
          <a:ext cx="1914051" cy="485727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2</xdr:row>
      <xdr:rowOff>114300</xdr:rowOff>
    </xdr:from>
    <xdr:to>
      <xdr:col>14</xdr:col>
      <xdr:colOff>733187</xdr:colOff>
      <xdr:row>4</xdr:row>
      <xdr:rowOff>266633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431D5E-9FEA-464B-A29A-2234914A8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5600" y="1066800"/>
          <a:ext cx="1904762" cy="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1104899</xdr:colOff>
      <xdr:row>2</xdr:row>
      <xdr:rowOff>168121</xdr:rowOff>
    </xdr:from>
    <xdr:to>
      <xdr:col>16</xdr:col>
      <xdr:colOff>95126</xdr:colOff>
      <xdr:row>4</xdr:row>
      <xdr:rowOff>133321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0C64A7-EBFA-46EB-B335-15021F626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02074" y="1120621"/>
          <a:ext cx="1485777" cy="346200"/>
        </a:xfrm>
        <a:prstGeom prst="rect">
          <a:avLst/>
        </a:prstGeom>
      </xdr:spPr>
    </xdr:pic>
    <xdr:clientData/>
  </xdr:twoCellAnchor>
  <xdr:twoCellAnchor editAs="oneCell">
    <xdr:from>
      <xdr:col>16</xdr:col>
      <xdr:colOff>638175</xdr:colOff>
      <xdr:row>2</xdr:row>
      <xdr:rowOff>171450</xdr:rowOff>
    </xdr:from>
    <xdr:to>
      <xdr:col>17</xdr:col>
      <xdr:colOff>771326</xdr:colOff>
      <xdr:row>4</xdr:row>
      <xdr:rowOff>161879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FBAAD6-0DFD-448E-99CB-7BE7B993B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630900" y="1123950"/>
          <a:ext cx="1590476" cy="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Circle_pack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Circle_pack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B9E6-C147-4889-A136-45B889119157}">
  <dimension ref="A1:L34"/>
  <sheetViews>
    <sheetView topLeftCell="A22" workbookViewId="0">
      <selection activeCell="C23" sqref="C23:C29"/>
    </sheetView>
  </sheetViews>
  <sheetFormatPr defaultRowHeight="15" x14ac:dyDescent="0.25"/>
  <cols>
    <col min="1" max="1" width="17.7109375" style="11" bestFit="1" customWidth="1"/>
    <col min="2" max="2" width="20.7109375" style="27" bestFit="1" customWidth="1"/>
    <col min="3" max="3" width="17.85546875" style="27" bestFit="1" customWidth="1"/>
    <col min="4" max="4" width="20.42578125" style="11" customWidth="1"/>
    <col min="5" max="5" width="43.28515625" style="11" bestFit="1" customWidth="1"/>
    <col min="6" max="6" width="9.140625" style="11"/>
    <col min="7" max="7" width="19.28515625" style="11" bestFit="1" customWidth="1"/>
    <col min="8" max="8" width="11.5703125" style="27" bestFit="1" customWidth="1"/>
    <col min="9" max="9" width="37" style="27" bestFit="1" customWidth="1"/>
    <col min="10" max="10" width="5" style="11" bestFit="1" customWidth="1"/>
    <col min="11" max="11" width="62.42578125" style="11" bestFit="1" customWidth="1"/>
    <col min="12" max="12" width="61.140625" style="11" bestFit="1" customWidth="1"/>
    <col min="13" max="16384" width="9.140625" style="11"/>
  </cols>
  <sheetData>
    <row r="1" spans="1:12" x14ac:dyDescent="0.25">
      <c r="A1" s="1"/>
      <c r="B1" s="44" t="s">
        <v>83</v>
      </c>
      <c r="C1" s="44" t="s">
        <v>82</v>
      </c>
      <c r="D1" s="2" t="s">
        <v>6</v>
      </c>
      <c r="E1" s="3" t="s">
        <v>5</v>
      </c>
      <c r="G1" s="180" t="s">
        <v>7</v>
      </c>
      <c r="H1" s="181"/>
      <c r="I1" s="181"/>
      <c r="J1" s="181"/>
      <c r="K1" s="181"/>
      <c r="L1" s="182"/>
    </row>
    <row r="2" spans="1:12" x14ac:dyDescent="0.25">
      <c r="A2" s="4" t="s">
        <v>0</v>
      </c>
      <c r="B2" s="23">
        <v>0.1</v>
      </c>
      <c r="C2" s="23">
        <v>0.1</v>
      </c>
      <c r="D2" s="5" t="s">
        <v>3</v>
      </c>
      <c r="E2" s="6" t="s">
        <v>4</v>
      </c>
      <c r="G2" s="12" t="s">
        <v>8</v>
      </c>
      <c r="H2" s="22" t="s">
        <v>9</v>
      </c>
      <c r="I2" s="22" t="s">
        <v>22</v>
      </c>
      <c r="J2" s="16" t="s">
        <v>6</v>
      </c>
      <c r="K2" s="16" t="s">
        <v>5</v>
      </c>
      <c r="L2" s="17" t="s">
        <v>25</v>
      </c>
    </row>
    <row r="3" spans="1:12" ht="60" x14ac:dyDescent="0.25">
      <c r="A3" s="4" t="s">
        <v>1</v>
      </c>
      <c r="B3" s="23">
        <v>0</v>
      </c>
      <c r="C3" s="23">
        <v>4.0000000000000001E-3</v>
      </c>
      <c r="D3" s="5" t="s">
        <v>3</v>
      </c>
      <c r="E3" s="6" t="s">
        <v>4</v>
      </c>
      <c r="G3" s="4" t="s">
        <v>10</v>
      </c>
      <c r="H3" s="23">
        <v>5</v>
      </c>
      <c r="I3" s="31" t="s">
        <v>29</v>
      </c>
      <c r="J3" s="5" t="s">
        <v>3</v>
      </c>
      <c r="K3" s="5"/>
      <c r="L3" s="36" t="s">
        <v>27</v>
      </c>
    </row>
    <row r="4" spans="1:12" x14ac:dyDescent="0.25">
      <c r="A4" s="18" t="s">
        <v>32</v>
      </c>
      <c r="B4" s="45">
        <v>10</v>
      </c>
      <c r="C4" s="45">
        <v>10</v>
      </c>
      <c r="D4" s="30" t="s">
        <v>3</v>
      </c>
      <c r="E4" s="6" t="s">
        <v>4</v>
      </c>
      <c r="G4" s="4" t="s">
        <v>13</v>
      </c>
      <c r="H4" s="23">
        <v>13.35</v>
      </c>
      <c r="I4" s="23">
        <f>$H$22-H4</f>
        <v>0</v>
      </c>
      <c r="J4" s="5" t="s">
        <v>3</v>
      </c>
      <c r="K4" s="5" t="s">
        <v>26</v>
      </c>
      <c r="L4" s="33" t="s">
        <v>40</v>
      </c>
    </row>
    <row r="5" spans="1:12" x14ac:dyDescent="0.25">
      <c r="A5" s="18" t="s">
        <v>31</v>
      </c>
      <c r="B5" s="183" t="s">
        <v>60</v>
      </c>
      <c r="C5" s="184"/>
      <c r="D5" s="184"/>
      <c r="E5" s="6"/>
      <c r="G5" s="19"/>
      <c r="H5" s="24"/>
      <c r="I5" s="24"/>
      <c r="J5" s="20"/>
      <c r="K5" s="20"/>
      <c r="L5" s="21"/>
    </row>
    <row r="6" spans="1:12" ht="30.75" thickBot="1" x14ac:dyDescent="0.3">
      <c r="A6" s="49" t="s">
        <v>2</v>
      </c>
      <c r="B6" s="52">
        <f>B2+(B4-1)/2*(B2+B3)*TAN(RADIANS(60))</f>
        <v>0.87942286340599451</v>
      </c>
      <c r="C6" s="52">
        <f>C2+(C4-1)/2*(C2+C3)*TAN(RADIANS(60))</f>
        <v>0.91059977794223435</v>
      </c>
      <c r="D6" s="51" t="s">
        <v>3</v>
      </c>
      <c r="E6" s="53"/>
      <c r="G6" s="4" t="s">
        <v>11</v>
      </c>
      <c r="H6" s="23">
        <f>I7</f>
        <v>1.25</v>
      </c>
      <c r="I6" s="31" t="s">
        <v>29</v>
      </c>
      <c r="J6" s="5" t="s">
        <v>3</v>
      </c>
      <c r="K6" s="5" t="s">
        <v>26</v>
      </c>
      <c r="L6" s="35" t="s">
        <v>28</v>
      </c>
    </row>
    <row r="7" spans="1:12" x14ac:dyDescent="0.25">
      <c r="A7" s="178" t="s">
        <v>30</v>
      </c>
      <c r="B7" s="178"/>
      <c r="C7" s="178"/>
      <c r="D7" s="178"/>
      <c r="E7" s="178"/>
      <c r="G7" s="4" t="s">
        <v>14</v>
      </c>
      <c r="H7" s="23">
        <f>H16</f>
        <v>12.1</v>
      </c>
      <c r="I7" s="23">
        <f>$H$22-H7</f>
        <v>1.25</v>
      </c>
      <c r="J7" s="5" t="s">
        <v>3</v>
      </c>
      <c r="K7" s="5" t="s">
        <v>26</v>
      </c>
      <c r="L7" s="33" t="s">
        <v>36</v>
      </c>
    </row>
    <row r="8" spans="1:12" ht="15.75" thickBot="1" x14ac:dyDescent="0.3">
      <c r="G8" s="19"/>
      <c r="H8" s="24"/>
      <c r="I8" s="24"/>
      <c r="J8" s="20" t="s">
        <v>3</v>
      </c>
      <c r="K8" s="20"/>
      <c r="L8" s="21"/>
    </row>
    <row r="9" spans="1:12" x14ac:dyDescent="0.25">
      <c r="A9" s="1"/>
      <c r="B9" s="44" t="s">
        <v>83</v>
      </c>
      <c r="C9" s="44" t="s">
        <v>82</v>
      </c>
      <c r="D9" s="2" t="s">
        <v>6</v>
      </c>
      <c r="E9" s="3" t="s">
        <v>5</v>
      </c>
      <c r="G9" s="4" t="s">
        <v>12</v>
      </c>
      <c r="H9" s="23">
        <v>0.2</v>
      </c>
      <c r="I9" s="31" t="s">
        <v>29</v>
      </c>
      <c r="J9" s="5" t="s">
        <v>3</v>
      </c>
      <c r="K9" s="5" t="s">
        <v>26</v>
      </c>
      <c r="L9" s="33" t="s">
        <v>38</v>
      </c>
    </row>
    <row r="10" spans="1:12" x14ac:dyDescent="0.25">
      <c r="A10" s="4" t="s">
        <v>0</v>
      </c>
      <c r="B10" s="23">
        <v>0.1</v>
      </c>
      <c r="C10" s="23">
        <v>0.1</v>
      </c>
      <c r="D10" s="29" t="s">
        <v>3</v>
      </c>
      <c r="E10" s="6" t="s">
        <v>4</v>
      </c>
      <c r="G10" s="4" t="s">
        <v>15</v>
      </c>
      <c r="H10" s="23">
        <v>0</v>
      </c>
      <c r="I10" s="23">
        <f>$H$22-H10</f>
        <v>13.35</v>
      </c>
      <c r="J10" s="5" t="s">
        <v>3</v>
      </c>
      <c r="K10" s="5"/>
      <c r="L10" s="34" t="s">
        <v>39</v>
      </c>
    </row>
    <row r="11" spans="1:12" x14ac:dyDescent="0.25">
      <c r="A11" s="4" t="s">
        <v>1</v>
      </c>
      <c r="B11" s="23">
        <v>0</v>
      </c>
      <c r="C11" s="23">
        <v>4.0000000000000001E-3</v>
      </c>
      <c r="D11" s="29" t="s">
        <v>3</v>
      </c>
      <c r="E11" s="6" t="s">
        <v>4</v>
      </c>
      <c r="G11" s="19"/>
      <c r="H11" s="24"/>
      <c r="I11" s="24"/>
      <c r="J11" s="20"/>
      <c r="K11" s="20"/>
      <c r="L11" s="21"/>
    </row>
    <row r="12" spans="1:12" x14ac:dyDescent="0.25">
      <c r="A12" s="18" t="s">
        <v>32</v>
      </c>
      <c r="B12" s="45">
        <v>10</v>
      </c>
      <c r="C12" s="45">
        <v>10</v>
      </c>
      <c r="D12" s="46" t="s">
        <v>3</v>
      </c>
      <c r="E12" s="6" t="s">
        <v>4</v>
      </c>
      <c r="G12" s="4" t="s">
        <v>16</v>
      </c>
      <c r="H12" s="23">
        <f>C6</f>
        <v>0.91059977794223435</v>
      </c>
      <c r="I12" s="31" t="s">
        <v>29</v>
      </c>
      <c r="J12" s="5" t="s">
        <v>3</v>
      </c>
      <c r="K12" s="5"/>
      <c r="L12" s="33" t="s">
        <v>33</v>
      </c>
    </row>
    <row r="13" spans="1:12" x14ac:dyDescent="0.25">
      <c r="A13" s="4" t="s">
        <v>63</v>
      </c>
      <c r="B13" s="23">
        <f>B10+B11</f>
        <v>0.1</v>
      </c>
      <c r="C13" s="23">
        <f>C10+C11</f>
        <v>0.10400000000000001</v>
      </c>
      <c r="D13" s="29" t="s">
        <v>3</v>
      </c>
      <c r="E13" s="6" t="s">
        <v>64</v>
      </c>
      <c r="G13" s="4" t="s">
        <v>17</v>
      </c>
      <c r="H13" s="23"/>
      <c r="I13" s="23">
        <f>$H$22-H13</f>
        <v>13.35</v>
      </c>
      <c r="J13" s="5" t="s">
        <v>3</v>
      </c>
      <c r="K13" s="5" t="s">
        <v>26</v>
      </c>
      <c r="L13" s="33" t="s">
        <v>37</v>
      </c>
    </row>
    <row r="14" spans="1:12" x14ac:dyDescent="0.25">
      <c r="A14" s="4" t="s">
        <v>65</v>
      </c>
      <c r="B14" s="23"/>
      <c r="C14" s="23">
        <v>0.91500000000000004</v>
      </c>
      <c r="D14" s="29" t="s">
        <v>3</v>
      </c>
      <c r="E14" s="6" t="s">
        <v>64</v>
      </c>
      <c r="G14" s="19"/>
      <c r="H14" s="24"/>
      <c r="I14" s="24"/>
      <c r="J14" s="20"/>
      <c r="K14" s="20"/>
      <c r="L14" s="21"/>
    </row>
    <row r="15" spans="1:12" x14ac:dyDescent="0.25">
      <c r="A15" s="4" t="s">
        <v>66</v>
      </c>
      <c r="B15" s="23">
        <f>B13*B14</f>
        <v>0</v>
      </c>
      <c r="C15" s="23">
        <f>C13*C14</f>
        <v>9.5160000000000008E-2</v>
      </c>
      <c r="D15" s="23" t="s">
        <v>67</v>
      </c>
      <c r="E15" s="6"/>
      <c r="G15" s="4" t="s">
        <v>18</v>
      </c>
      <c r="H15" s="23">
        <f>I16</f>
        <v>1.25</v>
      </c>
      <c r="I15" s="31" t="s">
        <v>29</v>
      </c>
      <c r="J15" s="5" t="s">
        <v>3</v>
      </c>
      <c r="K15" s="5" t="s">
        <v>26</v>
      </c>
      <c r="L15" s="33" t="s">
        <v>34</v>
      </c>
    </row>
    <row r="16" spans="1:12" x14ac:dyDescent="0.25">
      <c r="A16" s="4" t="s">
        <v>68</v>
      </c>
      <c r="B16" s="23"/>
      <c r="C16" s="23">
        <v>7.85E-2</v>
      </c>
      <c r="D16" s="29" t="s">
        <v>72</v>
      </c>
      <c r="E16" s="6" t="s">
        <v>64</v>
      </c>
      <c r="G16" s="4" t="s">
        <v>19</v>
      </c>
      <c r="H16" s="23">
        <f>-(I16-H4)</f>
        <v>12.1</v>
      </c>
      <c r="I16" s="23">
        <v>1.25</v>
      </c>
      <c r="J16" s="5" t="s">
        <v>3</v>
      </c>
      <c r="K16" s="5" t="s">
        <v>26</v>
      </c>
      <c r="L16" s="33" t="s">
        <v>35</v>
      </c>
    </row>
    <row r="17" spans="1:12" x14ac:dyDescent="0.25">
      <c r="A17" s="4" t="s">
        <v>69</v>
      </c>
      <c r="B17" s="23">
        <v>1</v>
      </c>
      <c r="C17" s="23">
        <v>1</v>
      </c>
      <c r="D17" s="29" t="s">
        <v>3</v>
      </c>
      <c r="E17" s="6"/>
      <c r="G17" s="19"/>
      <c r="H17" s="24"/>
      <c r="I17" s="24"/>
      <c r="J17" s="20"/>
      <c r="K17" s="20"/>
      <c r="L17" s="21"/>
    </row>
    <row r="18" spans="1:12" ht="60" x14ac:dyDescent="0.25">
      <c r="A18" s="4" t="s">
        <v>70</v>
      </c>
      <c r="B18" s="23">
        <f>B16/B17</f>
        <v>0</v>
      </c>
      <c r="C18" s="23">
        <f>C16/C17</f>
        <v>7.85E-2</v>
      </c>
      <c r="D18" s="29" t="s">
        <v>73</v>
      </c>
      <c r="E18" s="6"/>
      <c r="G18" s="4" t="s">
        <v>20</v>
      </c>
      <c r="H18" s="23">
        <f>H3</f>
        <v>5</v>
      </c>
      <c r="I18" s="31" t="s">
        <v>29</v>
      </c>
      <c r="J18" s="5" t="s">
        <v>3</v>
      </c>
      <c r="K18" s="5"/>
      <c r="L18" s="36" t="s">
        <v>27</v>
      </c>
    </row>
    <row r="19" spans="1:12" ht="45" x14ac:dyDescent="0.25">
      <c r="A19" s="18" t="s">
        <v>31</v>
      </c>
      <c r="B19" s="183" t="s">
        <v>71</v>
      </c>
      <c r="C19" s="183"/>
      <c r="D19" s="183"/>
      <c r="E19" s="6"/>
      <c r="G19" s="18" t="s">
        <v>21</v>
      </c>
      <c r="H19" s="23">
        <f>H4</f>
        <v>13.35</v>
      </c>
      <c r="I19" s="23">
        <f>$H$22-H19</f>
        <v>0</v>
      </c>
      <c r="J19" s="5" t="s">
        <v>3</v>
      </c>
      <c r="K19" s="5" t="s">
        <v>26</v>
      </c>
      <c r="L19" s="35" t="s">
        <v>41</v>
      </c>
    </row>
    <row r="20" spans="1:12" ht="15.75" thickBot="1" x14ac:dyDescent="0.3">
      <c r="A20" s="49" t="s">
        <v>58</v>
      </c>
      <c r="B20" s="50">
        <f>1-0.907</f>
        <v>9.2999999999999972E-2</v>
      </c>
      <c r="C20" s="50">
        <f>1-C18/C15</f>
        <v>0.17507356031946197</v>
      </c>
      <c r="D20" s="51" t="s">
        <v>29</v>
      </c>
      <c r="E20" s="47" t="s">
        <v>74</v>
      </c>
      <c r="G20" s="19"/>
      <c r="H20" s="24"/>
      <c r="I20" s="24"/>
      <c r="J20" s="20"/>
      <c r="K20" s="20"/>
      <c r="L20" s="21"/>
    </row>
    <row r="21" spans="1:12" x14ac:dyDescent="0.25">
      <c r="A21" s="178" t="s">
        <v>59</v>
      </c>
      <c r="B21" s="178"/>
      <c r="C21" s="178"/>
      <c r="D21" s="178"/>
      <c r="E21" s="178"/>
      <c r="G21" s="12" t="s">
        <v>23</v>
      </c>
      <c r="H21" s="25">
        <f>H3+H6+H9+H12+H15+H18</f>
        <v>13.610599777942234</v>
      </c>
      <c r="I21" s="32" t="s">
        <v>29</v>
      </c>
      <c r="J21" s="13" t="s">
        <v>3</v>
      </c>
      <c r="K21" s="37"/>
      <c r="L21" s="38"/>
    </row>
    <row r="22" spans="1:12" ht="15.75" thickBot="1" x14ac:dyDescent="0.3">
      <c r="G22" s="14" t="s">
        <v>24</v>
      </c>
      <c r="H22" s="26">
        <f>MAX(H4,H7,H10,H13,H16,H18)</f>
        <v>13.35</v>
      </c>
      <c r="I22" s="26">
        <f>H22-$H$22</f>
        <v>0</v>
      </c>
      <c r="J22" s="15" t="s">
        <v>3</v>
      </c>
      <c r="K22" s="39"/>
      <c r="L22" s="40"/>
    </row>
    <row r="23" spans="1:12" x14ac:dyDescent="0.25">
      <c r="A23" s="1"/>
      <c r="B23" s="44" t="s">
        <v>83</v>
      </c>
      <c r="C23" s="44" t="s">
        <v>82</v>
      </c>
      <c r="D23" s="2" t="s">
        <v>6</v>
      </c>
      <c r="E23" s="3" t="s">
        <v>5</v>
      </c>
      <c r="G23" s="180" t="s">
        <v>42</v>
      </c>
      <c r="H23" s="181"/>
      <c r="I23" s="181"/>
      <c r="J23" s="181"/>
      <c r="K23" s="181"/>
      <c r="L23" s="182"/>
    </row>
    <row r="24" spans="1:12" x14ac:dyDescent="0.25">
      <c r="A24" s="4" t="s">
        <v>0</v>
      </c>
      <c r="B24" s="23">
        <v>0.1</v>
      </c>
      <c r="C24" s="23">
        <v>0.1</v>
      </c>
      <c r="D24" s="29" t="s">
        <v>3</v>
      </c>
      <c r="E24" s="6"/>
      <c r="G24" s="12" t="s">
        <v>8</v>
      </c>
      <c r="H24" s="22" t="s">
        <v>9</v>
      </c>
      <c r="I24" s="22" t="s">
        <v>31</v>
      </c>
      <c r="J24" s="16" t="s">
        <v>6</v>
      </c>
      <c r="K24" s="16" t="s">
        <v>5</v>
      </c>
      <c r="L24" s="17" t="s">
        <v>25</v>
      </c>
    </row>
    <row r="25" spans="1:12" ht="45" customHeight="1" x14ac:dyDescent="0.25">
      <c r="A25" s="4" t="s">
        <v>77</v>
      </c>
      <c r="B25" s="23">
        <v>1</v>
      </c>
      <c r="C25" s="23">
        <v>1</v>
      </c>
      <c r="D25" s="29"/>
      <c r="E25" s="179" t="s">
        <v>79</v>
      </c>
      <c r="G25" s="18" t="s">
        <v>43</v>
      </c>
      <c r="H25" s="23">
        <v>0.5</v>
      </c>
      <c r="I25" s="24"/>
      <c r="J25" s="30" t="s">
        <v>47</v>
      </c>
      <c r="K25" s="5" t="s">
        <v>26</v>
      </c>
      <c r="L25" s="33" t="s">
        <v>62</v>
      </c>
    </row>
    <row r="26" spans="1:12" x14ac:dyDescent="0.25">
      <c r="A26" s="4" t="s">
        <v>78</v>
      </c>
      <c r="B26" s="23">
        <v>2.3199999999999998</v>
      </c>
      <c r="C26" s="23">
        <v>2.3199999999999998</v>
      </c>
      <c r="D26" s="29"/>
      <c r="E26" s="179"/>
      <c r="G26" s="18" t="s">
        <v>44</v>
      </c>
      <c r="H26" s="23">
        <v>0.1</v>
      </c>
      <c r="I26" s="24"/>
      <c r="J26" s="30" t="s">
        <v>47</v>
      </c>
      <c r="K26" s="5" t="s">
        <v>26</v>
      </c>
      <c r="L26" s="33" t="s">
        <v>62</v>
      </c>
    </row>
    <row r="27" spans="1:12" x14ac:dyDescent="0.25">
      <c r="A27" s="4" t="s">
        <v>80</v>
      </c>
      <c r="B27" s="23">
        <f>B20</f>
        <v>9.2999999999999972E-2</v>
      </c>
      <c r="C27" s="23">
        <f>C20</f>
        <v>0.17507356031946197</v>
      </c>
      <c r="D27" s="29"/>
      <c r="E27" s="6"/>
      <c r="G27" s="18" t="s">
        <v>45</v>
      </c>
      <c r="H27" s="23">
        <v>300</v>
      </c>
      <c r="I27" s="24"/>
      <c r="J27" s="30" t="s">
        <v>48</v>
      </c>
      <c r="K27" s="5" t="s">
        <v>26</v>
      </c>
      <c r="L27" s="33" t="s">
        <v>62</v>
      </c>
    </row>
    <row r="28" spans="1:12" x14ac:dyDescent="0.25">
      <c r="A28" s="4" t="str">
        <f>G31</f>
        <v>Viscous Resistance</v>
      </c>
      <c r="B28" s="23">
        <f>B25/B24^2*(80*(1-B27)^2/B27^3)</f>
        <v>8181929.1682673302</v>
      </c>
      <c r="C28" s="23">
        <f>C25/C24^2*(80*(1-C27)^2/C27^3)</f>
        <v>1014515.630734307</v>
      </c>
      <c r="D28" s="29" t="str">
        <f>J31</f>
        <v>m^-2</v>
      </c>
      <c r="E28" s="6"/>
      <c r="G28" s="18" t="s">
        <v>46</v>
      </c>
      <c r="H28" s="23">
        <v>0</v>
      </c>
      <c r="I28" s="24"/>
      <c r="J28" s="30" t="s">
        <v>49</v>
      </c>
      <c r="K28" s="5" t="s">
        <v>26</v>
      </c>
      <c r="L28" s="33" t="s">
        <v>62</v>
      </c>
    </row>
    <row r="29" spans="1:12" ht="15.75" thickBot="1" x14ac:dyDescent="0.3">
      <c r="A29" s="7" t="str">
        <f>G32</f>
        <v>Intertial Resistance</v>
      </c>
      <c r="B29" s="8">
        <f>B26/(2*B24)*((1-B27)/B27^3)</f>
        <v>13080.261625124174</v>
      </c>
      <c r="C29" s="8">
        <f>C26/(2*C24)*((1-C27)/C27^3)</f>
        <v>1783.2470797449826</v>
      </c>
      <c r="D29" s="9" t="str">
        <f>J32</f>
        <v>m^-1</v>
      </c>
      <c r="E29" s="10"/>
      <c r="G29" s="18" t="s">
        <v>50</v>
      </c>
      <c r="H29" s="28" t="s">
        <v>56</v>
      </c>
      <c r="I29" s="24"/>
      <c r="J29" s="41" t="s">
        <v>29</v>
      </c>
      <c r="K29" s="5"/>
      <c r="L29" s="6"/>
    </row>
    <row r="30" spans="1:12" x14ac:dyDescent="0.25">
      <c r="A30" s="178" t="s">
        <v>81</v>
      </c>
      <c r="B30" s="178"/>
      <c r="C30" s="178"/>
      <c r="D30" s="178"/>
      <c r="E30" s="178"/>
      <c r="G30" s="18" t="s">
        <v>51</v>
      </c>
      <c r="H30" s="28" t="s">
        <v>57</v>
      </c>
      <c r="I30" s="24"/>
      <c r="J30" s="41" t="s">
        <v>29</v>
      </c>
      <c r="K30" s="5"/>
      <c r="L30" s="6"/>
    </row>
    <row r="31" spans="1:12" x14ac:dyDescent="0.25">
      <c r="G31" s="18" t="s">
        <v>52</v>
      </c>
      <c r="H31" s="23">
        <f>C28</f>
        <v>1014515.630734307</v>
      </c>
      <c r="I31" s="28" t="s">
        <v>76</v>
      </c>
      <c r="J31" s="30" t="s">
        <v>54</v>
      </c>
      <c r="K31" s="5"/>
      <c r="L31" s="6"/>
    </row>
    <row r="32" spans="1:12" x14ac:dyDescent="0.25">
      <c r="G32" s="18" t="s">
        <v>53</v>
      </c>
      <c r="H32" s="23">
        <f>C29</f>
        <v>1783.2470797449826</v>
      </c>
      <c r="I32" s="54" t="s">
        <v>75</v>
      </c>
      <c r="J32" s="30" t="s">
        <v>55</v>
      </c>
      <c r="K32" s="5"/>
      <c r="L32" s="6"/>
    </row>
    <row r="33" spans="7:12" ht="15.75" thickBot="1" x14ac:dyDescent="0.3">
      <c r="G33" s="42" t="s">
        <v>58</v>
      </c>
      <c r="H33" s="8">
        <f>C20</f>
        <v>0.17507356031946197</v>
      </c>
      <c r="I33" s="8" t="str">
        <f>B19</f>
        <v>1-[AREA COVERED]/[TOTAL AREA]</v>
      </c>
      <c r="J33" s="43"/>
      <c r="K33" s="9"/>
      <c r="L33" s="48" t="s">
        <v>61</v>
      </c>
    </row>
    <row r="34" spans="7:12" x14ac:dyDescent="0.25">
      <c r="G34" s="30"/>
      <c r="H34" s="23"/>
      <c r="I34" s="23"/>
      <c r="J34" s="30"/>
      <c r="K34" s="5"/>
      <c r="L34" s="5"/>
    </row>
  </sheetData>
  <mergeCells count="8">
    <mergeCell ref="A30:E30"/>
    <mergeCell ref="E25:E26"/>
    <mergeCell ref="G1:L1"/>
    <mergeCell ref="B5:D5"/>
    <mergeCell ref="A7:E7"/>
    <mergeCell ref="G23:L23"/>
    <mergeCell ref="A21:E21"/>
    <mergeCell ref="B19:D19"/>
  </mergeCells>
  <phoneticPr fontId="6" type="noConversion"/>
  <hyperlinks>
    <hyperlink ref="E20" r:id="rId1" xr:uid="{15A84E1C-C173-4D7C-93AE-75CFB5157F1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A463-48D2-481E-8957-FF001401524E}">
  <dimension ref="A1:L37"/>
  <sheetViews>
    <sheetView topLeftCell="A34" workbookViewId="0">
      <selection activeCell="C14" sqref="C14"/>
    </sheetView>
  </sheetViews>
  <sheetFormatPr defaultRowHeight="15" x14ac:dyDescent="0.25"/>
  <cols>
    <col min="1" max="1" width="17.7109375" style="11" bestFit="1" customWidth="1"/>
    <col min="2" max="2" width="20.7109375" style="27" bestFit="1" customWidth="1"/>
    <col min="3" max="3" width="17.85546875" style="27" bestFit="1" customWidth="1"/>
    <col min="4" max="4" width="20.42578125" style="11" customWidth="1"/>
    <col min="5" max="5" width="43.28515625" style="11" bestFit="1" customWidth="1"/>
    <col min="6" max="6" width="9.140625" style="11"/>
    <col min="7" max="7" width="19.28515625" style="11" bestFit="1" customWidth="1"/>
    <col min="8" max="8" width="11.5703125" style="27" bestFit="1" customWidth="1"/>
    <col min="9" max="9" width="37" style="27" bestFit="1" customWidth="1"/>
    <col min="10" max="10" width="5" style="11" bestFit="1" customWidth="1"/>
    <col min="11" max="11" width="62.42578125" style="11" bestFit="1" customWidth="1"/>
    <col min="12" max="12" width="61.140625" style="11" bestFit="1" customWidth="1"/>
    <col min="13" max="16384" width="9.140625" style="11"/>
  </cols>
  <sheetData>
    <row r="1" spans="1:12" x14ac:dyDescent="0.25">
      <c r="A1" s="1"/>
      <c r="B1" s="44" t="s">
        <v>83</v>
      </c>
      <c r="C1" s="44" t="s">
        <v>82</v>
      </c>
      <c r="D1" s="2" t="s">
        <v>6</v>
      </c>
      <c r="E1" s="3" t="s">
        <v>5</v>
      </c>
      <c r="G1" s="180" t="s">
        <v>7</v>
      </c>
      <c r="H1" s="181"/>
      <c r="I1" s="181"/>
      <c r="J1" s="181"/>
      <c r="K1" s="181"/>
      <c r="L1" s="182"/>
    </row>
    <row r="2" spans="1:12" x14ac:dyDescent="0.25">
      <c r="A2" s="4" t="s">
        <v>0</v>
      </c>
      <c r="B2" s="23">
        <v>0.1</v>
      </c>
      <c r="C2" s="23">
        <v>0.1</v>
      </c>
      <c r="D2" s="56" t="s">
        <v>3</v>
      </c>
      <c r="E2" s="6" t="s">
        <v>4</v>
      </c>
      <c r="G2" s="12" t="s">
        <v>8</v>
      </c>
      <c r="H2" s="22" t="s">
        <v>9</v>
      </c>
      <c r="I2" s="22" t="s">
        <v>22</v>
      </c>
      <c r="J2" s="16" t="s">
        <v>6</v>
      </c>
      <c r="K2" s="16" t="s">
        <v>5</v>
      </c>
      <c r="L2" s="17" t="s">
        <v>25</v>
      </c>
    </row>
    <row r="3" spans="1:12" ht="60" x14ac:dyDescent="0.25">
      <c r="A3" s="4" t="s">
        <v>1</v>
      </c>
      <c r="B3" s="23">
        <v>0</v>
      </c>
      <c r="C3" s="23">
        <v>4.0000000000000001E-3</v>
      </c>
      <c r="D3" s="56" t="s">
        <v>3</v>
      </c>
      <c r="E3" s="6" t="s">
        <v>4</v>
      </c>
      <c r="G3" s="4" t="s">
        <v>10</v>
      </c>
      <c r="H3" s="23">
        <v>5</v>
      </c>
      <c r="I3" s="31" t="s">
        <v>29</v>
      </c>
      <c r="J3" s="56" t="s">
        <v>3</v>
      </c>
      <c r="K3" s="56"/>
      <c r="L3" s="36" t="s">
        <v>27</v>
      </c>
    </row>
    <row r="4" spans="1:12" x14ac:dyDescent="0.25">
      <c r="A4" s="18" t="s">
        <v>32</v>
      </c>
      <c r="B4" s="45">
        <v>10</v>
      </c>
      <c r="C4" s="45">
        <v>10</v>
      </c>
      <c r="D4" s="55" t="s">
        <v>3</v>
      </c>
      <c r="E4" s="6" t="s">
        <v>4</v>
      </c>
      <c r="G4" s="4" t="s">
        <v>13</v>
      </c>
      <c r="H4" s="23">
        <v>13.35</v>
      </c>
      <c r="I4" s="23">
        <f>$H$22-H4</f>
        <v>0</v>
      </c>
      <c r="J4" s="56" t="s">
        <v>3</v>
      </c>
      <c r="K4" s="56" t="s">
        <v>26</v>
      </c>
      <c r="L4" s="33" t="s">
        <v>40</v>
      </c>
    </row>
    <row r="5" spans="1:12" x14ac:dyDescent="0.25">
      <c r="A5" s="18" t="s">
        <v>31</v>
      </c>
      <c r="B5" s="183" t="s">
        <v>60</v>
      </c>
      <c r="C5" s="184"/>
      <c r="D5" s="184"/>
      <c r="E5" s="6"/>
      <c r="G5" s="19"/>
      <c r="H5" s="24"/>
      <c r="I5" s="24"/>
      <c r="J5" s="20"/>
      <c r="K5" s="20"/>
      <c r="L5" s="21"/>
    </row>
    <row r="6" spans="1:12" ht="30.75" thickBot="1" x14ac:dyDescent="0.3">
      <c r="A6" s="49" t="s">
        <v>2</v>
      </c>
      <c r="B6" s="52">
        <f>B2+(B4-1)/2*(B2+B3)*TAN(RADIANS(60))</f>
        <v>0.87942286340599451</v>
      </c>
      <c r="C6" s="52">
        <f>C2+(C4-1)/2*(C2+C3)*TAN(RADIANS(60))</f>
        <v>0.91059977794223435</v>
      </c>
      <c r="D6" s="51" t="s">
        <v>3</v>
      </c>
      <c r="E6" s="53"/>
      <c r="G6" s="4" t="s">
        <v>11</v>
      </c>
      <c r="H6" s="23">
        <f>I7</f>
        <v>1.25</v>
      </c>
      <c r="I6" s="31" t="s">
        <v>29</v>
      </c>
      <c r="J6" s="56" t="s">
        <v>3</v>
      </c>
      <c r="K6" s="56" t="s">
        <v>26</v>
      </c>
      <c r="L6" s="35" t="s">
        <v>28</v>
      </c>
    </row>
    <row r="7" spans="1:12" x14ac:dyDescent="0.25">
      <c r="A7" s="178" t="s">
        <v>30</v>
      </c>
      <c r="B7" s="178"/>
      <c r="C7" s="178"/>
      <c r="D7" s="178"/>
      <c r="E7" s="178"/>
      <c r="G7" s="4" t="s">
        <v>14</v>
      </c>
      <c r="H7" s="23">
        <f>H16</f>
        <v>12.1</v>
      </c>
      <c r="I7" s="23">
        <f>$H$22-H7</f>
        <v>1.25</v>
      </c>
      <c r="J7" s="56" t="s">
        <v>3</v>
      </c>
      <c r="K7" s="56" t="s">
        <v>26</v>
      </c>
      <c r="L7" s="33" t="s">
        <v>36</v>
      </c>
    </row>
    <row r="8" spans="1:12" ht="15.75" thickBot="1" x14ac:dyDescent="0.3">
      <c r="G8" s="19"/>
      <c r="H8" s="24"/>
      <c r="I8" s="24"/>
      <c r="J8" s="20" t="s">
        <v>3</v>
      </c>
      <c r="K8" s="20"/>
      <c r="L8" s="21"/>
    </row>
    <row r="9" spans="1:12" x14ac:dyDescent="0.25">
      <c r="A9" s="1"/>
      <c r="B9" s="44" t="s">
        <v>83</v>
      </c>
      <c r="C9" s="44" t="s">
        <v>82</v>
      </c>
      <c r="D9" s="2" t="s">
        <v>6</v>
      </c>
      <c r="E9" s="3" t="s">
        <v>5</v>
      </c>
      <c r="G9" s="4" t="s">
        <v>12</v>
      </c>
      <c r="H9" s="23">
        <v>0.2</v>
      </c>
      <c r="I9" s="31" t="s">
        <v>29</v>
      </c>
      <c r="J9" s="56" t="s">
        <v>3</v>
      </c>
      <c r="K9" s="56" t="s">
        <v>26</v>
      </c>
      <c r="L9" s="33" t="s">
        <v>38</v>
      </c>
    </row>
    <row r="10" spans="1:12" x14ac:dyDescent="0.25">
      <c r="A10" s="4" t="s">
        <v>0</v>
      </c>
      <c r="B10" s="23">
        <v>0.1</v>
      </c>
      <c r="C10" s="23">
        <v>0.1</v>
      </c>
      <c r="D10" s="56" t="s">
        <v>3</v>
      </c>
      <c r="E10" s="6" t="s">
        <v>4</v>
      </c>
      <c r="G10" s="4" t="s">
        <v>15</v>
      </c>
      <c r="H10" s="23">
        <v>0</v>
      </c>
      <c r="I10" s="23">
        <f>$H$22-H10</f>
        <v>13.35</v>
      </c>
      <c r="J10" s="56" t="s">
        <v>3</v>
      </c>
      <c r="K10" s="56"/>
      <c r="L10" s="34" t="s">
        <v>39</v>
      </c>
    </row>
    <row r="11" spans="1:12" x14ac:dyDescent="0.25">
      <c r="A11" s="4" t="s">
        <v>1</v>
      </c>
      <c r="B11" s="23">
        <v>0</v>
      </c>
      <c r="C11" s="23">
        <v>4.0000000000000001E-3</v>
      </c>
      <c r="D11" s="56" t="s">
        <v>3</v>
      </c>
      <c r="E11" s="6" t="s">
        <v>4</v>
      </c>
      <c r="G11" s="19"/>
      <c r="H11" s="24"/>
      <c r="I11" s="24"/>
      <c r="J11" s="20"/>
      <c r="K11" s="20"/>
      <c r="L11" s="21"/>
    </row>
    <row r="12" spans="1:12" x14ac:dyDescent="0.25">
      <c r="A12" s="18" t="s">
        <v>32</v>
      </c>
      <c r="B12" s="45">
        <v>10</v>
      </c>
      <c r="C12" s="45">
        <v>10</v>
      </c>
      <c r="D12" s="46" t="s">
        <v>3</v>
      </c>
      <c r="E12" s="6" t="s">
        <v>4</v>
      </c>
      <c r="G12" s="4" t="s">
        <v>16</v>
      </c>
      <c r="H12" s="23">
        <f>C6</f>
        <v>0.91059977794223435</v>
      </c>
      <c r="I12" s="31" t="s">
        <v>29</v>
      </c>
      <c r="J12" s="56" t="s">
        <v>3</v>
      </c>
      <c r="K12" s="56"/>
      <c r="L12" s="33" t="s">
        <v>33</v>
      </c>
    </row>
    <row r="13" spans="1:12" x14ac:dyDescent="0.25">
      <c r="A13" s="4" t="s">
        <v>63</v>
      </c>
      <c r="B13" s="23">
        <f>B10+B11</f>
        <v>0.1</v>
      </c>
      <c r="C13" s="23">
        <f>C10+C11</f>
        <v>0.10400000000000001</v>
      </c>
      <c r="D13" s="56" t="s">
        <v>3</v>
      </c>
      <c r="E13" s="6" t="s">
        <v>64</v>
      </c>
      <c r="G13" s="4" t="s">
        <v>17</v>
      </c>
      <c r="H13" s="23"/>
      <c r="I13" s="23">
        <f>$H$22-H13</f>
        <v>13.35</v>
      </c>
      <c r="J13" s="56" t="s">
        <v>3</v>
      </c>
      <c r="K13" s="56" t="s">
        <v>26</v>
      </c>
      <c r="L13" s="33" t="s">
        <v>37</v>
      </c>
    </row>
    <row r="14" spans="1:12" x14ac:dyDescent="0.25">
      <c r="A14" s="4" t="s">
        <v>65</v>
      </c>
      <c r="B14" s="23"/>
      <c r="C14" s="23">
        <v>0.91500000000000004</v>
      </c>
      <c r="D14" s="56" t="s">
        <v>3</v>
      </c>
      <c r="E14" s="6" t="s">
        <v>64</v>
      </c>
      <c r="G14" s="19"/>
      <c r="H14" s="24"/>
      <c r="I14" s="24"/>
      <c r="J14" s="20"/>
      <c r="K14" s="20"/>
      <c r="L14" s="21"/>
    </row>
    <row r="15" spans="1:12" x14ac:dyDescent="0.25">
      <c r="A15" s="4" t="s">
        <v>66</v>
      </c>
      <c r="B15" s="23">
        <f>B13*B14</f>
        <v>0</v>
      </c>
      <c r="C15" s="23">
        <f>C13*C14</f>
        <v>9.5160000000000008E-2</v>
      </c>
      <c r="D15" s="23" t="s">
        <v>67</v>
      </c>
      <c r="E15" s="6"/>
      <c r="G15" s="4" t="s">
        <v>18</v>
      </c>
      <c r="H15" s="23">
        <f>I16</f>
        <v>1.25</v>
      </c>
      <c r="I15" s="31" t="s">
        <v>29</v>
      </c>
      <c r="J15" s="56" t="s">
        <v>3</v>
      </c>
      <c r="K15" s="56" t="s">
        <v>26</v>
      </c>
      <c r="L15" s="33" t="s">
        <v>34</v>
      </c>
    </row>
    <row r="16" spans="1:12" x14ac:dyDescent="0.25">
      <c r="A16" s="4" t="s">
        <v>68</v>
      </c>
      <c r="B16" s="23"/>
      <c r="C16" s="23">
        <v>7.85E-2</v>
      </c>
      <c r="D16" s="56" t="s">
        <v>72</v>
      </c>
      <c r="E16" s="6" t="s">
        <v>64</v>
      </c>
      <c r="G16" s="4" t="s">
        <v>19</v>
      </c>
      <c r="H16" s="23">
        <f>-(I16-H4)</f>
        <v>12.1</v>
      </c>
      <c r="I16" s="23">
        <v>1.25</v>
      </c>
      <c r="J16" s="56" t="s">
        <v>3</v>
      </c>
      <c r="K16" s="56" t="s">
        <v>26</v>
      </c>
      <c r="L16" s="33" t="s">
        <v>35</v>
      </c>
    </row>
    <row r="17" spans="1:12" x14ac:dyDescent="0.25">
      <c r="A17" s="4" t="s">
        <v>69</v>
      </c>
      <c r="B17" s="23">
        <v>1</v>
      </c>
      <c r="C17" s="23">
        <v>1</v>
      </c>
      <c r="D17" s="56" t="s">
        <v>3</v>
      </c>
      <c r="E17" s="6"/>
      <c r="G17" s="19"/>
      <c r="H17" s="24"/>
      <c r="I17" s="24"/>
      <c r="J17" s="20"/>
      <c r="K17" s="20"/>
      <c r="L17" s="21"/>
    </row>
    <row r="18" spans="1:12" ht="60" x14ac:dyDescent="0.25">
      <c r="A18" s="4" t="s">
        <v>70</v>
      </c>
      <c r="B18" s="23">
        <f>B16/B17</f>
        <v>0</v>
      </c>
      <c r="C18" s="23">
        <f>C16/C17</f>
        <v>7.85E-2</v>
      </c>
      <c r="D18" s="56" t="s">
        <v>73</v>
      </c>
      <c r="E18" s="6"/>
      <c r="G18" s="4" t="s">
        <v>20</v>
      </c>
      <c r="H18" s="23">
        <f>H3</f>
        <v>5</v>
      </c>
      <c r="I18" s="31" t="s">
        <v>29</v>
      </c>
      <c r="J18" s="56" t="s">
        <v>3</v>
      </c>
      <c r="K18" s="56"/>
      <c r="L18" s="36" t="s">
        <v>27</v>
      </c>
    </row>
    <row r="19" spans="1:12" ht="45" x14ac:dyDescent="0.25">
      <c r="A19" s="18" t="s">
        <v>31</v>
      </c>
      <c r="B19" s="183" t="s">
        <v>71</v>
      </c>
      <c r="C19" s="183"/>
      <c r="D19" s="183"/>
      <c r="E19" s="6"/>
      <c r="G19" s="18" t="s">
        <v>21</v>
      </c>
      <c r="H19" s="23">
        <f>H4</f>
        <v>13.35</v>
      </c>
      <c r="I19" s="23">
        <f>$H$22-H19</f>
        <v>0</v>
      </c>
      <c r="J19" s="56" t="s">
        <v>3</v>
      </c>
      <c r="K19" s="56" t="s">
        <v>26</v>
      </c>
      <c r="L19" s="35" t="s">
        <v>41</v>
      </c>
    </row>
    <row r="20" spans="1:12" ht="15.75" thickBot="1" x14ac:dyDescent="0.3">
      <c r="A20" s="49" t="s">
        <v>58</v>
      </c>
      <c r="B20" s="50">
        <f>1-0.907</f>
        <v>9.2999999999999972E-2</v>
      </c>
      <c r="C20" s="50">
        <f>1-C18/C15</f>
        <v>0.17507356031946197</v>
      </c>
      <c r="D20" s="51" t="s">
        <v>29</v>
      </c>
      <c r="E20" s="47" t="s">
        <v>74</v>
      </c>
      <c r="G20" s="19"/>
      <c r="H20" s="24"/>
      <c r="I20" s="24"/>
      <c r="J20" s="20"/>
      <c r="K20" s="20"/>
      <c r="L20" s="21"/>
    </row>
    <row r="21" spans="1:12" x14ac:dyDescent="0.25">
      <c r="A21" s="178" t="s">
        <v>59</v>
      </c>
      <c r="B21" s="178"/>
      <c r="C21" s="178"/>
      <c r="D21" s="178"/>
      <c r="E21" s="178"/>
      <c r="G21" s="12" t="s">
        <v>23</v>
      </c>
      <c r="H21" s="25">
        <f>H3+H6+H9+H12+H15+H18</f>
        <v>13.610599777942234</v>
      </c>
      <c r="I21" s="32" t="s">
        <v>29</v>
      </c>
      <c r="J21" s="13" t="s">
        <v>3</v>
      </c>
      <c r="K21" s="37"/>
      <c r="L21" s="38"/>
    </row>
    <row r="22" spans="1:12" ht="15.75" thickBot="1" x14ac:dyDescent="0.3">
      <c r="G22" s="14" t="s">
        <v>24</v>
      </c>
      <c r="H22" s="26">
        <f>MAX(H4,H7,H10,H13,H16,H18)</f>
        <v>13.35</v>
      </c>
      <c r="I22" s="26">
        <f>H22-$H$22</f>
        <v>0</v>
      </c>
      <c r="J22" s="15" t="s">
        <v>3</v>
      </c>
      <c r="K22" s="39"/>
      <c r="L22" s="40"/>
    </row>
    <row r="23" spans="1:12" x14ac:dyDescent="0.25">
      <c r="A23" s="1"/>
      <c r="B23" s="44" t="s">
        <v>83</v>
      </c>
      <c r="C23" s="44" t="s">
        <v>82</v>
      </c>
      <c r="D23" s="2" t="s">
        <v>6</v>
      </c>
      <c r="E23" s="3" t="s">
        <v>5</v>
      </c>
      <c r="G23" s="180" t="s">
        <v>42</v>
      </c>
      <c r="H23" s="181"/>
      <c r="I23" s="181"/>
      <c r="J23" s="181"/>
      <c r="K23" s="181"/>
      <c r="L23" s="182"/>
    </row>
    <row r="24" spans="1:12" x14ac:dyDescent="0.25">
      <c r="A24" s="4" t="s">
        <v>0</v>
      </c>
      <c r="B24" s="23">
        <v>0.1</v>
      </c>
      <c r="C24" s="23">
        <v>0.1</v>
      </c>
      <c r="D24" s="56" t="s">
        <v>3</v>
      </c>
      <c r="E24" s="6"/>
      <c r="G24" s="12" t="s">
        <v>8</v>
      </c>
      <c r="H24" s="22" t="s">
        <v>9</v>
      </c>
      <c r="I24" s="22" t="s">
        <v>31</v>
      </c>
      <c r="J24" s="16" t="s">
        <v>6</v>
      </c>
      <c r="K24" s="16" t="s">
        <v>5</v>
      </c>
      <c r="L24" s="17" t="s">
        <v>25</v>
      </c>
    </row>
    <row r="25" spans="1:12" ht="45" customHeight="1" x14ac:dyDescent="0.25">
      <c r="A25" s="4" t="s">
        <v>77</v>
      </c>
      <c r="B25" s="23">
        <v>1</v>
      </c>
      <c r="C25" s="23">
        <v>1</v>
      </c>
      <c r="D25" s="56"/>
      <c r="E25" s="179" t="s">
        <v>79</v>
      </c>
      <c r="G25" s="18" t="s">
        <v>43</v>
      </c>
      <c r="H25" s="23">
        <v>0.5</v>
      </c>
      <c r="I25" s="24"/>
      <c r="J25" s="55" t="s">
        <v>47</v>
      </c>
      <c r="K25" s="56" t="s">
        <v>26</v>
      </c>
      <c r="L25" s="33" t="s">
        <v>62</v>
      </c>
    </row>
    <row r="26" spans="1:12" x14ac:dyDescent="0.25">
      <c r="A26" s="4" t="s">
        <v>78</v>
      </c>
      <c r="B26" s="23">
        <v>2.3199999999999998</v>
      </c>
      <c r="C26" s="23">
        <v>2.3199999999999998</v>
      </c>
      <c r="D26" s="56"/>
      <c r="E26" s="179"/>
      <c r="G26" s="18" t="s">
        <v>44</v>
      </c>
      <c r="H26" s="23">
        <v>0.1</v>
      </c>
      <c r="I26" s="24"/>
      <c r="J26" s="55" t="s">
        <v>47</v>
      </c>
      <c r="K26" s="56" t="s">
        <v>26</v>
      </c>
      <c r="L26" s="33" t="s">
        <v>62</v>
      </c>
    </row>
    <row r="27" spans="1:12" x14ac:dyDescent="0.25">
      <c r="A27" s="4" t="s">
        <v>80</v>
      </c>
      <c r="B27" s="23">
        <f>B20</f>
        <v>9.2999999999999972E-2</v>
      </c>
      <c r="C27" s="23">
        <f>C20</f>
        <v>0.17507356031946197</v>
      </c>
      <c r="D27" s="56"/>
      <c r="E27" s="6"/>
      <c r="G27" s="18" t="s">
        <v>45</v>
      </c>
      <c r="H27" s="23">
        <v>300</v>
      </c>
      <c r="I27" s="24"/>
      <c r="J27" s="55" t="s">
        <v>48</v>
      </c>
      <c r="K27" s="56" t="s">
        <v>26</v>
      </c>
      <c r="L27" s="33" t="s">
        <v>62</v>
      </c>
    </row>
    <row r="28" spans="1:12" x14ac:dyDescent="0.25">
      <c r="A28" s="4" t="str">
        <f>G31</f>
        <v>Viscous Resistance</v>
      </c>
      <c r="B28" s="23">
        <f>B25/B24^2*(80*(1-B27)^2/B27^3)</f>
        <v>8181929.1682673302</v>
      </c>
      <c r="C28" s="23">
        <f>C25/C24^2*(80*(1-C27)^2/C27^3)</f>
        <v>1014515.630734307</v>
      </c>
      <c r="D28" s="56" t="str">
        <f>J31</f>
        <v>m^-2</v>
      </c>
      <c r="E28" s="6"/>
      <c r="G28" s="18" t="s">
        <v>46</v>
      </c>
      <c r="H28" s="23">
        <v>0</v>
      </c>
      <c r="I28" s="24"/>
      <c r="J28" s="55" t="s">
        <v>49</v>
      </c>
      <c r="K28" s="56" t="s">
        <v>26</v>
      </c>
      <c r="L28" s="33" t="s">
        <v>62</v>
      </c>
    </row>
    <row r="29" spans="1:12" ht="15.75" thickBot="1" x14ac:dyDescent="0.3">
      <c r="A29" s="7" t="str">
        <f>G32</f>
        <v>Intertial Resistance</v>
      </c>
      <c r="B29" s="8">
        <f>B26/(2*B24)*((1-B27)/B27^3)</f>
        <v>13080.261625124174</v>
      </c>
      <c r="C29" s="8">
        <f>C26/(2*C24)*((1-C27)/C27^3)</f>
        <v>1783.2470797449826</v>
      </c>
      <c r="D29" s="9" t="str">
        <f>J32</f>
        <v>m^-1</v>
      </c>
      <c r="E29" s="10"/>
      <c r="G29" s="18" t="s">
        <v>50</v>
      </c>
      <c r="H29" s="28" t="s">
        <v>56</v>
      </c>
      <c r="I29" s="24"/>
      <c r="J29" s="41" t="s">
        <v>29</v>
      </c>
      <c r="K29" s="56"/>
      <c r="L29" s="6"/>
    </row>
    <row r="30" spans="1:12" x14ac:dyDescent="0.25">
      <c r="A30" s="178" t="s">
        <v>81</v>
      </c>
      <c r="B30" s="178"/>
      <c r="C30" s="178"/>
      <c r="D30" s="178"/>
      <c r="E30" s="178"/>
      <c r="G30" s="18" t="s">
        <v>51</v>
      </c>
      <c r="H30" s="28" t="s">
        <v>57</v>
      </c>
      <c r="I30" s="24"/>
      <c r="J30" s="41" t="s">
        <v>29</v>
      </c>
      <c r="K30" s="56"/>
      <c r="L30" s="6"/>
    </row>
    <row r="31" spans="1:12" ht="15.75" thickBot="1" x14ac:dyDescent="0.3">
      <c r="G31" s="18" t="s">
        <v>52</v>
      </c>
      <c r="H31" s="23">
        <f>C28</f>
        <v>1014515.630734307</v>
      </c>
      <c r="I31" s="28" t="s">
        <v>76</v>
      </c>
      <c r="J31" s="55" t="s">
        <v>54</v>
      </c>
      <c r="K31" s="56"/>
      <c r="L31" s="6"/>
    </row>
    <row r="32" spans="1:12" x14ac:dyDescent="0.25">
      <c r="A32" s="1"/>
      <c r="B32" s="44" t="s">
        <v>83</v>
      </c>
      <c r="C32" s="44" t="s">
        <v>82</v>
      </c>
      <c r="D32" s="2" t="s">
        <v>6</v>
      </c>
      <c r="E32" s="3" t="s">
        <v>5</v>
      </c>
      <c r="G32" s="18" t="s">
        <v>53</v>
      </c>
      <c r="H32" s="23">
        <f>C29</f>
        <v>1783.2470797449826</v>
      </c>
      <c r="I32" s="54" t="s">
        <v>75</v>
      </c>
      <c r="J32" s="55" t="s">
        <v>55</v>
      </c>
      <c r="K32" s="56"/>
      <c r="L32" s="6"/>
    </row>
    <row r="33" spans="1:12" ht="15.75" thickBot="1" x14ac:dyDescent="0.3">
      <c r="A33" s="4" t="s">
        <v>87</v>
      </c>
      <c r="B33" s="23">
        <f>B13</f>
        <v>0.1</v>
      </c>
      <c r="C33" s="23">
        <f>C13</f>
        <v>0.10400000000000001</v>
      </c>
      <c r="D33" s="56" t="s">
        <v>3</v>
      </c>
      <c r="E33" s="6"/>
      <c r="G33" s="42" t="s">
        <v>58</v>
      </c>
      <c r="H33" s="8">
        <f>C20</f>
        <v>0.17507356031946197</v>
      </c>
      <c r="I33" s="8" t="str">
        <f>B19</f>
        <v>1-[AREA COVERED]/[TOTAL AREA]</v>
      </c>
      <c r="J33" s="43"/>
      <c r="K33" s="9"/>
      <c r="L33" s="48" t="s">
        <v>61</v>
      </c>
    </row>
    <row r="34" spans="1:12" x14ac:dyDescent="0.25">
      <c r="A34" s="4" t="s">
        <v>84</v>
      </c>
      <c r="B34" s="45">
        <v>2</v>
      </c>
      <c r="C34" s="45">
        <v>2</v>
      </c>
      <c r="D34" s="56"/>
      <c r="E34" s="179" t="s">
        <v>79</v>
      </c>
      <c r="G34" s="55"/>
      <c r="H34" s="23"/>
      <c r="I34" s="23"/>
      <c r="J34" s="55"/>
      <c r="K34" s="56"/>
      <c r="L34" s="56"/>
    </row>
    <row r="35" spans="1:12" x14ac:dyDescent="0.25">
      <c r="A35" s="4" t="s">
        <v>85</v>
      </c>
      <c r="B35" s="45">
        <v>2</v>
      </c>
      <c r="C35" s="45">
        <v>2</v>
      </c>
      <c r="D35" s="56"/>
      <c r="E35" s="179"/>
    </row>
    <row r="36" spans="1:12" ht="15.75" thickBot="1" x14ac:dyDescent="0.3">
      <c r="A36" s="4" t="s">
        <v>86</v>
      </c>
      <c r="B36" s="23">
        <f>B33*B34*B35</f>
        <v>0.4</v>
      </c>
      <c r="C36" s="23">
        <f>C33*C34*C35</f>
        <v>0.41600000000000004</v>
      </c>
      <c r="D36" s="56" t="s">
        <v>3</v>
      </c>
      <c r="E36" s="6"/>
    </row>
    <row r="37" spans="1:12" x14ac:dyDescent="0.25">
      <c r="A37" s="178" t="s">
        <v>81</v>
      </c>
      <c r="B37" s="178"/>
      <c r="C37" s="178"/>
      <c r="D37" s="178"/>
      <c r="E37" s="178"/>
    </row>
  </sheetData>
  <mergeCells count="10">
    <mergeCell ref="A37:E37"/>
    <mergeCell ref="G1:L1"/>
    <mergeCell ref="B5:D5"/>
    <mergeCell ref="A7:E7"/>
    <mergeCell ref="B19:D19"/>
    <mergeCell ref="A21:E21"/>
    <mergeCell ref="G23:L23"/>
    <mergeCell ref="E25:E26"/>
    <mergeCell ref="A30:E30"/>
    <mergeCell ref="E34:E35"/>
  </mergeCells>
  <hyperlinks>
    <hyperlink ref="E20" r:id="rId1" xr:uid="{552FB7D8-EFD7-4E37-A13E-FCC4857CE8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FDEC-E159-4D74-A660-D918E7921FBB}">
  <dimension ref="A1:U45"/>
  <sheetViews>
    <sheetView topLeftCell="A7" workbookViewId="0">
      <selection activeCell="I14" sqref="I14"/>
    </sheetView>
  </sheetViews>
  <sheetFormatPr defaultRowHeight="15" x14ac:dyDescent="0.25"/>
  <cols>
    <col min="1" max="1" width="18.42578125" style="57" bestFit="1" customWidth="1"/>
    <col min="2" max="2" width="17.85546875" style="57" bestFit="1" customWidth="1"/>
    <col min="3" max="3" width="9.28515625" style="57" bestFit="1" customWidth="1"/>
    <col min="4" max="4" width="9.28515625" style="66" customWidth="1"/>
    <col min="5" max="5" width="9.28515625" style="66" bestFit="1" customWidth="1"/>
    <col min="6" max="6" width="9.28515625" style="66" customWidth="1"/>
    <col min="7" max="7" width="10.7109375" style="57" bestFit="1" customWidth="1"/>
    <col min="8" max="8" width="11.5703125" style="57" bestFit="1" customWidth="1"/>
    <col min="9" max="9" width="8.42578125" style="57" bestFit="1" customWidth="1"/>
    <col min="10" max="11" width="9.28515625" style="57" bestFit="1" customWidth="1"/>
    <col min="12" max="12" width="31.7109375" style="71" customWidth="1"/>
    <col min="13" max="13" width="19.42578125" style="57" customWidth="1"/>
    <col min="14" max="14" width="20.85546875" style="57" customWidth="1"/>
    <col min="15" max="15" width="19.42578125" style="57" customWidth="1"/>
    <col min="16" max="16" width="24.85546875" style="57" customWidth="1"/>
    <col min="17" max="17" width="24.85546875" style="57" bestFit="1" customWidth="1"/>
    <col min="18" max="18" width="20.85546875" style="57" bestFit="1" customWidth="1"/>
    <col min="19" max="19" width="19.5703125" style="57" bestFit="1" customWidth="1"/>
    <col min="20" max="20" width="19.5703125" style="57" hidden="1" customWidth="1"/>
    <col min="21" max="21" width="19.85546875" style="57" hidden="1" customWidth="1"/>
    <col min="22" max="16384" width="9.140625" style="57"/>
  </cols>
  <sheetData>
    <row r="1" spans="1:21" ht="45" x14ac:dyDescent="0.25">
      <c r="B1" s="57" t="s">
        <v>8</v>
      </c>
      <c r="C1" s="58" t="s">
        <v>117</v>
      </c>
      <c r="D1" s="65" t="s">
        <v>131</v>
      </c>
      <c r="E1" s="65" t="s">
        <v>107</v>
      </c>
      <c r="F1" s="65" t="s">
        <v>133</v>
      </c>
      <c r="G1" s="58" t="s">
        <v>92</v>
      </c>
      <c r="H1" s="58" t="s">
        <v>91</v>
      </c>
      <c r="I1" s="58" t="s">
        <v>108</v>
      </c>
      <c r="J1" s="58" t="s">
        <v>106</v>
      </c>
      <c r="K1" s="58" t="s">
        <v>105</v>
      </c>
      <c r="L1" s="70" t="s">
        <v>123</v>
      </c>
      <c r="M1" s="57" t="s">
        <v>58</v>
      </c>
      <c r="N1" s="58" t="s">
        <v>122</v>
      </c>
      <c r="O1" s="58" t="s">
        <v>0</v>
      </c>
      <c r="P1" s="58" t="s">
        <v>101</v>
      </c>
      <c r="Q1" s="58" t="s">
        <v>101</v>
      </c>
      <c r="R1" s="58" t="s">
        <v>103</v>
      </c>
      <c r="S1" s="58" t="s">
        <v>102</v>
      </c>
      <c r="T1" s="58" t="s">
        <v>102</v>
      </c>
      <c r="U1" s="58" t="s">
        <v>104</v>
      </c>
    </row>
    <row r="2" spans="1:21" x14ac:dyDescent="0.25">
      <c r="B2" s="57" t="s">
        <v>9</v>
      </c>
      <c r="C2" s="57" t="s">
        <v>29</v>
      </c>
      <c r="D2" s="66" t="s">
        <v>132</v>
      </c>
      <c r="E2" s="66" t="s">
        <v>88</v>
      </c>
      <c r="F2" s="66" t="s">
        <v>134</v>
      </c>
      <c r="G2" s="57" t="s">
        <v>32</v>
      </c>
      <c r="H2" s="57" t="s">
        <v>89</v>
      </c>
      <c r="I2" s="57" t="s">
        <v>113</v>
      </c>
      <c r="J2" s="57" t="s">
        <v>94</v>
      </c>
      <c r="K2" s="57" t="s">
        <v>93</v>
      </c>
      <c r="L2" s="71" t="s">
        <v>124</v>
      </c>
      <c r="M2" s="57" t="s">
        <v>90</v>
      </c>
      <c r="N2" s="57" t="s">
        <v>122</v>
      </c>
      <c r="O2" s="57" t="s">
        <v>0</v>
      </c>
      <c r="P2" s="57" t="s">
        <v>95</v>
      </c>
      <c r="Q2" s="57" t="s">
        <v>96</v>
      </c>
      <c r="R2" s="57" t="s">
        <v>97</v>
      </c>
      <c r="S2" s="57" t="s">
        <v>98</v>
      </c>
      <c r="T2" s="57" t="s">
        <v>99</v>
      </c>
      <c r="U2" s="57" t="s">
        <v>100</v>
      </c>
    </row>
    <row r="3" spans="1:21" ht="43.5" customHeight="1" x14ac:dyDescent="0.25">
      <c r="B3" s="57" t="s">
        <v>31</v>
      </c>
      <c r="C3" s="57" t="s">
        <v>29</v>
      </c>
      <c r="D3" s="66" t="s">
        <v>29</v>
      </c>
      <c r="E3" s="66" t="s">
        <v>29</v>
      </c>
      <c r="F3" s="66" t="s">
        <v>135</v>
      </c>
      <c r="G3" s="57" t="s">
        <v>29</v>
      </c>
      <c r="H3" s="57" t="s">
        <v>29</v>
      </c>
      <c r="I3" s="57" t="s">
        <v>29</v>
      </c>
      <c r="J3" s="57" t="s">
        <v>29</v>
      </c>
      <c r="K3" s="57" t="s">
        <v>29</v>
      </c>
    </row>
    <row r="4" spans="1:21" x14ac:dyDescent="0.25">
      <c r="B4" s="57" t="s">
        <v>114</v>
      </c>
      <c r="C4" s="57" t="s">
        <v>29</v>
      </c>
      <c r="D4" s="66" t="s">
        <v>3</v>
      </c>
      <c r="E4" s="66" t="str">
        <f>'2d'!D2</f>
        <v>mm</v>
      </c>
      <c r="F4" s="66" t="s">
        <v>3</v>
      </c>
      <c r="G4" s="57" t="s">
        <v>116</v>
      </c>
      <c r="H4" s="57" t="str">
        <f>E4</f>
        <v>mm</v>
      </c>
      <c r="I4" s="57" t="s">
        <v>115</v>
      </c>
      <c r="J4" s="57" t="str">
        <f>H4</f>
        <v>mm</v>
      </c>
      <c r="K4" s="57" t="str">
        <f>J4</f>
        <v>mm</v>
      </c>
      <c r="L4" s="71" t="s">
        <v>3</v>
      </c>
    </row>
    <row r="5" spans="1:21" ht="15.75" thickBot="1" x14ac:dyDescent="0.3">
      <c r="B5" s="57" t="s">
        <v>109</v>
      </c>
      <c r="C5" s="59"/>
      <c r="D5" s="67"/>
      <c r="E5" s="67"/>
      <c r="F5" s="67"/>
      <c r="G5" s="59"/>
      <c r="H5" s="59"/>
      <c r="I5" s="59"/>
      <c r="J5" s="59"/>
      <c r="K5" s="59"/>
      <c r="L5" s="72"/>
      <c r="M5" s="75"/>
      <c r="N5" s="75"/>
      <c r="O5" s="75"/>
      <c r="P5" s="75"/>
      <c r="Q5" s="75"/>
      <c r="R5" s="75"/>
      <c r="S5" s="75"/>
      <c r="T5" s="75"/>
      <c r="U5" s="75"/>
    </row>
    <row r="6" spans="1:21" s="76" customFormat="1" x14ac:dyDescent="0.25">
      <c r="A6" s="185" t="s">
        <v>118</v>
      </c>
      <c r="B6" s="96" t="s">
        <v>119</v>
      </c>
      <c r="C6" s="77" t="s">
        <v>29</v>
      </c>
      <c r="D6" s="78" t="s">
        <v>29</v>
      </c>
      <c r="E6" s="78">
        <v>7.0000000000000007E-2</v>
      </c>
      <c r="F6" s="78">
        <f>E6</f>
        <v>7.0000000000000007E-2</v>
      </c>
      <c r="G6" s="77">
        <v>200</v>
      </c>
      <c r="H6" s="77">
        <v>1.98</v>
      </c>
      <c r="I6" s="77">
        <v>45</v>
      </c>
      <c r="J6" s="77" t="s">
        <v>29</v>
      </c>
      <c r="K6" s="77" t="s">
        <v>29</v>
      </c>
      <c r="L6" s="79">
        <f t="shared" ref="L6:L14" si="0">E6+(SQRT(3)/2)*E6*((G6/COS(RADIANS(I6)))-1)</f>
        <v>17.155806421217335</v>
      </c>
      <c r="M6" s="80">
        <f>1-(PI()*E6^2*G6)/(4*H6*COS(RADIANS(I6)))</f>
        <v>0.45024933340969708</v>
      </c>
      <c r="N6" s="81">
        <f t="shared" ref="N6:N14" si="1">((1-M6)^2)/(M6^3*E6^2)</f>
        <v>675.73468830652382</v>
      </c>
      <c r="O6" s="81">
        <f t="shared" ref="O6:O14" si="2">((1-M6)^1)/(M6^3*E6^1)</f>
        <v>86.041602231848969</v>
      </c>
      <c r="P6" s="81">
        <f t="shared" ref="P6:P14" si="3">N6*80</f>
        <v>54058.775064521906</v>
      </c>
      <c r="Q6" s="81">
        <f>P6</f>
        <v>54058.775064521906</v>
      </c>
      <c r="R6" s="81">
        <f t="shared" ref="R6:R14" si="4">N6*M6*32</f>
        <v>9735.9709750982965</v>
      </c>
      <c r="S6" s="81">
        <f>1.16*O6</f>
        <v>99.808258588944796</v>
      </c>
      <c r="T6" s="81">
        <f>S6</f>
        <v>99.808258588944796</v>
      </c>
      <c r="U6" s="81">
        <v>0</v>
      </c>
    </row>
    <row r="7" spans="1:21" s="82" customFormat="1" x14ac:dyDescent="0.25">
      <c r="A7" s="186"/>
      <c r="B7" s="97" t="s">
        <v>120</v>
      </c>
      <c r="C7" s="83" t="s">
        <v>29</v>
      </c>
      <c r="D7" s="84" t="s">
        <v>29</v>
      </c>
      <c r="E7" s="84">
        <v>7.0000000000000007E-2</v>
      </c>
      <c r="F7" s="84">
        <f>E7</f>
        <v>7.0000000000000007E-2</v>
      </c>
      <c r="G7" s="83">
        <v>200</v>
      </c>
      <c r="H7" s="83">
        <v>1.21</v>
      </c>
      <c r="I7" s="83">
        <v>45</v>
      </c>
      <c r="J7" s="83" t="s">
        <v>29</v>
      </c>
      <c r="K7" s="83" t="s">
        <v>29</v>
      </c>
      <c r="L7" s="85">
        <f t="shared" si="0"/>
        <v>17.155806421217335</v>
      </c>
      <c r="M7" s="86">
        <f>1-(PI()*E7^2*G7)/(4*H7*COS(RADIANS(I7)))</f>
        <v>0.10040800012495887</v>
      </c>
      <c r="N7" s="87">
        <f t="shared" si="1"/>
        <v>163151.14942013402</v>
      </c>
      <c r="O7" s="87">
        <f t="shared" si="2"/>
        <v>12695.289043250463</v>
      </c>
      <c r="P7" s="87">
        <f t="shared" si="3"/>
        <v>13052091.953610722</v>
      </c>
      <c r="Q7" s="87">
        <f t="shared" ref="Q7:Q14" si="5">P7</f>
        <v>13052091.953610722</v>
      </c>
      <c r="R7" s="87">
        <f t="shared" si="4"/>
        <v>524213.78020364803</v>
      </c>
      <c r="S7" s="87">
        <f t="shared" ref="S7:S12" si="6">1.16*O7</f>
        <v>14726.535290170536</v>
      </c>
      <c r="T7" s="87">
        <f t="shared" ref="T7:T14" si="7">S7</f>
        <v>14726.535290170536</v>
      </c>
      <c r="U7" s="87">
        <f t="shared" ref="U7:U12" si="8">U6</f>
        <v>0</v>
      </c>
    </row>
    <row r="8" spans="1:21" s="82" customFormat="1" ht="15.75" thickBot="1" x14ac:dyDescent="0.3">
      <c r="A8" s="187"/>
      <c r="B8" s="97" t="s">
        <v>121</v>
      </c>
      <c r="C8" s="83" t="s">
        <v>29</v>
      </c>
      <c r="D8" s="84" t="s">
        <v>29</v>
      </c>
      <c r="E8" s="84">
        <v>0.15</v>
      </c>
      <c r="F8" s="84">
        <f>E8</f>
        <v>0.15</v>
      </c>
      <c r="G8" s="83">
        <v>50</v>
      </c>
      <c r="H8" s="83">
        <v>1.4</v>
      </c>
      <c r="I8" s="83">
        <v>45</v>
      </c>
      <c r="J8" s="83" t="s">
        <v>29</v>
      </c>
      <c r="K8" s="83" t="s">
        <v>29</v>
      </c>
      <c r="L8" s="85">
        <f t="shared" si="0"/>
        <v>9.2056827248692503</v>
      </c>
      <c r="M8" s="86">
        <f>1-(PI()*E8^2*G8)/(4*H8*COS(RADIANS(I8)))</f>
        <v>0.10745655260211395</v>
      </c>
      <c r="N8" s="87">
        <f t="shared" si="1"/>
        <v>28534.975452552764</v>
      </c>
      <c r="O8" s="87">
        <f t="shared" si="2"/>
        <v>4795.5607431341414</v>
      </c>
      <c r="P8" s="87">
        <f t="shared" si="3"/>
        <v>2282798.0362042212</v>
      </c>
      <c r="Q8" s="87">
        <f t="shared" si="5"/>
        <v>2282798.0362042212</v>
      </c>
      <c r="R8" s="87">
        <f t="shared" si="4"/>
        <v>98120.642902952532</v>
      </c>
      <c r="S8" s="87">
        <f t="shared" si="6"/>
        <v>5562.8504620356034</v>
      </c>
      <c r="T8" s="87">
        <f t="shared" si="7"/>
        <v>5562.8504620356034</v>
      </c>
      <c r="U8" s="87">
        <f t="shared" si="8"/>
        <v>0</v>
      </c>
    </row>
    <row r="9" spans="1:21" s="76" customFormat="1" x14ac:dyDescent="0.25">
      <c r="A9" s="185" t="s">
        <v>112</v>
      </c>
      <c r="B9" s="76" t="s">
        <v>110</v>
      </c>
      <c r="C9" s="77">
        <v>10</v>
      </c>
      <c r="D9" s="78">
        <v>0</v>
      </c>
      <c r="E9" s="78">
        <f>'2d'!B2</f>
        <v>0.1</v>
      </c>
      <c r="F9" s="78">
        <f>E9+D9</f>
        <v>0.1</v>
      </c>
      <c r="G9" s="77">
        <f>C9*COS(RADIANS(I9))/E9</f>
        <v>76.604444311897794</v>
      </c>
      <c r="H9" s="77">
        <f>'2d'!H12</f>
        <v>0.91059977794223435</v>
      </c>
      <c r="I9" s="77">
        <v>40</v>
      </c>
      <c r="J9" s="77">
        <f>'2d'!I7</f>
        <v>1.25</v>
      </c>
      <c r="K9" s="77">
        <v>0</v>
      </c>
      <c r="L9" s="79">
        <f t="shared" si="0"/>
        <v>8.6736514974659418</v>
      </c>
      <c r="M9" s="80">
        <f>(1-0.90689)/COS(RADIANS(I8))</f>
        <v>0.13167742479255889</v>
      </c>
      <c r="N9" s="81">
        <f t="shared" si="1"/>
        <v>33023.888632696551</v>
      </c>
      <c r="O9" s="81">
        <f t="shared" si="2"/>
        <v>3803.1820864276388</v>
      </c>
      <c r="P9" s="81">
        <f t="shared" si="3"/>
        <v>2641911.0906157242</v>
      </c>
      <c r="Q9" s="81">
        <f t="shared" si="5"/>
        <v>2641911.0906157242</v>
      </c>
      <c r="R9" s="81">
        <f t="shared" si="4"/>
        <v>139152.01957727171</v>
      </c>
      <c r="S9" s="81">
        <f t="shared" si="6"/>
        <v>4411.6912202560607</v>
      </c>
      <c r="T9" s="81">
        <f t="shared" si="7"/>
        <v>4411.6912202560607</v>
      </c>
      <c r="U9" s="81">
        <f t="shared" si="8"/>
        <v>0</v>
      </c>
    </row>
    <row r="10" spans="1:21" s="82" customFormat="1" x14ac:dyDescent="0.25">
      <c r="A10" s="186"/>
      <c r="B10" s="82" t="s">
        <v>111</v>
      </c>
      <c r="C10" s="83">
        <v>10</v>
      </c>
      <c r="D10" s="84">
        <v>4.0000000000000001E-3</v>
      </c>
      <c r="E10" s="84">
        <f>'2d'!C2+'2d'!C3</f>
        <v>0.10400000000000001</v>
      </c>
      <c r="F10" s="84">
        <f>E10</f>
        <v>0.10400000000000001</v>
      </c>
      <c r="G10" s="83">
        <f>C10*COS(RADIANS(I10))/E10</f>
        <v>73.658119530670959</v>
      </c>
      <c r="H10" s="83">
        <f>H9</f>
        <v>0.91059977794223435</v>
      </c>
      <c r="I10" s="83">
        <f>I9</f>
        <v>40</v>
      </c>
      <c r="J10" s="83">
        <f>J9</f>
        <v>1.25</v>
      </c>
      <c r="K10" s="83">
        <f>K9</f>
        <v>0</v>
      </c>
      <c r="L10" s="85">
        <f t="shared" si="0"/>
        <v>8.6741873958508044</v>
      </c>
      <c r="M10" s="86">
        <f>1-(PI()*E10^2*G10)/(4*H10*COS(RADIANS(I10)))</f>
        <v>0.10299331306759607</v>
      </c>
      <c r="N10" s="87">
        <f t="shared" si="1"/>
        <v>68092.236143096394</v>
      </c>
      <c r="O10" s="87">
        <f t="shared" si="2"/>
        <v>7894.6931634364473</v>
      </c>
      <c r="P10" s="87">
        <f t="shared" si="3"/>
        <v>5447378.8914477117</v>
      </c>
      <c r="Q10" s="87">
        <f t="shared" si="5"/>
        <v>5447378.8914477117</v>
      </c>
      <c r="R10" s="87">
        <f t="shared" si="4"/>
        <v>224417.43982587542</v>
      </c>
      <c r="S10" s="87">
        <f t="shared" si="6"/>
        <v>9157.8440695862791</v>
      </c>
      <c r="T10" s="87">
        <f t="shared" si="7"/>
        <v>9157.8440695862791</v>
      </c>
      <c r="U10" s="87">
        <f t="shared" si="8"/>
        <v>0</v>
      </c>
    </row>
    <row r="11" spans="1:21" s="82" customFormat="1" x14ac:dyDescent="0.25">
      <c r="A11" s="186"/>
      <c r="B11" s="88" t="s">
        <v>129</v>
      </c>
      <c r="C11" s="83">
        <v>10</v>
      </c>
      <c r="D11" s="84">
        <v>0</v>
      </c>
      <c r="E11" s="84">
        <v>0.1</v>
      </c>
      <c r="F11" s="84">
        <f>E11+D11</f>
        <v>0.1</v>
      </c>
      <c r="G11" s="83">
        <f>C11*COS(RADIANS(I11))/F11</f>
        <v>76.604444311897794</v>
      </c>
      <c r="H11" s="83">
        <f>F11*COS(RADIANS(30))*(C11-1)+E11</f>
        <v>0.87942286340599485</v>
      </c>
      <c r="I11" s="83">
        <v>40</v>
      </c>
      <c r="J11" s="83">
        <f t="shared" ref="J11:K13" si="9">J10</f>
        <v>1.25</v>
      </c>
      <c r="K11" s="83">
        <f t="shared" si="9"/>
        <v>0</v>
      </c>
      <c r="L11" s="85">
        <f t="shared" si="0"/>
        <v>8.6736514974659418</v>
      </c>
      <c r="M11" s="86">
        <f>1-(PI()*E11^2*G11)/(4*H11*COS(RADIANS(I11)))</f>
        <v>0.10691636972501484</v>
      </c>
      <c r="N11" s="87">
        <f t="shared" si="1"/>
        <v>65260.687657264229</v>
      </c>
      <c r="O11" s="87">
        <f t="shared" si="2"/>
        <v>7307.343393716681</v>
      </c>
      <c r="P11" s="87">
        <f t="shared" si="3"/>
        <v>5220855.0125811379</v>
      </c>
      <c r="Q11" s="87">
        <f t="shared" si="5"/>
        <v>5220855.0125811379</v>
      </c>
      <c r="R11" s="87">
        <f t="shared" si="4"/>
        <v>223277.9459223288</v>
      </c>
      <c r="S11" s="87">
        <f t="shared" si="6"/>
        <v>8476.5183367113495</v>
      </c>
      <c r="T11" s="87">
        <f>S11</f>
        <v>8476.5183367113495</v>
      </c>
      <c r="U11" s="87">
        <f t="shared" si="8"/>
        <v>0</v>
      </c>
    </row>
    <row r="12" spans="1:21" s="82" customFormat="1" x14ac:dyDescent="0.25">
      <c r="A12" s="186"/>
      <c r="B12" s="88" t="s">
        <v>130</v>
      </c>
      <c r="C12" s="83">
        <v>10</v>
      </c>
      <c r="D12" s="84">
        <v>4.0000000000000001E-3</v>
      </c>
      <c r="E12" s="84">
        <v>0.1</v>
      </c>
      <c r="F12" s="84">
        <f>E12+D12</f>
        <v>0.10400000000000001</v>
      </c>
      <c r="G12" s="83">
        <f>C12*COS(RADIANS(I12))/F12</f>
        <v>73.658119530670959</v>
      </c>
      <c r="H12" s="83">
        <f>F12*COS(RADIANS(30))*(C12-1)+E12</f>
        <v>0.91059977794223468</v>
      </c>
      <c r="I12" s="83">
        <v>40</v>
      </c>
      <c r="J12" s="83">
        <f t="shared" si="9"/>
        <v>1.25</v>
      </c>
      <c r="K12" s="83">
        <f t="shared" si="9"/>
        <v>0</v>
      </c>
      <c r="L12" s="85">
        <f t="shared" si="0"/>
        <v>8.340564803702696</v>
      </c>
      <c r="M12" s="86">
        <f>1-(PI()*E12^2*G12)/(4*H12*COS(RADIANS(I12)))</f>
        <v>0.17066689447817729</v>
      </c>
      <c r="N12" s="87">
        <f t="shared" si="1"/>
        <v>13835.987025983492</v>
      </c>
      <c r="O12" s="87">
        <f t="shared" si="2"/>
        <v>1668.3268681620741</v>
      </c>
      <c r="P12" s="87">
        <f t="shared" si="3"/>
        <v>1106878.9620786794</v>
      </c>
      <c r="Q12" s="87">
        <f t="shared" si="5"/>
        <v>1106878.9620786794</v>
      </c>
      <c r="R12" s="87">
        <f t="shared" si="4"/>
        <v>75563.038008478543</v>
      </c>
      <c r="S12" s="87">
        <f t="shared" si="6"/>
        <v>1935.2591670680058</v>
      </c>
      <c r="T12" s="87">
        <f>S12</f>
        <v>1935.2591670680058</v>
      </c>
      <c r="U12" s="87">
        <f t="shared" si="8"/>
        <v>0</v>
      </c>
    </row>
    <row r="13" spans="1:21" s="95" customFormat="1" ht="15.75" thickBot="1" x14ac:dyDescent="0.3">
      <c r="A13" s="187"/>
      <c r="B13" s="89" t="s">
        <v>136</v>
      </c>
      <c r="C13" s="90">
        <v>10</v>
      </c>
      <c r="D13" s="91">
        <v>4.0000000000000001E-3</v>
      </c>
      <c r="E13" s="91">
        <v>0.1</v>
      </c>
      <c r="F13" s="91">
        <f>E13+D13</f>
        <v>0.10400000000000001</v>
      </c>
      <c r="G13" s="90">
        <f>C13*COS(RADIANS(I13))/F13</f>
        <v>73.658119530670959</v>
      </c>
      <c r="H13" s="90">
        <f>F13*COS(RADIANS(30))*(C13-1)+E13</f>
        <v>0.91059977794223468</v>
      </c>
      <c r="I13" s="90">
        <v>40</v>
      </c>
      <c r="J13" s="90">
        <f t="shared" si="9"/>
        <v>1.25</v>
      </c>
      <c r="K13" s="90">
        <f t="shared" si="9"/>
        <v>0</v>
      </c>
      <c r="L13" s="92">
        <f>E13+(SQRT(3)/2)*E13*((G13/COS(RADIANS(I13)))-1)</f>
        <v>8.340564803702696</v>
      </c>
      <c r="M13" s="93">
        <v>0.192</v>
      </c>
      <c r="N13" s="94">
        <f>((1-M13)^2)/(M13^3*E13^2)</f>
        <v>9223.9945023148139</v>
      </c>
      <c r="O13" s="94">
        <f>((1-M13)^1)/(M13^3*E13^1)</f>
        <v>1141.5834780092594</v>
      </c>
      <c r="P13" s="94">
        <f>N13*66.67</f>
        <v>614963.71346932871</v>
      </c>
      <c r="Q13" s="94">
        <f t="shared" si="5"/>
        <v>614963.71346932871</v>
      </c>
      <c r="R13" s="94">
        <f>0.4*M13*N13</f>
        <v>708.40277777777771</v>
      </c>
      <c r="S13" s="94">
        <f>2.33*O13</f>
        <v>2659.8895037615744</v>
      </c>
      <c r="T13" s="94">
        <f>S13</f>
        <v>2659.8895037615744</v>
      </c>
      <c r="U13" s="94">
        <v>0</v>
      </c>
    </row>
    <row r="14" spans="1:21" s="95" customFormat="1" ht="15.75" thickBot="1" x14ac:dyDescent="0.3">
      <c r="A14" s="98" t="s">
        <v>125</v>
      </c>
      <c r="B14" s="95" t="s">
        <v>126</v>
      </c>
      <c r="C14" s="90" t="s">
        <v>29</v>
      </c>
      <c r="D14" s="91"/>
      <c r="E14" s="91">
        <v>1</v>
      </c>
      <c r="F14" s="91"/>
      <c r="G14" s="90">
        <f>((H14-E14)*2/SQRT(3)/E14+1)*COS(RADIANS(I14))</f>
        <v>0.68696530407561518</v>
      </c>
      <c r="H14" s="90">
        <f>H10</f>
        <v>0.91059977794223435</v>
      </c>
      <c r="I14" s="90">
        <f>I10</f>
        <v>40</v>
      </c>
      <c r="J14" s="90">
        <f>J10</f>
        <v>1.25</v>
      </c>
      <c r="K14" s="90">
        <v>0</v>
      </c>
      <c r="L14" s="92">
        <f t="shared" si="0"/>
        <v>0.91059977794223435</v>
      </c>
      <c r="M14" s="93">
        <v>0.05</v>
      </c>
      <c r="N14" s="94">
        <f t="shared" si="1"/>
        <v>7219.9999999999982</v>
      </c>
      <c r="O14" s="94">
        <f t="shared" si="2"/>
        <v>7599.9999999999982</v>
      </c>
      <c r="P14" s="94">
        <f t="shared" si="3"/>
        <v>577599.99999999988</v>
      </c>
      <c r="Q14" s="94">
        <f t="shared" si="5"/>
        <v>577599.99999999988</v>
      </c>
      <c r="R14" s="94">
        <f t="shared" si="4"/>
        <v>11551.999999999998</v>
      </c>
      <c r="S14" s="94">
        <f>1.16*O14</f>
        <v>8815.9999999999982</v>
      </c>
      <c r="T14" s="94">
        <f t="shared" si="7"/>
        <v>8815.9999999999982</v>
      </c>
      <c r="U14" s="94">
        <f>U10</f>
        <v>0</v>
      </c>
    </row>
    <row r="15" spans="1:21" x14ac:dyDescent="0.25">
      <c r="C15" s="62"/>
      <c r="D15" s="63"/>
      <c r="E15" s="63"/>
      <c r="F15" s="63"/>
      <c r="G15" s="62"/>
      <c r="H15" s="62"/>
      <c r="I15" s="62"/>
      <c r="J15" s="62"/>
      <c r="K15" s="62"/>
      <c r="L15" s="64"/>
      <c r="M15" s="62"/>
      <c r="N15" s="62"/>
      <c r="O15" s="62"/>
      <c r="P15" s="62"/>
      <c r="Q15" s="62"/>
      <c r="R15" s="62"/>
      <c r="S15" s="62"/>
      <c r="T15" s="62"/>
      <c r="U15" s="62"/>
    </row>
    <row r="16" spans="1:21" x14ac:dyDescent="0.25">
      <c r="A16" s="57" t="s">
        <v>127</v>
      </c>
      <c r="B16" s="57" t="s">
        <v>128</v>
      </c>
      <c r="C16" s="62"/>
      <c r="D16" s="63"/>
      <c r="E16" s="63"/>
      <c r="F16" s="63"/>
      <c r="G16" s="62"/>
      <c r="H16" s="62"/>
      <c r="I16" s="62"/>
      <c r="J16" s="62"/>
      <c r="K16" s="62"/>
      <c r="L16" s="64"/>
      <c r="M16" s="62"/>
      <c r="N16" s="62"/>
      <c r="O16" s="62"/>
      <c r="P16" s="62"/>
      <c r="Q16" s="62"/>
      <c r="R16" s="62"/>
      <c r="S16" s="62"/>
      <c r="T16" s="62"/>
      <c r="U16" s="62"/>
    </row>
    <row r="17" spans="3:21" x14ac:dyDescent="0.25">
      <c r="C17" s="62"/>
      <c r="D17" s="63"/>
      <c r="E17" s="63"/>
      <c r="F17" s="63"/>
      <c r="G17" s="62"/>
      <c r="H17" s="62"/>
      <c r="I17" s="62"/>
      <c r="J17" s="62"/>
      <c r="K17" s="62"/>
      <c r="L17" s="64"/>
      <c r="M17" s="62"/>
      <c r="N17" s="62"/>
      <c r="O17" s="62"/>
      <c r="P17" s="62"/>
      <c r="Q17" s="62"/>
      <c r="R17" s="62"/>
      <c r="S17" s="62"/>
      <c r="T17" s="62"/>
      <c r="U17" s="62"/>
    </row>
    <row r="18" spans="3:21" x14ac:dyDescent="0.25">
      <c r="C18" s="62"/>
      <c r="D18" s="63"/>
      <c r="E18" s="63"/>
      <c r="F18" s="63"/>
      <c r="G18" s="62"/>
      <c r="H18" s="62"/>
      <c r="I18" s="62"/>
      <c r="J18" s="62"/>
      <c r="K18" s="62"/>
      <c r="L18" s="64"/>
      <c r="M18" s="62"/>
      <c r="N18" s="62"/>
      <c r="O18" s="62"/>
      <c r="P18" s="62"/>
      <c r="Q18" s="62"/>
      <c r="R18" s="62"/>
      <c r="S18" s="62"/>
      <c r="T18" s="62"/>
      <c r="U18" s="62"/>
    </row>
    <row r="19" spans="3:21" x14ac:dyDescent="0.25">
      <c r="C19" s="62"/>
      <c r="D19" s="63"/>
      <c r="E19" s="63"/>
      <c r="F19" s="63"/>
      <c r="G19" s="62"/>
      <c r="H19" s="62"/>
      <c r="I19" s="62"/>
      <c r="J19" s="62"/>
      <c r="K19" s="62"/>
      <c r="L19" s="64"/>
      <c r="M19" s="62"/>
      <c r="N19" s="62"/>
      <c r="O19" s="62"/>
      <c r="P19" s="62"/>
      <c r="Q19" s="62"/>
      <c r="R19" s="62"/>
      <c r="S19" s="62"/>
      <c r="T19" s="62"/>
      <c r="U19" s="62"/>
    </row>
    <row r="20" spans="3:21" x14ac:dyDescent="0.25">
      <c r="C20" s="62"/>
      <c r="D20" s="63"/>
      <c r="E20" s="63"/>
      <c r="F20" s="63"/>
      <c r="G20" s="62"/>
      <c r="H20" s="62"/>
      <c r="I20" s="62"/>
      <c r="J20" s="62"/>
      <c r="K20" s="62"/>
      <c r="L20" s="64"/>
      <c r="M20" s="62"/>
      <c r="N20" s="62"/>
      <c r="O20" s="62"/>
      <c r="P20" s="62"/>
      <c r="Q20" s="62"/>
      <c r="R20" s="62"/>
      <c r="S20" s="62"/>
      <c r="T20" s="62"/>
      <c r="U20" s="62"/>
    </row>
    <row r="21" spans="3:21" x14ac:dyDescent="0.25">
      <c r="C21" s="62"/>
      <c r="D21" s="63"/>
      <c r="E21" s="63"/>
      <c r="F21" s="63"/>
      <c r="G21" s="62"/>
      <c r="H21" s="62"/>
      <c r="I21" s="62"/>
      <c r="J21" s="62"/>
      <c r="K21" s="62"/>
      <c r="L21" s="64"/>
      <c r="M21" s="62"/>
      <c r="N21" s="62"/>
      <c r="O21" s="62"/>
      <c r="P21" s="62"/>
      <c r="Q21" s="62"/>
      <c r="R21" s="62"/>
      <c r="S21" s="62"/>
      <c r="T21" s="62"/>
      <c r="U21" s="62"/>
    </row>
    <row r="22" spans="3:21" x14ac:dyDescent="0.25">
      <c r="C22" s="62"/>
      <c r="D22" s="63"/>
      <c r="E22" s="63"/>
      <c r="F22" s="63"/>
      <c r="G22" s="62"/>
      <c r="H22" s="62"/>
      <c r="I22" s="62"/>
      <c r="J22" s="62"/>
      <c r="K22" s="62"/>
      <c r="L22" s="64"/>
      <c r="M22" s="62"/>
      <c r="N22" s="62"/>
      <c r="O22" s="62"/>
      <c r="P22" s="62"/>
      <c r="Q22" s="62"/>
      <c r="R22" s="62"/>
      <c r="S22" s="62"/>
      <c r="T22" s="62"/>
      <c r="U22" s="62"/>
    </row>
    <row r="23" spans="3:21" x14ac:dyDescent="0.25">
      <c r="C23" s="62"/>
      <c r="D23" s="63"/>
      <c r="E23" s="63"/>
      <c r="F23" s="63"/>
      <c r="G23" s="62"/>
      <c r="H23" s="62"/>
      <c r="I23" s="62"/>
      <c r="J23" s="62"/>
      <c r="K23" s="62"/>
      <c r="L23" s="64"/>
      <c r="M23" s="62"/>
      <c r="N23" s="62"/>
      <c r="O23" s="62"/>
      <c r="P23" s="62"/>
      <c r="Q23" s="62"/>
      <c r="R23" s="62"/>
      <c r="S23" s="62"/>
      <c r="T23" s="62"/>
      <c r="U23" s="62"/>
    </row>
    <row r="24" spans="3:21" x14ac:dyDescent="0.25">
      <c r="C24" s="62"/>
      <c r="D24" s="63"/>
      <c r="E24" s="63"/>
      <c r="F24" s="63"/>
      <c r="G24" s="62"/>
      <c r="H24" s="62"/>
      <c r="I24" s="62"/>
      <c r="J24" s="62"/>
      <c r="K24" s="62"/>
      <c r="L24" s="64"/>
      <c r="M24" s="62"/>
      <c r="N24" s="62"/>
      <c r="O24" s="62"/>
      <c r="P24" s="62"/>
      <c r="Q24" s="62"/>
      <c r="R24" s="62"/>
      <c r="S24" s="62"/>
      <c r="T24" s="62"/>
      <c r="U24" s="62"/>
    </row>
    <row r="25" spans="3:21" x14ac:dyDescent="0.25">
      <c r="C25" s="62"/>
      <c r="D25" s="63"/>
      <c r="E25" s="63"/>
      <c r="F25" s="63"/>
      <c r="G25" s="62"/>
      <c r="H25" s="62"/>
      <c r="I25" s="62"/>
      <c r="J25" s="62"/>
      <c r="K25" s="62"/>
      <c r="L25" s="64"/>
      <c r="M25" s="62"/>
      <c r="N25" s="62"/>
      <c r="O25" s="62"/>
      <c r="P25" s="62"/>
      <c r="Q25" s="62"/>
      <c r="R25" s="62"/>
      <c r="S25" s="62"/>
      <c r="T25" s="62"/>
      <c r="U25" s="62"/>
    </row>
    <row r="26" spans="3:21" x14ac:dyDescent="0.25">
      <c r="C26" s="62"/>
      <c r="D26" s="63"/>
      <c r="E26" s="63"/>
      <c r="F26" s="63"/>
      <c r="G26" s="62"/>
      <c r="H26" s="62"/>
      <c r="I26" s="62"/>
      <c r="J26" s="62"/>
      <c r="K26" s="62"/>
      <c r="L26" s="64"/>
      <c r="M26" s="62"/>
      <c r="N26" s="62"/>
      <c r="O26" s="62"/>
      <c r="P26" s="62"/>
      <c r="Q26" s="62"/>
      <c r="R26" s="62"/>
      <c r="S26" s="62"/>
      <c r="T26" s="62"/>
      <c r="U26" s="62"/>
    </row>
    <row r="27" spans="3:21" x14ac:dyDescent="0.25">
      <c r="C27" s="62"/>
      <c r="D27" s="63"/>
      <c r="E27" s="63"/>
      <c r="F27" s="63"/>
      <c r="G27" s="62"/>
      <c r="H27" s="62"/>
      <c r="I27" s="62"/>
      <c r="J27" s="62"/>
      <c r="K27" s="62"/>
      <c r="L27" s="64"/>
      <c r="M27" s="62"/>
      <c r="N27" s="62"/>
      <c r="O27" s="62"/>
      <c r="P27" s="62"/>
      <c r="Q27" s="62"/>
      <c r="R27" s="62"/>
      <c r="S27" s="62"/>
      <c r="T27" s="62"/>
      <c r="U27" s="62"/>
    </row>
    <row r="28" spans="3:21" x14ac:dyDescent="0.25">
      <c r="C28" s="62"/>
      <c r="D28" s="63"/>
      <c r="E28" s="63"/>
      <c r="F28" s="63"/>
      <c r="G28" s="62"/>
      <c r="H28" s="62"/>
      <c r="I28" s="62"/>
      <c r="J28" s="62"/>
      <c r="K28" s="62"/>
      <c r="L28" s="64"/>
      <c r="M28" s="62"/>
      <c r="N28" s="62"/>
      <c r="O28" s="62"/>
      <c r="P28" s="62"/>
      <c r="Q28" s="62"/>
      <c r="R28" s="62"/>
      <c r="S28" s="62"/>
      <c r="T28" s="62"/>
      <c r="U28" s="62"/>
    </row>
    <row r="29" spans="3:21" x14ac:dyDescent="0.25">
      <c r="C29" s="62"/>
      <c r="D29" s="63"/>
      <c r="E29" s="63"/>
      <c r="F29" s="63"/>
      <c r="G29" s="62"/>
      <c r="H29" s="62"/>
      <c r="I29" s="62"/>
      <c r="J29" s="62"/>
      <c r="K29" s="62"/>
      <c r="L29" s="64"/>
      <c r="M29" s="62"/>
      <c r="N29" s="62"/>
      <c r="O29" s="62"/>
      <c r="P29" s="62"/>
      <c r="Q29" s="62"/>
      <c r="R29" s="62"/>
      <c r="S29" s="62"/>
      <c r="T29" s="62"/>
      <c r="U29" s="62"/>
    </row>
    <row r="30" spans="3:21" x14ac:dyDescent="0.25">
      <c r="C30" s="62"/>
      <c r="D30" s="63"/>
      <c r="E30" s="63"/>
      <c r="F30" s="63"/>
      <c r="G30" s="62"/>
      <c r="H30" s="62"/>
      <c r="I30" s="62"/>
      <c r="J30" s="62"/>
      <c r="K30" s="62"/>
      <c r="L30" s="64"/>
      <c r="M30" s="62"/>
      <c r="N30" s="62"/>
      <c r="O30" s="62"/>
      <c r="P30" s="62"/>
      <c r="Q30" s="62"/>
      <c r="R30" s="62"/>
      <c r="S30" s="62"/>
      <c r="T30" s="62"/>
      <c r="U30" s="62"/>
    </row>
    <row r="31" spans="3:21" x14ac:dyDescent="0.25">
      <c r="C31" s="62"/>
      <c r="D31" s="63"/>
      <c r="E31" s="63"/>
      <c r="F31" s="63"/>
      <c r="G31" s="62"/>
      <c r="H31" s="62"/>
      <c r="I31" s="62"/>
      <c r="J31" s="62"/>
      <c r="K31" s="62"/>
      <c r="L31" s="64"/>
      <c r="M31" s="62"/>
      <c r="N31" s="62"/>
      <c r="O31" s="62"/>
      <c r="P31" s="62"/>
      <c r="Q31" s="62"/>
      <c r="R31" s="62"/>
      <c r="S31" s="62"/>
      <c r="T31" s="62"/>
      <c r="U31" s="62"/>
    </row>
    <row r="32" spans="3:21" x14ac:dyDescent="0.25">
      <c r="C32" s="62"/>
      <c r="D32" s="63"/>
      <c r="E32" s="63"/>
      <c r="F32" s="63"/>
      <c r="G32" s="62"/>
      <c r="H32" s="62"/>
      <c r="I32" s="62"/>
      <c r="J32" s="62"/>
      <c r="K32" s="62"/>
      <c r="L32" s="64"/>
      <c r="M32" s="62"/>
      <c r="N32" s="62"/>
      <c r="O32" s="62"/>
      <c r="P32" s="62"/>
      <c r="Q32" s="62"/>
      <c r="R32" s="62"/>
      <c r="S32" s="62"/>
      <c r="T32" s="62"/>
      <c r="U32" s="62"/>
    </row>
    <row r="33" spans="3:21" x14ac:dyDescent="0.25">
      <c r="C33" s="62"/>
      <c r="D33" s="63"/>
      <c r="E33" s="63"/>
      <c r="F33" s="63"/>
      <c r="G33" s="62"/>
      <c r="H33" s="62"/>
      <c r="I33" s="62"/>
      <c r="J33" s="62"/>
      <c r="K33" s="62"/>
      <c r="L33" s="64"/>
      <c r="M33" s="62"/>
      <c r="N33" s="62"/>
      <c r="O33" s="62"/>
      <c r="P33" s="62"/>
      <c r="Q33" s="62"/>
      <c r="R33" s="62"/>
      <c r="S33" s="62"/>
      <c r="T33" s="62"/>
      <c r="U33" s="62"/>
    </row>
    <row r="34" spans="3:21" x14ac:dyDescent="0.25">
      <c r="C34" s="62"/>
      <c r="D34" s="63"/>
      <c r="E34" s="63"/>
      <c r="F34" s="63"/>
      <c r="G34" s="62"/>
      <c r="H34" s="62"/>
      <c r="I34" s="62"/>
      <c r="J34" s="62"/>
      <c r="K34" s="62"/>
      <c r="L34" s="64"/>
      <c r="M34" s="62"/>
      <c r="N34" s="62"/>
      <c r="O34" s="62"/>
      <c r="P34" s="62"/>
      <c r="Q34" s="62"/>
      <c r="R34" s="62"/>
      <c r="S34" s="62"/>
      <c r="T34" s="62"/>
      <c r="U34" s="62"/>
    </row>
    <row r="35" spans="3:21" x14ac:dyDescent="0.25">
      <c r="C35" s="62"/>
      <c r="D35" s="63"/>
      <c r="E35" s="63"/>
      <c r="F35" s="63"/>
      <c r="G35" s="62"/>
      <c r="H35" s="62"/>
      <c r="I35" s="62"/>
      <c r="J35" s="62"/>
      <c r="K35" s="62"/>
      <c r="L35" s="64"/>
      <c r="M35" s="62"/>
      <c r="N35" s="62"/>
      <c r="O35" s="62"/>
      <c r="P35" s="62"/>
      <c r="Q35" s="62"/>
      <c r="R35" s="62"/>
      <c r="S35" s="62"/>
      <c r="T35" s="62"/>
      <c r="U35" s="62"/>
    </row>
    <row r="36" spans="3:21" x14ac:dyDescent="0.25">
      <c r="C36" s="62"/>
      <c r="D36" s="63"/>
      <c r="E36" s="63"/>
      <c r="F36" s="63"/>
      <c r="G36" s="62"/>
      <c r="H36" s="62"/>
      <c r="I36" s="62"/>
      <c r="J36" s="62"/>
      <c r="K36" s="62"/>
      <c r="L36" s="64"/>
      <c r="M36" s="62"/>
      <c r="N36" s="62"/>
      <c r="O36" s="62"/>
      <c r="P36" s="62"/>
      <c r="Q36" s="62"/>
      <c r="R36" s="62"/>
      <c r="S36" s="62"/>
      <c r="T36" s="62"/>
      <c r="U36" s="62"/>
    </row>
    <row r="37" spans="3:21" x14ac:dyDescent="0.25">
      <c r="C37" s="62"/>
      <c r="D37" s="63"/>
      <c r="E37" s="63"/>
      <c r="F37" s="63"/>
      <c r="G37" s="62"/>
      <c r="H37" s="62"/>
      <c r="I37" s="62"/>
      <c r="J37" s="62"/>
      <c r="K37" s="62"/>
      <c r="L37" s="64"/>
      <c r="M37" s="62"/>
      <c r="N37" s="62"/>
      <c r="O37" s="62"/>
      <c r="P37" s="62"/>
      <c r="Q37" s="62"/>
      <c r="R37" s="62"/>
      <c r="S37" s="62"/>
      <c r="T37" s="62"/>
      <c r="U37" s="62"/>
    </row>
    <row r="38" spans="3:21" x14ac:dyDescent="0.25">
      <c r="C38" s="61"/>
      <c r="D38" s="68"/>
      <c r="E38" s="68"/>
      <c r="F38" s="68"/>
      <c r="G38" s="61"/>
      <c r="H38" s="61"/>
      <c r="I38" s="61"/>
      <c r="J38" s="61"/>
      <c r="K38" s="61"/>
      <c r="L38" s="73"/>
      <c r="M38" s="61"/>
      <c r="N38" s="61"/>
      <c r="O38" s="61"/>
      <c r="P38" s="61"/>
      <c r="Q38" s="61"/>
      <c r="R38" s="61"/>
      <c r="S38" s="61"/>
      <c r="T38" s="61"/>
      <c r="U38" s="61"/>
    </row>
    <row r="39" spans="3:21" x14ac:dyDescent="0.25">
      <c r="C39" s="61"/>
      <c r="D39" s="68"/>
      <c r="E39" s="68"/>
      <c r="F39" s="68"/>
      <c r="G39" s="61"/>
      <c r="H39" s="61"/>
      <c r="I39" s="61"/>
      <c r="J39" s="61"/>
      <c r="K39" s="61"/>
      <c r="L39" s="73"/>
      <c r="M39" s="61"/>
      <c r="N39" s="61"/>
      <c r="O39" s="61"/>
      <c r="P39" s="61"/>
      <c r="Q39" s="61"/>
      <c r="R39" s="61"/>
      <c r="S39" s="61"/>
      <c r="T39" s="61"/>
      <c r="U39" s="61"/>
    </row>
    <row r="40" spans="3:21" x14ac:dyDescent="0.25">
      <c r="C40" s="61"/>
      <c r="D40" s="68"/>
      <c r="E40" s="68"/>
      <c r="F40" s="68"/>
      <c r="G40" s="61"/>
      <c r="H40" s="61"/>
      <c r="I40" s="61"/>
      <c r="J40" s="61"/>
      <c r="K40" s="61"/>
      <c r="L40" s="73"/>
      <c r="M40" s="61"/>
      <c r="N40" s="61"/>
      <c r="O40" s="61"/>
      <c r="P40" s="61"/>
      <c r="Q40" s="61"/>
      <c r="R40" s="61"/>
      <c r="S40" s="61"/>
      <c r="T40" s="61"/>
      <c r="U40" s="61"/>
    </row>
    <row r="41" spans="3:21" x14ac:dyDescent="0.25">
      <c r="C41" s="61"/>
      <c r="D41" s="68"/>
      <c r="E41" s="68"/>
      <c r="F41" s="68"/>
      <c r="G41" s="61"/>
      <c r="H41" s="61"/>
      <c r="I41" s="61"/>
      <c r="J41" s="61"/>
      <c r="K41" s="61"/>
      <c r="L41" s="73"/>
      <c r="M41" s="61"/>
      <c r="N41" s="61"/>
      <c r="O41" s="61"/>
      <c r="P41" s="61"/>
      <c r="Q41" s="61"/>
      <c r="R41" s="61"/>
      <c r="S41" s="61"/>
      <c r="T41" s="61"/>
      <c r="U41" s="61"/>
    </row>
    <row r="42" spans="3:21" x14ac:dyDescent="0.25">
      <c r="C42" s="62"/>
      <c r="D42" s="63"/>
      <c r="E42" s="63"/>
      <c r="F42" s="63"/>
      <c r="G42" s="62"/>
      <c r="H42" s="62"/>
      <c r="I42" s="62"/>
      <c r="J42" s="62"/>
      <c r="K42" s="62"/>
      <c r="L42" s="64"/>
      <c r="M42" s="62"/>
      <c r="N42" s="62"/>
      <c r="O42" s="62"/>
      <c r="P42" s="62"/>
      <c r="Q42" s="62"/>
      <c r="R42" s="62"/>
      <c r="S42" s="62"/>
      <c r="T42" s="62"/>
      <c r="U42" s="62"/>
    </row>
    <row r="43" spans="3:21" x14ac:dyDescent="0.25">
      <c r="C43" s="62"/>
      <c r="D43" s="63"/>
      <c r="E43" s="63"/>
      <c r="F43" s="63"/>
      <c r="G43" s="62"/>
      <c r="H43" s="62"/>
      <c r="I43" s="62"/>
      <c r="J43" s="62"/>
      <c r="K43" s="62"/>
      <c r="L43" s="64"/>
      <c r="M43" s="62"/>
      <c r="N43" s="62"/>
      <c r="O43" s="62"/>
      <c r="P43" s="62"/>
      <c r="Q43" s="62"/>
      <c r="R43" s="62"/>
      <c r="S43" s="62"/>
      <c r="T43" s="62"/>
      <c r="U43" s="62"/>
    </row>
    <row r="44" spans="3:21" x14ac:dyDescent="0.25">
      <c r="C44" s="60"/>
      <c r="D44" s="69"/>
      <c r="E44" s="69"/>
      <c r="F44" s="69"/>
      <c r="G44" s="60"/>
      <c r="H44" s="60"/>
      <c r="I44" s="60"/>
      <c r="J44" s="60"/>
      <c r="K44" s="60"/>
      <c r="L44" s="74"/>
      <c r="M44" s="60"/>
      <c r="N44" s="60"/>
      <c r="O44" s="60"/>
      <c r="P44" s="60"/>
      <c r="Q44" s="60"/>
      <c r="R44" s="60"/>
      <c r="S44" s="60"/>
      <c r="T44" s="60"/>
      <c r="U44" s="60"/>
    </row>
    <row r="45" spans="3:21" x14ac:dyDescent="0.25">
      <c r="C45" s="60"/>
      <c r="D45" s="69"/>
      <c r="E45" s="69"/>
      <c r="F45" s="69"/>
      <c r="G45" s="60"/>
      <c r="H45" s="60"/>
      <c r="I45" s="60"/>
      <c r="J45" s="60"/>
      <c r="K45" s="60"/>
      <c r="L45" s="74"/>
      <c r="M45" s="60"/>
      <c r="N45" s="60"/>
      <c r="O45" s="60"/>
      <c r="P45" s="60"/>
      <c r="Q45" s="60"/>
      <c r="R45" s="60"/>
      <c r="S45" s="60"/>
      <c r="T45" s="60"/>
      <c r="U45" s="60"/>
    </row>
  </sheetData>
  <mergeCells count="2">
    <mergeCell ref="A6:A8"/>
    <mergeCell ref="A9:A13"/>
  </mergeCells>
  <conditionalFormatting sqref="M6:O13 M15:O167 N14:O14">
    <cfRule type="cellIs" dxfId="0" priority="2" operator="lessThan">
      <formula>0</formula>
    </cfRule>
  </conditionalFormatting>
  <conditionalFormatting sqref="M15:M1048576 M1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3B91-6071-452D-BA50-D6856C462165}">
  <dimension ref="A1:U18"/>
  <sheetViews>
    <sheetView topLeftCell="N1" workbookViewId="0">
      <selection activeCell="S16" sqref="S16"/>
    </sheetView>
  </sheetViews>
  <sheetFormatPr defaultRowHeight="15" x14ac:dyDescent="0.25"/>
  <cols>
    <col min="1" max="1" width="10.42578125" bestFit="1" customWidth="1"/>
    <col min="2" max="3" width="17" bestFit="1" customWidth="1"/>
    <col min="4" max="6" width="9" bestFit="1" customWidth="1"/>
    <col min="7" max="7" width="10.5703125" bestFit="1" customWidth="1"/>
    <col min="8" max="8" width="8.7109375" bestFit="1" customWidth="1"/>
    <col min="9" max="9" width="7.5703125" bestFit="1" customWidth="1"/>
    <col min="12" max="12" width="31.5703125" customWidth="1"/>
    <col min="13" max="13" width="21.140625" customWidth="1"/>
    <col min="14" max="14" width="22.42578125" customWidth="1"/>
    <col min="15" max="15" width="17" bestFit="1" customWidth="1"/>
    <col min="16" max="16" width="20.42578125" customWidth="1"/>
    <col min="17" max="17" width="21.85546875" customWidth="1"/>
    <col min="18" max="18" width="26.140625" customWidth="1"/>
    <col min="19" max="19" width="21.5703125" customWidth="1"/>
  </cols>
  <sheetData>
    <row r="1" spans="1:21" ht="45" x14ac:dyDescent="0.25">
      <c r="A1" s="57"/>
      <c r="B1" s="57" t="s">
        <v>8</v>
      </c>
      <c r="C1" s="58" t="s">
        <v>117</v>
      </c>
      <c r="D1" s="65" t="s">
        <v>131</v>
      </c>
      <c r="E1" s="65" t="s">
        <v>107</v>
      </c>
      <c r="F1" s="65" t="s">
        <v>133</v>
      </c>
      <c r="G1" s="58" t="s">
        <v>92</v>
      </c>
      <c r="H1" s="58" t="s">
        <v>91</v>
      </c>
      <c r="I1" s="58" t="s">
        <v>108</v>
      </c>
      <c r="J1" s="58" t="s">
        <v>106</v>
      </c>
      <c r="K1" s="58" t="s">
        <v>105</v>
      </c>
      <c r="L1" s="70" t="s">
        <v>123</v>
      </c>
      <c r="M1" s="57" t="s">
        <v>58</v>
      </c>
      <c r="N1" s="58" t="s">
        <v>101</v>
      </c>
      <c r="O1" s="58" t="s">
        <v>101</v>
      </c>
      <c r="P1" s="58" t="s">
        <v>103</v>
      </c>
      <c r="Q1" s="58" t="s">
        <v>102</v>
      </c>
      <c r="R1" s="58" t="s">
        <v>102</v>
      </c>
      <c r="S1" s="58" t="s">
        <v>104</v>
      </c>
      <c r="T1" s="57"/>
      <c r="U1" s="57"/>
    </row>
    <row r="2" spans="1:21" x14ac:dyDescent="0.25">
      <c r="A2" s="57"/>
      <c r="B2" s="57" t="s">
        <v>9</v>
      </c>
      <c r="C2" s="57" t="s">
        <v>29</v>
      </c>
      <c r="D2" s="66" t="s">
        <v>132</v>
      </c>
      <c r="E2" s="66" t="s">
        <v>88</v>
      </c>
      <c r="F2" s="66" t="s">
        <v>134</v>
      </c>
      <c r="G2" s="57" t="s">
        <v>32</v>
      </c>
      <c r="H2" s="57" t="s">
        <v>139</v>
      </c>
      <c r="I2" s="57" t="s">
        <v>113</v>
      </c>
      <c r="J2" s="57" t="s">
        <v>94</v>
      </c>
      <c r="K2" s="57" t="s">
        <v>93</v>
      </c>
      <c r="L2" s="71" t="s">
        <v>124</v>
      </c>
      <c r="M2" s="57" t="s">
        <v>90</v>
      </c>
      <c r="N2" s="57" t="s">
        <v>95</v>
      </c>
      <c r="O2" s="57" t="s">
        <v>96</v>
      </c>
      <c r="P2" s="57" t="s">
        <v>97</v>
      </c>
      <c r="Q2" s="57" t="s">
        <v>98</v>
      </c>
      <c r="R2" s="57" t="s">
        <v>99</v>
      </c>
      <c r="S2" s="57" t="s">
        <v>100</v>
      </c>
      <c r="T2" s="57"/>
      <c r="U2" s="57"/>
    </row>
    <row r="3" spans="1:21" x14ac:dyDescent="0.25">
      <c r="A3" s="57"/>
      <c r="B3" s="57" t="s">
        <v>31</v>
      </c>
      <c r="C3" s="57" t="s">
        <v>29</v>
      </c>
      <c r="D3" s="66" t="s">
        <v>29</v>
      </c>
      <c r="E3" s="66" t="s">
        <v>29</v>
      </c>
      <c r="F3" s="66" t="s">
        <v>135</v>
      </c>
      <c r="G3" s="57" t="s">
        <v>29</v>
      </c>
      <c r="H3" s="57" t="s">
        <v>29</v>
      </c>
      <c r="I3" s="57" t="s">
        <v>29</v>
      </c>
      <c r="J3" s="57" t="s">
        <v>29</v>
      </c>
      <c r="K3" s="57" t="s">
        <v>29</v>
      </c>
      <c r="L3" s="71"/>
      <c r="M3" s="57"/>
      <c r="N3" s="57"/>
      <c r="O3" s="57"/>
      <c r="P3" s="57"/>
      <c r="Q3" s="57"/>
      <c r="R3" s="57"/>
      <c r="S3" s="57"/>
      <c r="T3" s="57"/>
      <c r="U3" s="57"/>
    </row>
    <row r="4" spans="1:21" x14ac:dyDescent="0.25">
      <c r="A4" s="57"/>
      <c r="B4" s="57" t="s">
        <v>114</v>
      </c>
      <c r="C4" s="57" t="s">
        <v>29</v>
      </c>
      <c r="D4" s="66" t="s">
        <v>3</v>
      </c>
      <c r="E4" s="66" t="str">
        <f>'2d'!D2</f>
        <v>mm</v>
      </c>
      <c r="F4" s="66" t="s">
        <v>3</v>
      </c>
      <c r="G4" s="57" t="s">
        <v>116</v>
      </c>
      <c r="H4" s="57" t="str">
        <f>E4</f>
        <v>mm</v>
      </c>
      <c r="I4" s="57" t="s">
        <v>115</v>
      </c>
      <c r="J4" s="57" t="str">
        <f>H4</f>
        <v>mm</v>
      </c>
      <c r="K4" s="57" t="str">
        <f>J4</f>
        <v>mm</v>
      </c>
      <c r="L4" s="71" t="s">
        <v>3</v>
      </c>
      <c r="M4" s="57"/>
      <c r="N4" s="57"/>
      <c r="O4" s="57"/>
      <c r="P4" s="57"/>
      <c r="Q4" s="57"/>
      <c r="R4" s="57"/>
      <c r="S4" s="57"/>
      <c r="T4" s="57"/>
      <c r="U4" s="57"/>
    </row>
    <row r="5" spans="1:21" ht="30.75" customHeight="1" thickBot="1" x14ac:dyDescent="0.3">
      <c r="A5" s="57"/>
      <c r="B5" s="57" t="s">
        <v>109</v>
      </c>
      <c r="C5" s="59"/>
      <c r="D5" s="67"/>
      <c r="E5" s="67"/>
      <c r="F5" s="67"/>
      <c r="G5" s="59"/>
      <c r="H5" s="59"/>
      <c r="I5" s="59"/>
      <c r="J5" s="59"/>
      <c r="K5" s="59"/>
      <c r="L5" s="72"/>
      <c r="M5" s="75"/>
      <c r="N5" s="75"/>
      <c r="O5" s="75"/>
      <c r="P5" s="75"/>
      <c r="Q5" s="75"/>
      <c r="R5" s="75"/>
      <c r="S5" s="75"/>
      <c r="T5" s="57"/>
      <c r="U5" s="57"/>
    </row>
    <row r="6" spans="1:21" s="99" customFormat="1" ht="15.75" thickBot="1" x14ac:dyDescent="0.3">
      <c r="A6" s="185" t="s">
        <v>112</v>
      </c>
      <c r="B6" s="102" t="s">
        <v>136</v>
      </c>
      <c r="C6" s="77">
        <v>10</v>
      </c>
      <c r="D6" s="78">
        <v>4.0000000000000001E-3</v>
      </c>
      <c r="E6" s="78">
        <v>0.1</v>
      </c>
      <c r="F6" s="78">
        <f>E6+D6</f>
        <v>0.10400000000000001</v>
      </c>
      <c r="G6" s="77">
        <f>E6+(C6-1)*(E6+D6)*COS(RADIANS(I6))</f>
        <v>0.81701759875936342</v>
      </c>
      <c r="H6" s="103">
        <f>F6*COS(RADIANS(30))*(C6-1)+E6</f>
        <v>0.91059977794223468</v>
      </c>
      <c r="I6" s="77">
        <v>40</v>
      </c>
      <c r="J6" s="77">
        <f>J5</f>
        <v>0</v>
      </c>
      <c r="K6" s="77">
        <f>K5</f>
        <v>0</v>
      </c>
      <c r="L6" s="79">
        <f>E6+(SQRT(3)/2)*E6*((G6/COS(RADIANS(I6)))-1)</f>
        <v>0.10576259616425096</v>
      </c>
      <c r="M6" s="100">
        <v>0.192</v>
      </c>
      <c r="N6" s="76">
        <f>(66.67*(1-M6)^2)/(E6^2*M6^3)</f>
        <v>614963.71346932871</v>
      </c>
      <c r="O6" s="76">
        <f>N6</f>
        <v>614963.71346932871</v>
      </c>
      <c r="P6" s="76">
        <f>N6*0.4*M6</f>
        <v>47229.213194444448</v>
      </c>
      <c r="Q6" s="76">
        <f>(2.33*(1-M6))/(E6*M6^3)</f>
        <v>2659.8895037615739</v>
      </c>
      <c r="R6" s="76">
        <f>Q6</f>
        <v>2659.8895037615739</v>
      </c>
      <c r="S6" s="76">
        <v>0</v>
      </c>
    </row>
    <row r="7" spans="1:21" s="100" customFormat="1" x14ac:dyDescent="0.25">
      <c r="A7" s="186"/>
      <c r="B7" s="82" t="s">
        <v>137</v>
      </c>
      <c r="C7" s="82">
        <f>C6</f>
        <v>10</v>
      </c>
      <c r="D7" s="100">
        <f>D6*0.001</f>
        <v>3.9999999999999998E-6</v>
      </c>
      <c r="E7" s="100">
        <f t="shared" ref="E7:K7" si="0">E6*0.001</f>
        <v>1E-4</v>
      </c>
      <c r="F7" s="100">
        <f t="shared" si="0"/>
        <v>1.0400000000000001E-4</v>
      </c>
      <c r="G7" s="100">
        <f>G6*1000</f>
        <v>817.01759875936341</v>
      </c>
      <c r="H7" s="100">
        <f t="shared" si="0"/>
        <v>9.1059977794223472E-4</v>
      </c>
      <c r="I7" s="82">
        <f>I6</f>
        <v>40</v>
      </c>
      <c r="J7" s="100">
        <f t="shared" si="0"/>
        <v>0</v>
      </c>
      <c r="K7" s="100">
        <f t="shared" si="0"/>
        <v>0</v>
      </c>
      <c r="L7" s="79">
        <f>E7+(SQRT(3)/2)*E7*((G7/COS(RADIANS(I7)))-1)</f>
        <v>9.2378534002316381E-2</v>
      </c>
      <c r="M7" s="100">
        <v>0.192</v>
      </c>
      <c r="N7" s="76">
        <f>(66.67*(1-M7)^2)/(E7^2*M7^3)</f>
        <v>614963713469.32886</v>
      </c>
      <c r="O7" s="76">
        <f>N7</f>
        <v>614963713469.32886</v>
      </c>
      <c r="P7" s="76">
        <f>N7*0.4*M7</f>
        <v>47229213194.444466</v>
      </c>
      <c r="Q7" s="76">
        <f>(2.33*(1-M7))/(E7*M7^3)</f>
        <v>2659889.5037615742</v>
      </c>
      <c r="R7" s="76">
        <f>Q7</f>
        <v>2659889.5037615742</v>
      </c>
      <c r="S7" s="76">
        <v>0</v>
      </c>
    </row>
    <row r="8" spans="1:21" s="100" customFormat="1" x14ac:dyDescent="0.25">
      <c r="A8" s="186"/>
      <c r="M8" s="100">
        <f>1-(PI()*E7^2*G7)/(4*H7*SIN(RADIANS(I7)))</f>
        <v>0.98903707972083454</v>
      </c>
      <c r="N8" s="104">
        <f>ROUND(N7,-8)</f>
        <v>615000000000</v>
      </c>
      <c r="O8" s="104">
        <f t="shared" ref="O8:P8" si="1">ROUND(O7,-8)</f>
        <v>615000000000</v>
      </c>
      <c r="P8" s="104">
        <f t="shared" si="1"/>
        <v>47200000000</v>
      </c>
      <c r="Q8" s="104">
        <f>ROUND(Q7,-4)</f>
        <v>2660000</v>
      </c>
      <c r="R8" s="104">
        <f>ROUND(R7,-4)</f>
        <v>2660000</v>
      </c>
      <c r="S8" s="104">
        <f t="shared" ref="S8" si="2">ROUND(S7,-7)</f>
        <v>0</v>
      </c>
    </row>
    <row r="9" spans="1:21" s="100" customFormat="1" x14ac:dyDescent="0.25">
      <c r="A9" s="186"/>
      <c r="N9" s="105">
        <f>N8</f>
        <v>615000000000</v>
      </c>
      <c r="O9" s="105">
        <f t="shared" ref="O9:S9" si="3">O8</f>
        <v>615000000000</v>
      </c>
      <c r="P9" s="105">
        <f>P8</f>
        <v>47200000000</v>
      </c>
      <c r="Q9" s="105">
        <f t="shared" si="3"/>
        <v>2660000</v>
      </c>
      <c r="R9" s="105">
        <f t="shared" si="3"/>
        <v>2660000</v>
      </c>
      <c r="S9" s="105">
        <f t="shared" si="3"/>
        <v>0</v>
      </c>
    </row>
    <row r="10" spans="1:21" s="101" customFormat="1" ht="15.75" thickBot="1" x14ac:dyDescent="0.3">
      <c r="A10" s="187"/>
    </row>
    <row r="14" spans="1:21" x14ac:dyDescent="0.25">
      <c r="Q14">
        <v>2.5</v>
      </c>
      <c r="R14">
        <v>6</v>
      </c>
      <c r="S14">
        <f>R14/Q14</f>
        <v>2.4</v>
      </c>
    </row>
    <row r="15" spans="1:21" x14ac:dyDescent="0.25">
      <c r="R15">
        <v>10</v>
      </c>
      <c r="S15">
        <f>R15/Q14</f>
        <v>4</v>
      </c>
    </row>
    <row r="17" spans="12:13" x14ac:dyDescent="0.25">
      <c r="L17" t="s">
        <v>140</v>
      </c>
      <c r="M17">
        <f>1-M7</f>
        <v>0.80800000000000005</v>
      </c>
    </row>
    <row r="18" spans="12:13" x14ac:dyDescent="0.25">
      <c r="L18">
        <f>M17*4*COS(RADIANS(I7))</f>
        <v>2.4758556401605372</v>
      </c>
      <c r="M18">
        <f>(PI()*E7^2*C7)/(4*M17*SIN(RADIANS(I7)))</f>
        <v>1.5122062331309626E-7</v>
      </c>
    </row>
  </sheetData>
  <mergeCells count="1">
    <mergeCell ref="A6:A10"/>
  </mergeCells>
  <conditionalFormatting sqref="M1:M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5075-0416-4755-8AD3-6E9855251C2E}">
  <dimension ref="A1:P33"/>
  <sheetViews>
    <sheetView workbookViewId="0">
      <selection activeCell="N32" sqref="N32:N33"/>
    </sheetView>
  </sheetViews>
  <sheetFormatPr defaultRowHeight="15" x14ac:dyDescent="0.25"/>
  <cols>
    <col min="1" max="1" width="10" bestFit="1" customWidth="1"/>
    <col min="2" max="2" width="27.140625" bestFit="1" customWidth="1"/>
    <col min="8" max="8" width="12.85546875" bestFit="1" customWidth="1"/>
  </cols>
  <sheetData>
    <row r="1" spans="1:14" x14ac:dyDescent="0.25">
      <c r="A1" t="s">
        <v>169</v>
      </c>
      <c r="B1" t="s">
        <v>170</v>
      </c>
    </row>
    <row r="2" spans="1:14" x14ac:dyDescent="0.25">
      <c r="H2" t="s">
        <v>173</v>
      </c>
      <c r="I2" t="s">
        <v>170</v>
      </c>
      <c r="N2" s="177" t="s">
        <v>188</v>
      </c>
    </row>
    <row r="3" spans="1:14" x14ac:dyDescent="0.25">
      <c r="A3" t="s">
        <v>168</v>
      </c>
      <c r="B3" t="s">
        <v>223</v>
      </c>
      <c r="N3" t="s">
        <v>205</v>
      </c>
    </row>
    <row r="4" spans="1:14" x14ac:dyDescent="0.25">
      <c r="A4" t="s">
        <v>181</v>
      </c>
      <c r="B4" t="s">
        <v>224</v>
      </c>
      <c r="H4" s="177" t="s">
        <v>114</v>
      </c>
      <c r="N4" t="s">
        <v>214</v>
      </c>
    </row>
    <row r="5" spans="1:14" x14ac:dyDescent="0.25">
      <c r="A5" t="s">
        <v>176</v>
      </c>
      <c r="H5" t="s">
        <v>191</v>
      </c>
      <c r="N5" t="s">
        <v>206</v>
      </c>
    </row>
    <row r="6" spans="1:14" x14ac:dyDescent="0.25">
      <c r="A6" t="s">
        <v>171</v>
      </c>
      <c r="H6" t="s">
        <v>190</v>
      </c>
      <c r="N6" t="s">
        <v>207</v>
      </c>
    </row>
    <row r="7" spans="1:14" x14ac:dyDescent="0.25">
      <c r="A7" t="s">
        <v>174</v>
      </c>
      <c r="H7" t="s">
        <v>189</v>
      </c>
      <c r="N7" t="s">
        <v>0</v>
      </c>
    </row>
    <row r="8" spans="1:14" x14ac:dyDescent="0.25">
      <c r="A8" t="s">
        <v>177</v>
      </c>
      <c r="H8" t="s">
        <v>216</v>
      </c>
      <c r="N8" t="s">
        <v>218</v>
      </c>
    </row>
    <row r="9" spans="1:14" x14ac:dyDescent="0.25">
      <c r="A9" t="s">
        <v>172</v>
      </c>
      <c r="H9" t="s">
        <v>184</v>
      </c>
      <c r="N9" t="s">
        <v>80</v>
      </c>
    </row>
    <row r="10" spans="1:14" x14ac:dyDescent="0.25">
      <c r="A10" t="s">
        <v>175</v>
      </c>
      <c r="H10" t="s">
        <v>184</v>
      </c>
      <c r="N10" t="s">
        <v>200</v>
      </c>
    </row>
    <row r="11" spans="1:14" x14ac:dyDescent="0.25">
      <c r="A11" t="s">
        <v>178</v>
      </c>
      <c r="H11" t="s">
        <v>182</v>
      </c>
      <c r="N11" t="s">
        <v>203</v>
      </c>
    </row>
    <row r="12" spans="1:14" x14ac:dyDescent="0.25">
      <c r="A12" t="s">
        <v>179</v>
      </c>
      <c r="H12" t="s">
        <v>3</v>
      </c>
      <c r="N12" t="s">
        <v>32</v>
      </c>
    </row>
    <row r="13" spans="1:14" x14ac:dyDescent="0.25">
      <c r="A13" t="s">
        <v>180</v>
      </c>
      <c r="H13" t="s">
        <v>217</v>
      </c>
      <c r="N13" t="s">
        <v>32</v>
      </c>
    </row>
    <row r="14" spans="1:14" x14ac:dyDescent="0.25">
      <c r="H14" t="s">
        <v>187</v>
      </c>
      <c r="N14" t="s">
        <v>213</v>
      </c>
    </row>
    <row r="15" spans="1:14" x14ac:dyDescent="0.25">
      <c r="H15" t="s">
        <v>183</v>
      </c>
      <c r="N15" t="s">
        <v>201</v>
      </c>
    </row>
    <row r="16" spans="1:14" x14ac:dyDescent="0.25">
      <c r="H16" t="s">
        <v>186</v>
      </c>
      <c r="N16" t="s">
        <v>219</v>
      </c>
    </row>
    <row r="17" spans="8:16" x14ac:dyDescent="0.25">
      <c r="H17" t="s">
        <v>185</v>
      </c>
      <c r="N17" t="s">
        <v>221</v>
      </c>
    </row>
    <row r="18" spans="8:16" x14ac:dyDescent="0.25">
      <c r="H18" t="s">
        <v>215</v>
      </c>
      <c r="N18" t="s">
        <v>222</v>
      </c>
    </row>
    <row r="19" spans="8:16" x14ac:dyDescent="0.25">
      <c r="N19" t="s">
        <v>220</v>
      </c>
    </row>
    <row r="20" spans="8:16" x14ac:dyDescent="0.25">
      <c r="N20" t="s">
        <v>208</v>
      </c>
    </row>
    <row r="21" spans="8:16" x14ac:dyDescent="0.25">
      <c r="N21" t="s">
        <v>196</v>
      </c>
    </row>
    <row r="22" spans="8:16" x14ac:dyDescent="0.25">
      <c r="N22" t="s">
        <v>204</v>
      </c>
    </row>
    <row r="23" spans="8:16" x14ac:dyDescent="0.25">
      <c r="N23" t="s">
        <v>202</v>
      </c>
    </row>
    <row r="24" spans="8:16" x14ac:dyDescent="0.25">
      <c r="N24" t="s">
        <v>210</v>
      </c>
    </row>
    <row r="25" spans="8:16" x14ac:dyDescent="0.25">
      <c r="N25" t="s">
        <v>210</v>
      </c>
      <c r="P25" t="s">
        <v>211</v>
      </c>
    </row>
    <row r="26" spans="8:16" x14ac:dyDescent="0.25">
      <c r="N26" t="s">
        <v>192</v>
      </c>
      <c r="P26" t="s">
        <v>212</v>
      </c>
    </row>
    <row r="27" spans="8:16" x14ac:dyDescent="0.25">
      <c r="N27" t="s">
        <v>193</v>
      </c>
      <c r="P27" t="s">
        <v>213</v>
      </c>
    </row>
    <row r="28" spans="8:16" x14ac:dyDescent="0.25">
      <c r="N28" t="s">
        <v>199</v>
      </c>
      <c r="P28" t="s">
        <v>182</v>
      </c>
    </row>
    <row r="29" spans="8:16" x14ac:dyDescent="0.25">
      <c r="N29" t="s">
        <v>197</v>
      </c>
    </row>
    <row r="30" spans="8:16" x14ac:dyDescent="0.25">
      <c r="N30" t="s">
        <v>195</v>
      </c>
    </row>
    <row r="31" spans="8:16" x14ac:dyDescent="0.25">
      <c r="N31" t="s">
        <v>194</v>
      </c>
    </row>
    <row r="32" spans="8:16" x14ac:dyDescent="0.25">
      <c r="N32" t="s">
        <v>209</v>
      </c>
    </row>
    <row r="33" spans="14:14" x14ac:dyDescent="0.25">
      <c r="N33" t="s">
        <v>198</v>
      </c>
    </row>
  </sheetData>
  <sortState xmlns:xlrd2="http://schemas.microsoft.com/office/spreadsheetml/2017/richdata2" ref="N3:N33">
    <sortCondition ref="N3:N3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037C-8F4D-4547-825A-177B8B2FA0FE}">
  <dimension ref="A1:L19"/>
  <sheetViews>
    <sheetView tabSelected="1" topLeftCell="A5" workbookViewId="0">
      <selection activeCell="F13" sqref="F13:H13"/>
    </sheetView>
  </sheetViews>
  <sheetFormatPr defaultRowHeight="15" x14ac:dyDescent="0.25"/>
  <cols>
    <col min="1" max="1" width="23.5703125" style="130" bestFit="1" customWidth="1"/>
    <col min="2" max="2" width="13.42578125" style="108" bestFit="1" customWidth="1"/>
    <col min="3" max="3" width="9.140625" style="108"/>
    <col min="4" max="4" width="7.42578125" style="108" bestFit="1" customWidth="1"/>
    <col min="5" max="5" width="7.42578125" style="119" bestFit="1" customWidth="1"/>
    <col min="6" max="7" width="13.5703125" style="100" bestFit="1" customWidth="1"/>
    <col min="8" max="8" width="14.5703125" style="100" bestFit="1" customWidth="1"/>
    <col min="9" max="9" width="9.85546875" style="108" bestFit="1" customWidth="1"/>
    <col min="10" max="11" width="10.140625" style="100" bestFit="1" customWidth="1"/>
    <col min="12" max="12" width="9.85546875" style="119" bestFit="1" customWidth="1"/>
  </cols>
  <sheetData>
    <row r="1" spans="1:12" x14ac:dyDescent="0.25">
      <c r="A1" s="129"/>
      <c r="B1" s="106"/>
      <c r="C1" s="106"/>
      <c r="D1" s="106"/>
      <c r="E1" s="118"/>
      <c r="F1" s="99"/>
      <c r="G1" s="99"/>
      <c r="H1" s="99"/>
      <c r="I1" s="106"/>
      <c r="J1" s="99"/>
      <c r="K1" s="99"/>
      <c r="L1" s="118"/>
    </row>
    <row r="5" spans="1:12" ht="15.75" thickBot="1" x14ac:dyDescent="0.3">
      <c r="A5" s="130" t="s">
        <v>165</v>
      </c>
      <c r="B5" s="108">
        <v>1</v>
      </c>
      <c r="C5" s="108">
        <v>2</v>
      </c>
      <c r="D5" s="108">
        <v>3</v>
      </c>
      <c r="E5" s="119">
        <v>4</v>
      </c>
      <c r="F5" s="136">
        <v>5</v>
      </c>
      <c r="G5" s="172">
        <v>6</v>
      </c>
      <c r="H5" s="172">
        <v>7</v>
      </c>
      <c r="I5" s="108">
        <v>8</v>
      </c>
      <c r="J5" s="136">
        <v>9</v>
      </c>
      <c r="K5" s="136">
        <v>10</v>
      </c>
      <c r="L5" s="119">
        <v>11</v>
      </c>
    </row>
    <row r="6" spans="1:12" s="157" customFormat="1" ht="14.25" x14ac:dyDescent="0.25">
      <c r="A6" s="155" t="s">
        <v>155</v>
      </c>
      <c r="B6" s="156" t="s">
        <v>167</v>
      </c>
      <c r="C6" s="156" t="s">
        <v>166</v>
      </c>
      <c r="D6" s="188" t="s">
        <v>141</v>
      </c>
      <c r="E6" s="189"/>
      <c r="F6" s="188" t="s">
        <v>142</v>
      </c>
      <c r="G6" s="178"/>
      <c r="H6" s="189"/>
      <c r="I6" s="188" t="s">
        <v>143</v>
      </c>
      <c r="J6" s="178"/>
      <c r="K6" s="178"/>
      <c r="L6" s="189"/>
    </row>
    <row r="7" spans="1:12" s="161" customFormat="1" ht="15.75" thickBot="1" x14ac:dyDescent="0.3">
      <c r="A7" s="158" t="s">
        <v>156</v>
      </c>
      <c r="B7" s="159" t="s">
        <v>144</v>
      </c>
      <c r="C7" s="159" t="s">
        <v>119</v>
      </c>
      <c r="D7" s="14" t="s">
        <v>147</v>
      </c>
      <c r="E7" s="160" t="s">
        <v>148</v>
      </c>
      <c r="F7" s="173" t="s">
        <v>147</v>
      </c>
      <c r="G7" s="15" t="s">
        <v>148</v>
      </c>
      <c r="H7" s="15" t="s">
        <v>149</v>
      </c>
      <c r="I7" s="14" t="s">
        <v>147</v>
      </c>
      <c r="J7" s="173" t="s">
        <v>148</v>
      </c>
      <c r="K7" s="173" t="s">
        <v>149</v>
      </c>
      <c r="L7" s="160" t="s">
        <v>150</v>
      </c>
    </row>
    <row r="8" spans="1:12" s="99" customFormat="1" ht="15.75" thickBot="1" x14ac:dyDescent="0.3">
      <c r="A8" s="129" t="s">
        <v>154</v>
      </c>
      <c r="B8" s="106">
        <v>0</v>
      </c>
      <c r="C8" s="164" t="s">
        <v>29</v>
      </c>
      <c r="D8" s="171">
        <v>-0.5</v>
      </c>
      <c r="E8" s="126">
        <v>0.5</v>
      </c>
      <c r="F8" s="107" t="s">
        <v>151</v>
      </c>
      <c r="G8" s="107" t="s">
        <v>152</v>
      </c>
      <c r="H8" s="107" t="s">
        <v>153</v>
      </c>
      <c r="I8" s="120" t="s">
        <v>157</v>
      </c>
      <c r="J8" s="107" t="s">
        <v>158</v>
      </c>
      <c r="K8" s="107" t="s">
        <v>158</v>
      </c>
      <c r="L8" s="121" t="s">
        <v>157</v>
      </c>
    </row>
    <row r="9" spans="1:12" s="100" customFormat="1" ht="16.5" thickTop="1" thickBot="1" x14ac:dyDescent="0.3">
      <c r="A9" s="130" t="s">
        <v>87</v>
      </c>
      <c r="B9" s="108">
        <v>0</v>
      </c>
      <c r="C9" s="165">
        <v>10</v>
      </c>
      <c r="D9" s="127">
        <v>5</v>
      </c>
      <c r="E9" s="128">
        <v>15</v>
      </c>
      <c r="F9" s="136">
        <f>C9</f>
        <v>10</v>
      </c>
      <c r="G9" s="136">
        <f>C9</f>
        <v>10</v>
      </c>
      <c r="H9" s="136">
        <f>C9</f>
        <v>10</v>
      </c>
      <c r="I9" s="135">
        <f>$C$9</f>
        <v>10</v>
      </c>
      <c r="J9" s="136">
        <f t="shared" ref="J9:L9" si="0">$C$9</f>
        <v>10</v>
      </c>
      <c r="K9" s="136">
        <f t="shared" si="0"/>
        <v>10</v>
      </c>
      <c r="L9" s="137">
        <f t="shared" si="0"/>
        <v>10</v>
      </c>
    </row>
    <row r="10" spans="1:12" s="101" customFormat="1" ht="16.5" thickTop="1" thickBot="1" x14ac:dyDescent="0.3">
      <c r="A10" s="131" t="s">
        <v>146</v>
      </c>
      <c r="B10" s="109">
        <v>0</v>
      </c>
      <c r="C10" s="166">
        <f>C9/10</f>
        <v>1</v>
      </c>
      <c r="D10" s="124">
        <f t="shared" ref="D10:E10" si="1">D9/10</f>
        <v>0.5</v>
      </c>
      <c r="E10" s="125">
        <f t="shared" si="1"/>
        <v>1.5</v>
      </c>
      <c r="F10" s="153">
        <f>C10</f>
        <v>1</v>
      </c>
      <c r="G10" s="151">
        <f>C10</f>
        <v>1</v>
      </c>
      <c r="H10" s="154">
        <f>C10</f>
        <v>1</v>
      </c>
      <c r="I10" s="150">
        <f>$C$10</f>
        <v>1</v>
      </c>
      <c r="J10" s="151">
        <f t="shared" ref="J10:L10" si="2">$C$10</f>
        <v>1</v>
      </c>
      <c r="K10" s="151">
        <f t="shared" si="2"/>
        <v>1</v>
      </c>
      <c r="L10" s="152">
        <f t="shared" si="2"/>
        <v>1</v>
      </c>
    </row>
    <row r="11" spans="1:12" s="99" customFormat="1" ht="15.75" thickBot="1" x14ac:dyDescent="0.3">
      <c r="A11" s="129" t="s">
        <v>145</v>
      </c>
      <c r="B11" s="106">
        <v>0</v>
      </c>
      <c r="C11" s="138">
        <v>7.5</v>
      </c>
      <c r="D11" s="138">
        <f>C11</f>
        <v>7.5</v>
      </c>
      <c r="E11" s="140">
        <f>D11</f>
        <v>7.5</v>
      </c>
      <c r="F11" s="145">
        <v>2.5</v>
      </c>
      <c r="G11" s="111">
        <v>5</v>
      </c>
      <c r="H11" s="117">
        <v>10</v>
      </c>
      <c r="I11" s="138">
        <f>$C$11</f>
        <v>7.5</v>
      </c>
      <c r="J11" s="139">
        <f t="shared" ref="J11:L11" si="3">$C$11</f>
        <v>7.5</v>
      </c>
      <c r="K11" s="139">
        <f t="shared" si="3"/>
        <v>7.5</v>
      </c>
      <c r="L11" s="140">
        <f t="shared" si="3"/>
        <v>7.5</v>
      </c>
    </row>
    <row r="12" spans="1:12" s="104" customFormat="1" ht="15.75" thickTop="1" x14ac:dyDescent="0.25">
      <c r="A12" s="132" t="s">
        <v>159</v>
      </c>
      <c r="B12" s="112">
        <v>0</v>
      </c>
      <c r="C12" s="167">
        <f>C11/10</f>
        <v>0.75</v>
      </c>
      <c r="D12" s="146">
        <f t="shared" ref="D12:L12" si="4">D11/10</f>
        <v>0.75</v>
      </c>
      <c r="E12" s="148">
        <f t="shared" si="4"/>
        <v>0.75</v>
      </c>
      <c r="F12" s="144">
        <f t="shared" si="4"/>
        <v>0.25</v>
      </c>
      <c r="G12" s="147">
        <f t="shared" si="4"/>
        <v>0.5</v>
      </c>
      <c r="H12" s="149">
        <f t="shared" si="4"/>
        <v>1</v>
      </c>
      <c r="I12" s="146">
        <f t="shared" si="4"/>
        <v>0.75</v>
      </c>
      <c r="J12" s="147">
        <f t="shared" si="4"/>
        <v>0.75</v>
      </c>
      <c r="K12" s="147">
        <f t="shared" si="4"/>
        <v>0.75</v>
      </c>
      <c r="L12" s="148">
        <f t="shared" si="4"/>
        <v>0.75</v>
      </c>
    </row>
    <row r="13" spans="1:12" s="110" customFormat="1" ht="15.75" thickBot="1" x14ac:dyDescent="0.3">
      <c r="A13" s="133" t="s">
        <v>160</v>
      </c>
      <c r="B13" s="113">
        <v>0</v>
      </c>
      <c r="C13" s="168">
        <f>C11/11</f>
        <v>0.68181818181818177</v>
      </c>
      <c r="D13" s="150">
        <f t="shared" ref="D13:L13" si="5">D11/11</f>
        <v>0.68181818181818177</v>
      </c>
      <c r="E13" s="152">
        <f t="shared" si="5"/>
        <v>0.68181818181818177</v>
      </c>
      <c r="F13" s="174">
        <f t="shared" si="5"/>
        <v>0.22727272727272727</v>
      </c>
      <c r="G13" s="175">
        <f t="shared" si="5"/>
        <v>0.45454545454545453</v>
      </c>
      <c r="H13" s="176">
        <f t="shared" si="5"/>
        <v>0.90909090909090906</v>
      </c>
      <c r="I13" s="150">
        <f t="shared" si="5"/>
        <v>0.68181818181818177</v>
      </c>
      <c r="J13" s="151">
        <f t="shared" si="5"/>
        <v>0.68181818181818177</v>
      </c>
      <c r="K13" s="151">
        <f t="shared" si="5"/>
        <v>0.68181818181818177</v>
      </c>
      <c r="L13" s="152">
        <f t="shared" si="5"/>
        <v>0.68181818181818177</v>
      </c>
    </row>
    <row r="14" spans="1:12" s="115" customFormat="1" ht="15.75" thickBot="1" x14ac:dyDescent="0.3">
      <c r="A14" s="134" t="s">
        <v>138</v>
      </c>
      <c r="B14" s="114">
        <v>0</v>
      </c>
      <c r="C14" s="141">
        <v>0</v>
      </c>
      <c r="D14" s="141">
        <f>$C$14</f>
        <v>0</v>
      </c>
      <c r="E14" s="143">
        <f>$C$14</f>
        <v>0</v>
      </c>
      <c r="F14" s="142">
        <f>$C$14</f>
        <v>0</v>
      </c>
      <c r="G14" s="142">
        <f>$C$14</f>
        <v>0</v>
      </c>
      <c r="H14" s="142">
        <f>$C$14</f>
        <v>0</v>
      </c>
      <c r="I14" s="122">
        <v>-45</v>
      </c>
      <c r="J14" s="116">
        <v>-20</v>
      </c>
      <c r="K14" s="116">
        <v>20</v>
      </c>
      <c r="L14" s="123">
        <v>45</v>
      </c>
    </row>
    <row r="15" spans="1:12" ht="15.75" thickBot="1" x14ac:dyDescent="0.3"/>
    <row r="16" spans="1:12" ht="15.75" thickBot="1" x14ac:dyDescent="0.3">
      <c r="A16" s="130" t="s">
        <v>161</v>
      </c>
      <c r="B16" s="162"/>
      <c r="C16" s="169"/>
      <c r="D16" s="162"/>
      <c r="E16" s="162"/>
      <c r="F16" s="162"/>
      <c r="G16" s="162"/>
      <c r="H16" s="162"/>
      <c r="I16" s="162"/>
      <c r="J16" s="162"/>
      <c r="K16" s="162"/>
      <c r="L16" s="162"/>
    </row>
    <row r="17" spans="1:12" ht="15.75" thickBot="1" x14ac:dyDescent="0.3">
      <c r="A17" s="130" t="s">
        <v>162</v>
      </c>
      <c r="B17" s="162"/>
      <c r="C17" s="170"/>
      <c r="D17" s="163"/>
      <c r="E17" s="163"/>
      <c r="F17" s="163"/>
      <c r="G17" s="163"/>
      <c r="H17" s="163"/>
      <c r="I17" s="163"/>
      <c r="J17" s="163"/>
      <c r="K17" s="163"/>
      <c r="L17" s="163"/>
    </row>
    <row r="18" spans="1:12" ht="15.75" thickBot="1" x14ac:dyDescent="0.3">
      <c r="A18" s="130" t="s">
        <v>163</v>
      </c>
      <c r="B18" s="163"/>
      <c r="C18" s="170"/>
      <c r="D18" s="163"/>
      <c r="E18" s="163"/>
      <c r="F18" s="163"/>
      <c r="G18" s="163"/>
      <c r="H18" s="163"/>
      <c r="I18" s="163"/>
      <c r="J18" s="163"/>
      <c r="K18" s="163"/>
      <c r="L18" s="163"/>
    </row>
    <row r="19" spans="1:12" ht="15.75" thickBot="1" x14ac:dyDescent="0.3">
      <c r="A19" s="130" t="s">
        <v>164</v>
      </c>
      <c r="B19" s="163"/>
      <c r="C19" s="170"/>
      <c r="D19" s="163"/>
      <c r="E19" s="163"/>
      <c r="F19" s="163"/>
      <c r="G19" s="163"/>
      <c r="H19" s="163"/>
      <c r="I19" s="163"/>
      <c r="J19" s="163"/>
      <c r="K19" s="163"/>
      <c r="L19" s="163"/>
    </row>
  </sheetData>
  <mergeCells count="3">
    <mergeCell ref="F6:H6"/>
    <mergeCell ref="I6:L6"/>
    <mergeCell ref="D6:E6"/>
  </mergeCells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35411E1CC8D4C880845CD87FF12B7" ma:contentTypeVersion="12" ma:contentTypeDescription="Create a new document." ma:contentTypeScope="" ma:versionID="1012df725f520822e807421d3772cf4e">
  <xsd:schema xmlns:xsd="http://www.w3.org/2001/XMLSchema" xmlns:xs="http://www.w3.org/2001/XMLSchema" xmlns:p="http://schemas.microsoft.com/office/2006/metadata/properties" xmlns:ns3="169cc1bd-4b02-4fbc-97b3-3c8d8dd89658" xmlns:ns4="ff4c0657-4a6f-46f2-bde8-b950e9be2157" targetNamespace="http://schemas.microsoft.com/office/2006/metadata/properties" ma:root="true" ma:fieldsID="118fd8368e9bc25162f6a4b09615c516" ns3:_="" ns4:_="">
    <xsd:import namespace="169cc1bd-4b02-4fbc-97b3-3c8d8dd89658"/>
    <xsd:import namespace="ff4c0657-4a6f-46f2-bde8-b950e9be21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cc1bd-4b02-4fbc-97b3-3c8d8dd896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c0657-4a6f-46f2-bde8-b950e9be215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C60E3C-964C-4791-AD3E-DD1910C0B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9cc1bd-4b02-4fbc-97b3-3c8d8dd89658"/>
    <ds:schemaRef ds:uri="ff4c0657-4a6f-46f2-bde8-b950e9be21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9A0B89-71DD-4FC1-A88B-F227F0EB64C8}">
  <ds:schemaRefs>
    <ds:schemaRef ds:uri="http://purl.org/dc/dcmitype/"/>
    <ds:schemaRef ds:uri="http://www.w3.org/XML/1998/namespace"/>
    <ds:schemaRef ds:uri="http://purl.org/dc/terms/"/>
    <ds:schemaRef ds:uri="ff4c0657-4a6f-46f2-bde8-b950e9be2157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69cc1bd-4b02-4fbc-97b3-3c8d8dd89658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3748CD9-F721-4BB3-ACFC-D1E953D79A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2d</vt:lpstr>
      <vt:lpstr>3d linear</vt:lpstr>
      <vt:lpstr>Porous medium 2D</vt:lpstr>
      <vt:lpstr>Porous medium 3D</vt:lpstr>
      <vt:lpstr>acronym sheet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2021-11-27T15:17:22Z</dcterms:created>
  <dcterms:modified xsi:type="dcterms:W3CDTF">2022-05-18T16:24:53Z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0x0101000E535411E1CC8D4C880845CD87FF12B7</vt:lpwstr>
  </property>
</Properties>
</file>